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Ex1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rhatUzun\Desktop\Product Pricing\Free Version\"/>
    </mc:Choice>
  </mc:AlternateContent>
  <xr:revisionPtr revIDLastSave="0" documentId="13_ncr:1_{D1E9F5E3-DA76-43B8-806B-B180814B5BCA}" xr6:coauthVersionLast="47" xr6:coauthVersionMax="47" xr10:uidLastSave="{00000000-0000-0000-0000-000000000000}"/>
  <bookViews>
    <workbookView showSheetTabs="0" xWindow="-120" yWindow="-120" windowWidth="29040" windowHeight="15720" xr2:uid="{D1F73796-584C-4345-BA79-8115C2F35CC8}"/>
  </bookViews>
  <sheets>
    <sheet name="Menu" sheetId="2" r:id="rId1"/>
    <sheet name="RawMaterials" sheetId="3" r:id="rId2"/>
    <sheet name="PriceCalculator" sheetId="4" r:id="rId3"/>
    <sheet name="Products" sheetId="5" r:id="rId4"/>
    <sheet name="Dashboard" sheetId="6" r:id="rId5"/>
    <sheet name="Database" sheetId="9" state="hidden" r:id="rId6"/>
    <sheet name="Calc" sheetId="1" state="hidden" r:id="rId7"/>
  </sheets>
  <definedNames>
    <definedName name="_xlnm._FilterDatabase" localSheetId="1" hidden="1">RawMaterials!$C$7:$I$207</definedName>
    <definedName name="_xlchart.v1.0" hidden="1">Calc!$AQ$7:$AQ$12</definedName>
    <definedName name="_xlchart.v1.1" hidden="1">Calc!$AR$7:$AR$12</definedName>
    <definedName name="calculationtype">PriceCalculator!$G$14</definedName>
    <definedName name="calculatormerged">PriceCalculator!$A$12</definedName>
    <definedName name="calculatorproductname">PriceCalculator!$C$7</definedName>
    <definedName name="calculatorproductSKU">PriceCalculator!$D$7</definedName>
    <definedName name="callproduct">PriceCalculator!$G$23</definedName>
    <definedName name="chartbasecostlabels">OFFSET(Calc!$AG$7,,,Calc!$AH$6)</definedName>
    <definedName name="chartbasecostvalues">OFFSET(Calc!$AH$7,,,Calc!$AH$6)</definedName>
    <definedName name="ChartLabels">OFFSET(Calc!$AN$7,,,Calc!$AO$6)</definedName>
    <definedName name="chartvaluecount">Calc!$AO$6</definedName>
    <definedName name="ChartValues">OFFSET(Calc!$AO$7,,,Calc!$AO$6)</definedName>
    <definedName name="cleanProducts">Database!$G$10:$LM$19</definedName>
    <definedName name="clearRow">OFFSET(Database!$G$1,Database!$C$7-1,0,1,320)</definedName>
    <definedName name="copyRange">Database!$G$7:$LM$7</definedName>
    <definedName name="currency">Menu!$F$31</definedName>
    <definedName name="fixedmerged">PriceCalculator!$A$113</definedName>
    <definedName name="hideShow">Calc!$C$3</definedName>
    <definedName name="labormerged">PriceCalculator!$A$80</definedName>
    <definedName name="lastRowSave">Database!$C$6</definedName>
    <definedName name="materials_dd">OFFSET(Calc!$G$4,,,Calc!$G$2)</definedName>
    <definedName name="materialsmerged">PriceCalculator!$A$36</definedName>
    <definedName name="numberofproducts">PriceCalculator!$E$7</definedName>
    <definedName name="_xlnm.Print_Area" localSheetId="4">Dashboard!$B$2:$N$35</definedName>
    <definedName name="_xlnm.Print_Area" localSheetId="5">Database!$E$2:$LN$21</definedName>
    <definedName name="_xlnm.Print_Area" localSheetId="0">Menu!$B$2:$R$34</definedName>
    <definedName name="_xlnm.Print_Area" localSheetId="2">PriceCalculator!$B$2:$H$145</definedName>
    <definedName name="_xlnm.Print_Area" localSheetId="3">OFFSET(Products!$C$7,,,Calc!$C$21,20)</definedName>
    <definedName name="_xlnm.Print_Area" localSheetId="1">OFFSET(RawMaterials!$C$7,,,Calc!$C$20,7)</definedName>
    <definedName name="_xlnm.Print_Titles" localSheetId="2">PriceCalculator!$5:$8</definedName>
    <definedName name="_xlnm.Print_Titles" localSheetId="3">Products!$7:$7</definedName>
    <definedName name="_xlnm.Print_Titles" localSheetId="1">RawMaterials!$7:$7</definedName>
    <definedName name="ProductBaseCostArea">PriceCalculator!$C$38:$D$77,PriceCalculator!$C$82:$F$101,PriceCalculator!$D$107:$D$110,PriceCalculator!$F$106:$F$110,PriceCalculator!$G$106:$G$110,PriceCalculator!$C$115:$F$144</definedName>
    <definedName name="ProductCalculations">PriceCalculator!$D$17,PriceCalculator!$E$17,PriceCalculator!$D$21,PriceCalculator!$E$21,PriceCalculator!$D$25,PriceCalculator!$E$25,PriceCalculator!$G$14</definedName>
    <definedName name="ProductInfos">PriceCalculator!$C$7:$G$7</definedName>
    <definedName name="productNames">Database!$H$10:$H$19</definedName>
    <definedName name="productSKUs">Database!$G$10:$G$19</definedName>
    <definedName name="reviseIndex">Database!$C$8</definedName>
    <definedName name="reviseProductIndex">Database!$C$7</definedName>
    <definedName name="salesplatforms_dd">OFFSET(Calc!$M$14,,,Calc!$M$12)</definedName>
    <definedName name="shippingmerged">PriceCalculator!$A$104</definedName>
    <definedName name="shippingtype">PriceCalculator!$F$7</definedName>
    <definedName name="suppliers_dd">OFFSET(Calc!$O$14,,,Calc!$O$12)</definedName>
    <definedName name="totalsalesprice">PriceCalculator!$D$33</definedName>
    <definedName name="units_dd">OFFSET(Calc!$M$38,,,Calc!$M$36)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9" l="1" a="1"/>
  <c r="C6" i="9" s="1"/>
  <c r="D9" i="5" a="1"/>
  <c r="D9" i="5" s="1"/>
  <c r="E9" i="5"/>
  <c r="F9" i="5" a="1"/>
  <c r="F9" i="5" s="1"/>
  <c r="G9" i="5" a="1"/>
  <c r="G9" i="5" s="1"/>
  <c r="H9" i="5" a="1"/>
  <c r="H9" i="5" s="1"/>
  <c r="I9" i="5" a="1"/>
  <c r="I9" i="5" s="1"/>
  <c r="J9" i="5" a="1"/>
  <c r="J9" i="5" s="1"/>
  <c r="K9" i="5" a="1"/>
  <c r="K9" i="5" s="1"/>
  <c r="L9" i="5" a="1"/>
  <c r="L9" i="5" s="1"/>
  <c r="M9" i="5" a="1"/>
  <c r="M9" i="5" s="1"/>
  <c r="N9" i="5" a="1"/>
  <c r="N9" i="5" s="1"/>
  <c r="O9" i="5" a="1"/>
  <c r="O9" i="5" s="1"/>
  <c r="D10" i="5" a="1"/>
  <c r="D10" i="5" s="1"/>
  <c r="E10" i="5"/>
  <c r="F10" i="5" a="1"/>
  <c r="F10" i="5" s="1"/>
  <c r="G10" i="5" a="1"/>
  <c r="G10" i="5" s="1"/>
  <c r="H10" i="5" a="1"/>
  <c r="H10" i="5" s="1"/>
  <c r="I10" i="5" a="1"/>
  <c r="I10" i="5" s="1"/>
  <c r="J10" i="5" a="1"/>
  <c r="J10" i="5" s="1"/>
  <c r="K10" i="5" a="1"/>
  <c r="K10" i="5" s="1"/>
  <c r="L10" i="5" a="1"/>
  <c r="L10" i="5" s="1"/>
  <c r="M10" i="5" a="1"/>
  <c r="M10" i="5"/>
  <c r="N10" i="5" a="1"/>
  <c r="N10" i="5" s="1"/>
  <c r="O10" i="5" a="1"/>
  <c r="O10" i="5" s="1"/>
  <c r="D11" i="5" a="1"/>
  <c r="D11" i="5" s="1"/>
  <c r="E11" i="5"/>
  <c r="F11" i="5" a="1"/>
  <c r="F11" i="5" s="1"/>
  <c r="G11" i="5" a="1"/>
  <c r="G11" i="5" s="1"/>
  <c r="H11" i="5" a="1"/>
  <c r="H11" i="5" s="1"/>
  <c r="I11" i="5" a="1"/>
  <c r="I11" i="5" s="1"/>
  <c r="J11" i="5" a="1"/>
  <c r="J11" i="5" s="1"/>
  <c r="K11" i="5" a="1"/>
  <c r="K11" i="5" s="1"/>
  <c r="L11" i="5" a="1"/>
  <c r="L11" i="5" s="1"/>
  <c r="M11" i="5" a="1"/>
  <c r="M11" i="5" s="1"/>
  <c r="N11" i="5" a="1"/>
  <c r="N11" i="5" s="1"/>
  <c r="O11" i="5" a="1"/>
  <c r="O11" i="5" s="1"/>
  <c r="D12" i="5" a="1"/>
  <c r="D12" i="5" s="1"/>
  <c r="E12" i="5"/>
  <c r="F12" i="5" a="1"/>
  <c r="F12" i="5" s="1"/>
  <c r="G12" i="5" a="1"/>
  <c r="G12" i="5" s="1"/>
  <c r="H12" i="5" a="1"/>
  <c r="H12" i="5" s="1"/>
  <c r="I12" i="5" a="1"/>
  <c r="I12" i="5" s="1"/>
  <c r="J12" i="5" a="1"/>
  <c r="J12" i="5"/>
  <c r="K12" i="5" a="1"/>
  <c r="K12" i="5" s="1"/>
  <c r="L12" i="5" a="1"/>
  <c r="L12" i="5" s="1"/>
  <c r="M12" i="5" a="1"/>
  <c r="M12" i="5" s="1"/>
  <c r="N12" i="5" a="1"/>
  <c r="N12" i="5" s="1"/>
  <c r="O12" i="5" a="1"/>
  <c r="O12" i="5" s="1"/>
  <c r="D13" i="5" a="1"/>
  <c r="D13" i="5" s="1"/>
  <c r="E13" i="5"/>
  <c r="F13" i="5" a="1"/>
  <c r="F13" i="5" s="1"/>
  <c r="G13" i="5" a="1"/>
  <c r="G13" i="5" s="1"/>
  <c r="H13" i="5" a="1"/>
  <c r="H13" i="5" s="1"/>
  <c r="I13" i="5" a="1"/>
  <c r="I13" i="5" s="1"/>
  <c r="J13" i="5" a="1"/>
  <c r="J13" i="5" s="1"/>
  <c r="K13" i="5" a="1"/>
  <c r="K13" i="5" s="1"/>
  <c r="L13" i="5" a="1"/>
  <c r="L13" i="5" s="1"/>
  <c r="M13" i="5" a="1"/>
  <c r="M13" i="5" s="1"/>
  <c r="N13" i="5" a="1"/>
  <c r="N13" i="5" s="1"/>
  <c r="O13" i="5" a="1"/>
  <c r="O13" i="5" s="1"/>
  <c r="D14" i="5" a="1"/>
  <c r="D14" i="5" s="1"/>
  <c r="E14" i="5"/>
  <c r="F14" i="5" a="1"/>
  <c r="F14" i="5"/>
  <c r="G14" i="5" a="1"/>
  <c r="G14" i="5"/>
  <c r="H14" i="5" a="1"/>
  <c r="H14" i="5" s="1"/>
  <c r="I14" i="5" a="1"/>
  <c r="I14" i="5" s="1"/>
  <c r="J14" i="5" a="1"/>
  <c r="J14" i="5" s="1"/>
  <c r="K14" i="5" a="1"/>
  <c r="K14" i="5" s="1"/>
  <c r="L14" i="5" a="1"/>
  <c r="L14" i="5" s="1"/>
  <c r="M14" i="5" a="1"/>
  <c r="M14" i="5" s="1"/>
  <c r="N14" i="5" a="1"/>
  <c r="N14" i="5" s="1"/>
  <c r="O14" i="5" a="1"/>
  <c r="O14" i="5" s="1"/>
  <c r="D15" i="5" a="1"/>
  <c r="D15" i="5" s="1"/>
  <c r="E15" i="5"/>
  <c r="F15" i="5" a="1"/>
  <c r="F15" i="5" s="1"/>
  <c r="G15" i="5" a="1"/>
  <c r="G15" i="5" s="1"/>
  <c r="H15" i="5" a="1"/>
  <c r="H15" i="5" s="1"/>
  <c r="I15" i="5" a="1"/>
  <c r="I15" i="5"/>
  <c r="J15" i="5" a="1"/>
  <c r="J15" i="5" s="1"/>
  <c r="K15" i="5" a="1"/>
  <c r="K15" i="5" s="1"/>
  <c r="L15" i="5" a="1"/>
  <c r="L15" i="5" s="1"/>
  <c r="M15" i="5" a="1"/>
  <c r="M15" i="5" s="1"/>
  <c r="N15" i="5" a="1"/>
  <c r="N15" i="5" s="1"/>
  <c r="O15" i="5" a="1"/>
  <c r="O15" i="5" s="1"/>
  <c r="D16" i="5" a="1"/>
  <c r="D16" i="5" s="1"/>
  <c r="E16" i="5"/>
  <c r="F16" i="5" a="1"/>
  <c r="F16" i="5" s="1"/>
  <c r="G16" i="5" a="1"/>
  <c r="G16" i="5" s="1"/>
  <c r="H16" i="5" a="1"/>
  <c r="H16" i="5" s="1"/>
  <c r="I16" i="5" a="1"/>
  <c r="I16" i="5" s="1"/>
  <c r="J16" i="5" a="1"/>
  <c r="J16" i="5" s="1"/>
  <c r="K16" i="5" a="1"/>
  <c r="K16" i="5" s="1"/>
  <c r="L16" i="5" a="1"/>
  <c r="L16" i="5"/>
  <c r="M16" i="5" a="1"/>
  <c r="M16" i="5" s="1"/>
  <c r="N16" i="5" a="1"/>
  <c r="N16" i="5" s="1"/>
  <c r="O16" i="5" a="1"/>
  <c r="O16" i="5" s="1"/>
  <c r="D17" i="5" a="1"/>
  <c r="D17" i="5" s="1"/>
  <c r="E17" i="5"/>
  <c r="F17" i="5" a="1"/>
  <c r="F17" i="5" s="1"/>
  <c r="G17" i="5" a="1"/>
  <c r="G17" i="5" s="1"/>
  <c r="H17" i="5" a="1"/>
  <c r="H17" i="5" s="1"/>
  <c r="I17" i="5" a="1"/>
  <c r="I17" i="5" s="1"/>
  <c r="J17" i="5" a="1"/>
  <c r="J17" i="5" s="1"/>
  <c r="K17" i="5" a="1"/>
  <c r="K17" i="5" s="1"/>
  <c r="L17" i="5" a="1"/>
  <c r="L17" i="5" s="1"/>
  <c r="M17" i="5" a="1"/>
  <c r="M17" i="5" s="1"/>
  <c r="N17" i="5" a="1"/>
  <c r="N17" i="5" s="1"/>
  <c r="O17" i="5" a="1"/>
  <c r="O17" i="5" s="1"/>
  <c r="O8" i="5" a="1"/>
  <c r="O8" i="5" s="1"/>
  <c r="N8" i="5" a="1"/>
  <c r="N8" i="5" s="1"/>
  <c r="M8" i="5" a="1"/>
  <c r="M8" i="5" s="1"/>
  <c r="L8" i="5" a="1"/>
  <c r="L8" i="5" s="1"/>
  <c r="K8" i="5" a="1"/>
  <c r="K8" i="5" s="1"/>
  <c r="J8" i="5" a="1"/>
  <c r="J8" i="5" s="1"/>
  <c r="I8" i="5" a="1"/>
  <c r="I8" i="5" s="1"/>
  <c r="H8" i="5" a="1"/>
  <c r="H8" i="5" s="1"/>
  <c r="G8" i="5" a="1"/>
  <c r="G8" i="5" s="1"/>
  <c r="F8" i="5" a="1"/>
  <c r="F8" i="5" s="1"/>
  <c r="D8" i="5" a="1"/>
  <c r="D8" i="5" s="1"/>
  <c r="E8" i="5"/>
  <c r="AM4" i="1" l="1"/>
  <c r="AL4" i="1"/>
  <c r="AD17" i="1"/>
  <c r="AD16" i="1"/>
  <c r="E39" i="4"/>
  <c r="F39" i="4"/>
  <c r="E40" i="4"/>
  <c r="F40" i="4"/>
  <c r="E41" i="4"/>
  <c r="F41" i="4"/>
  <c r="E42" i="4"/>
  <c r="F42" i="4"/>
  <c r="E43" i="4"/>
  <c r="F43" i="4"/>
  <c r="E44" i="4"/>
  <c r="F44" i="4"/>
  <c r="E45" i="4"/>
  <c r="F45" i="4"/>
  <c r="E46" i="4"/>
  <c r="F46" i="4"/>
  <c r="E47" i="4"/>
  <c r="F47" i="4"/>
  <c r="F38" i="4"/>
  <c r="E38" i="4"/>
  <c r="I6" i="1"/>
  <c r="I10" i="1"/>
  <c r="I12" i="1"/>
  <c r="I13" i="1"/>
  <c r="C20" i="1"/>
  <c r="G2" i="1"/>
  <c r="I5" i="1"/>
  <c r="I7" i="1"/>
  <c r="I9" i="1"/>
  <c r="I11" i="1"/>
  <c r="G5" i="1" a="1"/>
  <c r="G5" i="1" s="1"/>
  <c r="G4" i="1" a="1"/>
  <c r="G4" i="1" s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4" i="1"/>
  <c r="AD8" i="1" l="1"/>
  <c r="AM8" i="1"/>
  <c r="AK8" i="1"/>
  <c r="AM10" i="1"/>
  <c r="AK10" i="1"/>
  <c r="AR7" i="1"/>
  <c r="AM13" i="1"/>
  <c r="AK13" i="1"/>
  <c r="AD10" i="1"/>
  <c r="AK9" i="1"/>
  <c r="AM12" i="1"/>
  <c r="AK12" i="1"/>
  <c r="AD9" i="1"/>
  <c r="AM11" i="1"/>
  <c r="AK11" i="1"/>
  <c r="AD7" i="1"/>
  <c r="AM9" i="1"/>
  <c r="I8" i="1"/>
  <c r="G6" i="1" a="1"/>
  <c r="G6" i="1" s="1"/>
  <c r="M39" i="1" a="1"/>
  <c r="M39" i="1" s="1"/>
  <c r="O15" i="1" a="1"/>
  <c r="O15" i="1" s="1"/>
  <c r="M15" i="1" a="1"/>
  <c r="M15" i="1" s="1"/>
  <c r="M38" i="1" a="1"/>
  <c r="M38" i="1" s="1"/>
  <c r="O14" i="1" a="1"/>
  <c r="O14" i="1" s="1"/>
  <c r="M14" i="1" a="1"/>
  <c r="M14" i="1" s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38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14" i="1"/>
  <c r="L28" i="1"/>
  <c r="L29" i="1"/>
  <c r="L30" i="1"/>
  <c r="L31" i="1"/>
  <c r="L32" i="1"/>
  <c r="L33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14" i="1"/>
  <c r="C11" i="1"/>
  <c r="AG17" i="1"/>
  <c r="AG16" i="1"/>
  <c r="G7" i="1" l="1" a="1"/>
  <c r="G7" i="1" s="1"/>
  <c r="M40" i="1" a="1"/>
  <c r="M40" i="1" s="1"/>
  <c r="M41" i="1" a="1"/>
  <c r="M41" i="1" s="1"/>
  <c r="O16" i="1" a="1"/>
  <c r="O16" i="1" s="1"/>
  <c r="M16" i="1" a="1"/>
  <c r="M16" i="1" s="1"/>
  <c r="D16" i="6"/>
  <c r="E13" i="6"/>
  <c r="D13" i="6"/>
  <c r="AJ16" i="1"/>
  <c r="D9" i="6"/>
  <c r="AC39" i="1"/>
  <c r="C33" i="4"/>
  <c r="Y23" i="1"/>
  <c r="U23" i="1"/>
  <c r="Q23" i="1"/>
  <c r="AC38" i="1"/>
  <c r="AC33" i="1"/>
  <c r="AC25" i="1"/>
  <c r="AC29" i="1"/>
  <c r="AC35" i="1"/>
  <c r="AC21" i="1"/>
  <c r="J7" i="5"/>
  <c r="G8" i="1" l="1" a="1"/>
  <c r="G8" i="1" s="1"/>
  <c r="M42" i="1" a="1"/>
  <c r="M42" i="1" s="1"/>
  <c r="M43" i="1" s="1" a="1"/>
  <c r="M43" i="1" s="1"/>
  <c r="O17" i="1" a="1"/>
  <c r="O17" i="1" s="1"/>
  <c r="M17" i="1" a="1"/>
  <c r="M17" i="1" s="1"/>
  <c r="Y19" i="1"/>
  <c r="U19" i="1"/>
  <c r="Y5" i="1"/>
  <c r="Q5" i="1"/>
  <c r="U5" i="1"/>
  <c r="C15" i="4"/>
  <c r="Q19" i="1"/>
  <c r="Y22" i="1"/>
  <c r="U22" i="1"/>
  <c r="Q22" i="1"/>
  <c r="Y17" i="1"/>
  <c r="U17" i="1"/>
  <c r="Q17" i="1"/>
  <c r="Y13" i="1"/>
  <c r="U13" i="1"/>
  <c r="Q13" i="1"/>
  <c r="Y9" i="1"/>
  <c r="U9" i="1"/>
  <c r="Q9" i="1"/>
  <c r="C32" i="4"/>
  <c r="C29" i="4"/>
  <c r="C27" i="4"/>
  <c r="C23" i="4"/>
  <c r="C19" i="4"/>
  <c r="Q8" i="1"/>
  <c r="AJ13" i="1"/>
  <c r="AJ12" i="1"/>
  <c r="AJ11" i="1"/>
  <c r="AJ10" i="1"/>
  <c r="AJ9" i="1"/>
  <c r="AJ8" i="1"/>
  <c r="G9" i="1" l="1" a="1"/>
  <c r="G9" i="1" s="1"/>
  <c r="M44" i="1" a="1"/>
  <c r="M44" i="1" s="1"/>
  <c r="O18" i="1" a="1"/>
  <c r="O18" i="1" s="1"/>
  <c r="O19" i="1" a="1"/>
  <c r="O19" i="1" s="1"/>
  <c r="M18" i="1" a="1"/>
  <c r="M18" i="1" s="1"/>
  <c r="G10" i="1" l="1" a="1"/>
  <c r="G10" i="1" s="1"/>
  <c r="M45" i="1" a="1"/>
  <c r="M45" i="1" s="1"/>
  <c r="O20" i="1" a="1"/>
  <c r="O20" i="1" s="1"/>
  <c r="M19" i="1" a="1"/>
  <c r="M19" i="1" s="1"/>
  <c r="AK4" i="1"/>
  <c r="G11" i="1" l="1" a="1"/>
  <c r="G11" i="1" s="1"/>
  <c r="G12" i="1" s="1" a="1"/>
  <c r="G12" i="1" s="1"/>
  <c r="G13" i="1" s="1" a="1"/>
  <c r="G13" i="1" s="1"/>
  <c r="G14" i="1" s="1" a="1"/>
  <c r="G14" i="1" s="1"/>
  <c r="G15" i="1" s="1" a="1"/>
  <c r="G15" i="1" s="1"/>
  <c r="G16" i="1" s="1" a="1"/>
  <c r="G16" i="1" s="1"/>
  <c r="G17" i="1" s="1" a="1"/>
  <c r="G17" i="1" s="1"/>
  <c r="G18" i="1" s="1" a="1"/>
  <c r="G18" i="1" s="1"/>
  <c r="G19" i="1" s="1" a="1"/>
  <c r="G19" i="1" s="1"/>
  <c r="G20" i="1" s="1" a="1"/>
  <c r="G20" i="1" s="1"/>
  <c r="G21" i="1" s="1" a="1"/>
  <c r="G21" i="1" s="1"/>
  <c r="G22" i="1" s="1" a="1"/>
  <c r="G22" i="1" s="1"/>
  <c r="G23" i="1" s="1" a="1"/>
  <c r="G23" i="1" s="1"/>
  <c r="M46" i="1" a="1"/>
  <c r="M46" i="1" s="1"/>
  <c r="M47" i="1" s="1" a="1"/>
  <c r="M47" i="1" s="1"/>
  <c r="M48" i="1" s="1" a="1"/>
  <c r="M48" i="1" s="1"/>
  <c r="M49" i="1" s="1" a="1"/>
  <c r="M49" i="1" s="1"/>
  <c r="M50" i="1" s="1" a="1"/>
  <c r="M50" i="1" s="1"/>
  <c r="M51" i="1" s="1" a="1"/>
  <c r="M51" i="1" s="1"/>
  <c r="M52" i="1" s="1" a="1"/>
  <c r="M52" i="1" s="1"/>
  <c r="M53" i="1" s="1" a="1"/>
  <c r="M53" i="1" s="1"/>
  <c r="M54" i="1" s="1" a="1"/>
  <c r="M54" i="1" s="1"/>
  <c r="M55" i="1" s="1" a="1"/>
  <c r="M55" i="1" s="1"/>
  <c r="M56" i="1" s="1" a="1"/>
  <c r="M56" i="1" s="1"/>
  <c r="M57" i="1" s="1" a="1"/>
  <c r="M57" i="1" s="1"/>
  <c r="O21" i="1" a="1"/>
  <c r="O21" i="1" s="1"/>
  <c r="O22" i="1" s="1" a="1"/>
  <c r="O22" i="1" s="1"/>
  <c r="M20" i="1" a="1"/>
  <c r="M20" i="1" s="1"/>
  <c r="M21" i="1" s="1" a="1"/>
  <c r="M21" i="1" s="1"/>
  <c r="M22" i="1" s="1" a="1"/>
  <c r="M22" i="1" s="1"/>
  <c r="M23" i="1" s="1" a="1"/>
  <c r="M23" i="1" s="1"/>
  <c r="M24" i="1" s="1" a="1"/>
  <c r="M24" i="1" s="1"/>
  <c r="M25" i="1" s="1" a="1"/>
  <c r="M25" i="1" s="1"/>
  <c r="M26" i="1" s="1" a="1"/>
  <c r="M26" i="1" s="1"/>
  <c r="M27" i="1" s="1" a="1"/>
  <c r="M27" i="1" s="1"/>
  <c r="M28" i="1" s="1" a="1"/>
  <c r="M28" i="1" s="1"/>
  <c r="M29" i="1" s="1" a="1"/>
  <c r="M29" i="1" s="1"/>
  <c r="M30" i="1" s="1" a="1"/>
  <c r="M30" i="1" s="1"/>
  <c r="M31" i="1" s="1" a="1"/>
  <c r="M31" i="1" s="1"/>
  <c r="M32" i="1" s="1" a="1"/>
  <c r="M32" i="1" s="1"/>
  <c r="M33" i="1" s="1" a="1"/>
  <c r="M33" i="1" s="1"/>
  <c r="C7" i="9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8" i="3"/>
  <c r="LE7" i="9"/>
  <c r="M5" i="1"/>
  <c r="O5" i="1"/>
  <c r="O23" i="1" l="1" a="1"/>
  <c r="O23" i="1" s="1"/>
  <c r="O24" i="1" s="1" a="1"/>
  <c r="O24" i="1" s="1"/>
  <c r="O25" i="1" s="1" a="1"/>
  <c r="O25" i="1" s="1"/>
  <c r="O26" i="1" s="1" a="1"/>
  <c r="O26" i="1" s="1"/>
  <c r="O27" i="1" s="1" a="1"/>
  <c r="O27" i="1" s="1"/>
  <c r="O28" i="1" s="1" a="1"/>
  <c r="O28" i="1" s="1"/>
  <c r="O29" i="1" s="1" a="1"/>
  <c r="O29" i="1" s="1"/>
  <c r="O30" i="1" s="1" a="1"/>
  <c r="O30" i="1" s="1"/>
  <c r="O31" i="1" s="1" a="1"/>
  <c r="O31" i="1" s="1"/>
  <c r="O32" i="1" s="1" a="1"/>
  <c r="O32" i="1" s="1"/>
  <c r="O33" i="1" s="1" a="1"/>
  <c r="O33" i="1" s="1"/>
  <c r="M12" i="1"/>
  <c r="G116" i="4"/>
  <c r="G117" i="4"/>
  <c r="G118" i="4"/>
  <c r="G119" i="4"/>
  <c r="G120" i="4"/>
  <c r="G121" i="4"/>
  <c r="G122" i="4"/>
  <c r="G123" i="4"/>
  <c r="G124" i="4"/>
  <c r="H7" i="9"/>
  <c r="G7" i="9"/>
  <c r="KX7" i="9"/>
  <c r="LA7" i="9"/>
  <c r="KZ7" i="9"/>
  <c r="KY7" i="9"/>
  <c r="KT7" i="9"/>
  <c r="KW7" i="9"/>
  <c r="KV7" i="9"/>
  <c r="KU7" i="9"/>
  <c r="KP7" i="9"/>
  <c r="KS7" i="9"/>
  <c r="KR7" i="9"/>
  <c r="KQ7" i="9"/>
  <c r="KL7" i="9"/>
  <c r="KO7" i="9"/>
  <c r="KN7" i="9"/>
  <c r="KM7" i="9"/>
  <c r="KH7" i="9"/>
  <c r="KK7" i="9"/>
  <c r="KJ7" i="9"/>
  <c r="KI7" i="9"/>
  <c r="KE7" i="9"/>
  <c r="KD7" i="9"/>
  <c r="KG7" i="9"/>
  <c r="KF7" i="9"/>
  <c r="JZ7" i="9"/>
  <c r="KC7" i="9"/>
  <c r="KB7" i="9"/>
  <c r="KA7" i="9"/>
  <c r="JV7" i="9"/>
  <c r="JY7" i="9"/>
  <c r="JX7" i="9"/>
  <c r="JW7" i="9"/>
  <c r="JR7" i="9"/>
  <c r="JU7" i="9"/>
  <c r="JT7" i="9"/>
  <c r="JS7" i="9"/>
  <c r="JN7" i="9"/>
  <c r="JQ7" i="9"/>
  <c r="JP7" i="9"/>
  <c r="JO7" i="9"/>
  <c r="JJ7" i="9"/>
  <c r="JM7" i="9"/>
  <c r="JL7" i="9"/>
  <c r="JK7" i="9"/>
  <c r="JF7" i="9"/>
  <c r="JI7" i="9"/>
  <c r="JH7" i="9"/>
  <c r="JG7" i="9"/>
  <c r="JB7" i="9"/>
  <c r="JE7" i="9"/>
  <c r="JD7" i="9"/>
  <c r="JC7" i="9"/>
  <c r="IX7" i="9"/>
  <c r="JA7" i="9"/>
  <c r="IZ7" i="9"/>
  <c r="IY7" i="9"/>
  <c r="IT7" i="9"/>
  <c r="IW7" i="9"/>
  <c r="IV7" i="9"/>
  <c r="IU7" i="9"/>
  <c r="IP7" i="9"/>
  <c r="IS7" i="9"/>
  <c r="IR7" i="9"/>
  <c r="IQ7" i="9"/>
  <c r="IL7" i="9"/>
  <c r="IO7" i="9"/>
  <c r="IN7" i="9"/>
  <c r="IM7" i="9"/>
  <c r="IH7" i="9"/>
  <c r="IK7" i="9"/>
  <c r="IJ7" i="9"/>
  <c r="II7" i="9"/>
  <c r="ID7" i="9"/>
  <c r="IG7" i="9"/>
  <c r="IF7" i="9"/>
  <c r="IE7" i="9"/>
  <c r="HZ7" i="9"/>
  <c r="IC7" i="9"/>
  <c r="IB7" i="9"/>
  <c r="IA7" i="9"/>
  <c r="HV7" i="9"/>
  <c r="HY7" i="9"/>
  <c r="HX7" i="9"/>
  <c r="HW7" i="9"/>
  <c r="HR7" i="9"/>
  <c r="HU7" i="9"/>
  <c r="HT7" i="9"/>
  <c r="HS7" i="9"/>
  <c r="HN7" i="9"/>
  <c r="HQ7" i="9"/>
  <c r="HP7" i="9"/>
  <c r="HO7" i="9"/>
  <c r="HJ7" i="9"/>
  <c r="HM7" i="9"/>
  <c r="HL7" i="9"/>
  <c r="HK7" i="9"/>
  <c r="HF7" i="9"/>
  <c r="HI7" i="9"/>
  <c r="HH7" i="9"/>
  <c r="HG7" i="9"/>
  <c r="HB7" i="9"/>
  <c r="HE7" i="9"/>
  <c r="HD7" i="9"/>
  <c r="HC7" i="9"/>
  <c r="GX7" i="9"/>
  <c r="HA7" i="9"/>
  <c r="GZ7" i="9"/>
  <c r="GY7" i="9"/>
  <c r="GT7" i="9"/>
  <c r="GW7" i="9"/>
  <c r="GV7" i="9"/>
  <c r="GU7" i="9"/>
  <c r="GP7" i="9"/>
  <c r="GS7" i="9"/>
  <c r="GR7" i="9"/>
  <c r="GQ7" i="9"/>
  <c r="GL7" i="9"/>
  <c r="GO7" i="9"/>
  <c r="GN7" i="9"/>
  <c r="GM7" i="9"/>
  <c r="GH7" i="9"/>
  <c r="GK7" i="9"/>
  <c r="GJ7" i="9"/>
  <c r="GI7" i="9"/>
  <c r="GD7" i="9"/>
  <c r="GG7" i="9"/>
  <c r="GF7" i="9"/>
  <c r="GE7" i="9"/>
  <c r="FZ7" i="9"/>
  <c r="GC7" i="9"/>
  <c r="GB7" i="9"/>
  <c r="GA7" i="9"/>
  <c r="FV7" i="9"/>
  <c r="FY7" i="9"/>
  <c r="FX7" i="9"/>
  <c r="FW7" i="9"/>
  <c r="FR7" i="9"/>
  <c r="FU7" i="9"/>
  <c r="FT7" i="9"/>
  <c r="FS7" i="9"/>
  <c r="FN7" i="9"/>
  <c r="FQ7" i="9"/>
  <c r="FP7" i="9"/>
  <c r="FO7" i="9"/>
  <c r="FJ7" i="9"/>
  <c r="FM7" i="9"/>
  <c r="FL7" i="9"/>
  <c r="FK7" i="9"/>
  <c r="FF7" i="9"/>
  <c r="FI7" i="9"/>
  <c r="FH7" i="9"/>
  <c r="FG7" i="9"/>
  <c r="FB7" i="9"/>
  <c r="FE7" i="9"/>
  <c r="FD7" i="9"/>
  <c r="FC7" i="9"/>
  <c r="EX7" i="9"/>
  <c r="FA7" i="9"/>
  <c r="EZ7" i="9"/>
  <c r="EY7" i="9"/>
  <c r="ET7" i="9"/>
  <c r="EW7" i="9"/>
  <c r="EV7" i="9"/>
  <c r="EU7" i="9"/>
  <c r="EP7" i="9"/>
  <c r="ES7" i="9"/>
  <c r="ER7" i="9"/>
  <c r="EQ7" i="9"/>
  <c r="EN7" i="9"/>
  <c r="EO7" i="9"/>
  <c r="EM7" i="9"/>
  <c r="EL7" i="9"/>
  <c r="EK7" i="9"/>
  <c r="EJ7" i="9"/>
  <c r="EI7" i="9"/>
  <c r="EH7" i="9"/>
  <c r="EG7" i="9"/>
  <c r="EF7" i="9"/>
  <c r="EE7" i="9"/>
  <c r="ED7" i="9"/>
  <c r="EC7" i="9"/>
  <c r="EB7" i="9"/>
  <c r="EA7" i="9"/>
  <c r="DZ7" i="9"/>
  <c r="DY7" i="9"/>
  <c r="DX7" i="9"/>
  <c r="DW7" i="9"/>
  <c r="DV7" i="9"/>
  <c r="DU7" i="9"/>
  <c r="DT7" i="9"/>
  <c r="DS7" i="9"/>
  <c r="DR7" i="9"/>
  <c r="DQ7" i="9"/>
  <c r="DP7" i="9"/>
  <c r="DM7" i="9"/>
  <c r="DL7" i="9"/>
  <c r="DK7" i="9"/>
  <c r="DJ7" i="9"/>
  <c r="DO7" i="9"/>
  <c r="DN7" i="9"/>
  <c r="DI7" i="9"/>
  <c r="DH7" i="9"/>
  <c r="DG7" i="9"/>
  <c r="DF7" i="9"/>
  <c r="DE7" i="9"/>
  <c r="DD7" i="9"/>
  <c r="DC7" i="9"/>
  <c r="DB7" i="9"/>
  <c r="DA7" i="9"/>
  <c r="CZ7" i="9"/>
  <c r="CY7" i="9"/>
  <c r="CX7" i="9"/>
  <c r="CW7" i="9"/>
  <c r="CV7" i="9"/>
  <c r="CU7" i="9"/>
  <c r="CT7" i="9"/>
  <c r="CR7" i="9"/>
  <c r="CP7" i="9"/>
  <c r="CN7" i="9"/>
  <c r="CL7" i="9"/>
  <c r="CJ7" i="9"/>
  <c r="CH7" i="9"/>
  <c r="CF7" i="9"/>
  <c r="CD7" i="9"/>
  <c r="CB7" i="9"/>
  <c r="BZ7" i="9"/>
  <c r="BX7" i="9"/>
  <c r="BV7" i="9"/>
  <c r="BT7" i="9"/>
  <c r="BR7" i="9"/>
  <c r="BP7" i="9"/>
  <c r="BN7" i="9"/>
  <c r="BL7" i="9"/>
  <c r="BJ7" i="9"/>
  <c r="BH7" i="9"/>
  <c r="BF7" i="9"/>
  <c r="BC7" i="9"/>
  <c r="BD7" i="9"/>
  <c r="BB7" i="9"/>
  <c r="AZ7" i="9"/>
  <c r="AX7" i="9"/>
  <c r="AV7" i="9"/>
  <c r="AT7" i="9"/>
  <c r="AR7" i="9"/>
  <c r="AP7" i="9"/>
  <c r="AN7" i="9"/>
  <c r="AL7" i="9"/>
  <c r="AJ7" i="9"/>
  <c r="AH7" i="9"/>
  <c r="AF7" i="9"/>
  <c r="AD7" i="9"/>
  <c r="AB7" i="9"/>
  <c r="Z7" i="9"/>
  <c r="X7" i="9"/>
  <c r="CS7" i="9"/>
  <c r="CQ7" i="9"/>
  <c r="CO7" i="9"/>
  <c r="CM7" i="9"/>
  <c r="CK7" i="9"/>
  <c r="CI7" i="9"/>
  <c r="CG7" i="9"/>
  <c r="CE7" i="9"/>
  <c r="CC7" i="9"/>
  <c r="CA7" i="9"/>
  <c r="BY7" i="9"/>
  <c r="BW7" i="9"/>
  <c r="BU7" i="9"/>
  <c r="BS7" i="9"/>
  <c r="BQ7" i="9"/>
  <c r="BO7" i="9"/>
  <c r="BM7" i="9"/>
  <c r="BK7" i="9"/>
  <c r="BI7" i="9"/>
  <c r="BE7" i="9"/>
  <c r="BG7" i="9"/>
  <c r="BA7" i="9"/>
  <c r="AY7" i="9"/>
  <c r="AW7" i="9"/>
  <c r="AU7" i="9"/>
  <c r="AS7" i="9"/>
  <c r="AQ7" i="9"/>
  <c r="AO7" i="9"/>
  <c r="AM7" i="9"/>
  <c r="AK7" i="9"/>
  <c r="AI7" i="9"/>
  <c r="AG7" i="9"/>
  <c r="AE7" i="9"/>
  <c r="AC7" i="9"/>
  <c r="AA7" i="9"/>
  <c r="Y7" i="9"/>
  <c r="W7" i="9"/>
  <c r="V7" i="9"/>
  <c r="U7" i="9"/>
  <c r="T7" i="9"/>
  <c r="S7" i="9"/>
  <c r="R7" i="9"/>
  <c r="Q7" i="9"/>
  <c r="P7" i="9"/>
  <c r="O7" i="9"/>
  <c r="N7" i="9"/>
  <c r="M7" i="9"/>
  <c r="L7" i="9"/>
  <c r="I7" i="9"/>
  <c r="J7" i="9"/>
  <c r="K7" i="9"/>
  <c r="I4" i="1" l="1"/>
  <c r="C21" i="1"/>
  <c r="AF16" i="1"/>
  <c r="D15" i="6" s="1"/>
  <c r="AC16" i="1"/>
  <c r="D12" i="6" s="1"/>
  <c r="AC23" i="1"/>
  <c r="G105" i="4"/>
  <c r="AD23" i="1" l="1"/>
  <c r="AF31" i="1"/>
  <c r="AE23" i="1"/>
  <c r="AE31" i="1"/>
  <c r="AD31" i="1"/>
  <c r="AE27" i="1"/>
  <c r="AD27" i="1"/>
  <c r="AF27" i="1"/>
  <c r="AF23" i="1"/>
  <c r="J4" i="1" a="1"/>
  <c r="J4" i="1" s="1"/>
  <c r="J5" i="1" s="1" a="1"/>
  <c r="J5" i="1" s="1"/>
  <c r="M36" i="1"/>
  <c r="O12" i="1"/>
  <c r="AD20" i="1"/>
  <c r="AC32" i="1"/>
  <c r="AC28" i="1"/>
  <c r="AC12" i="1"/>
  <c r="O7" i="5"/>
  <c r="N7" i="5"/>
  <c r="J6" i="1" l="1" a="1"/>
  <c r="J6" i="1" s="1"/>
  <c r="AL9" i="1"/>
  <c r="AL10" i="1"/>
  <c r="AL11" i="1"/>
  <c r="AL12" i="1"/>
  <c r="AL13" i="1"/>
  <c r="AL8" i="1"/>
  <c r="AF9" i="1"/>
  <c r="AF8" i="1"/>
  <c r="AF10" i="1"/>
  <c r="J7" i="1" l="1" a="1"/>
  <c r="J7" i="1" s="1"/>
  <c r="AD12" i="1"/>
  <c r="E9" i="6" s="1"/>
  <c r="AD21" i="1"/>
  <c r="AF7" i="1"/>
  <c r="J8" i="1" l="1" a="1"/>
  <c r="J8" i="1" s="1"/>
  <c r="AD24" i="1"/>
  <c r="AD25" i="1" s="1"/>
  <c r="AG7" i="1"/>
  <c r="AH7" i="1" s="1"/>
  <c r="J9" i="1" l="1" a="1"/>
  <c r="J9" i="1" s="1"/>
  <c r="J10" i="1" s="1" a="1"/>
  <c r="J10" i="1" s="1"/>
  <c r="J11" i="1" s="1" a="1"/>
  <c r="J11" i="1" s="1"/>
  <c r="J12" i="1" s="1" a="1"/>
  <c r="J12" i="1" s="1"/>
  <c r="J13" i="1" s="1" a="1"/>
  <c r="J13" i="1" s="1"/>
  <c r="J2" i="1" s="1"/>
  <c r="AD28" i="1"/>
  <c r="AD29" i="1" s="1"/>
  <c r="AG8" i="1"/>
  <c r="AD32" i="1" l="1"/>
  <c r="AD33" i="1" s="1"/>
  <c r="AG9" i="1"/>
  <c r="AG10" i="1" s="1"/>
  <c r="AH10" i="1" s="1"/>
  <c r="AH8" i="1"/>
  <c r="AD35" i="1" l="1"/>
  <c r="AD39" i="1" s="1"/>
  <c r="AH9" i="1"/>
  <c r="AH6" i="1" s="1"/>
  <c r="AD37" i="1" l="1"/>
  <c r="AD38" i="1"/>
  <c r="Y8" i="1" l="1"/>
  <c r="U8" i="1"/>
  <c r="Q7" i="1"/>
  <c r="Y16" i="1"/>
  <c r="Y12" i="1"/>
  <c r="U16" i="1"/>
  <c r="U12" i="1"/>
  <c r="Q16" i="1"/>
  <c r="Q12" i="1"/>
  <c r="C16" i="1" l="1"/>
  <c r="C17" i="1"/>
  <c r="E110" i="4"/>
  <c r="E109" i="4"/>
  <c r="E108" i="4"/>
  <c r="E107" i="4"/>
  <c r="C110" i="4"/>
  <c r="C109" i="4"/>
  <c r="C108" i="4"/>
  <c r="C107" i="4"/>
  <c r="M7" i="5"/>
  <c r="L7" i="5"/>
  <c r="K7" i="5"/>
  <c r="C26" i="4"/>
  <c r="C22" i="4"/>
  <c r="F114" i="4"/>
  <c r="F81" i="4"/>
  <c r="F37" i="4"/>
  <c r="G114" i="4"/>
  <c r="G81" i="4"/>
  <c r="G37" i="4"/>
  <c r="I7" i="3"/>
  <c r="F7" i="3"/>
  <c r="G115" i="4"/>
  <c r="G102" i="4"/>
  <c r="G83" i="4"/>
  <c r="G84" i="4"/>
  <c r="G85" i="4"/>
  <c r="G86" i="4"/>
  <c r="G82" i="4"/>
  <c r="G39" i="4"/>
  <c r="G40" i="4"/>
  <c r="G41" i="4"/>
  <c r="G42" i="4"/>
  <c r="G43" i="4"/>
  <c r="G44" i="4"/>
  <c r="G45" i="4"/>
  <c r="G46" i="4"/>
  <c r="G47" i="4"/>
  <c r="O6" i="1" l="1"/>
  <c r="M6" i="1"/>
  <c r="O4" i="1"/>
  <c r="M4" i="1"/>
  <c r="D18" i="6"/>
  <c r="LD7" i="9"/>
  <c r="LF7" i="9"/>
  <c r="Y7" i="1"/>
  <c r="AF20" i="1"/>
  <c r="U7" i="1"/>
  <c r="AE20" i="1"/>
  <c r="C17" i="4" l="1"/>
  <c r="AC24" i="1"/>
  <c r="AE21" i="1"/>
  <c r="AF21" i="1"/>
  <c r="C18" i="4" l="1"/>
  <c r="S15" i="1" s="1"/>
  <c r="AE24" i="1"/>
  <c r="AE25" i="1"/>
  <c r="R11" i="1" l="1"/>
  <c r="S11" i="1"/>
  <c r="W7" i="1"/>
  <c r="Z7" i="1"/>
  <c r="AA7" i="1"/>
  <c r="AA11" i="1"/>
  <c r="AA15" i="1"/>
  <c r="W15" i="1"/>
  <c r="W11" i="1"/>
  <c r="Z11" i="1"/>
  <c r="V15" i="1"/>
  <c r="Z15" i="1"/>
  <c r="V11" i="1"/>
  <c r="V7" i="1"/>
  <c r="R15" i="1"/>
  <c r="AE28" i="1"/>
  <c r="AE29" i="1" l="1"/>
  <c r="AE32" i="1" s="1"/>
  <c r="AE33" i="1" l="1"/>
  <c r="AE35" i="1" s="1"/>
  <c r="AE39" i="1" l="1"/>
  <c r="AE38" i="1" l="1"/>
  <c r="AE37" i="1"/>
  <c r="AK16" i="1"/>
  <c r="G38" i="4" l="1"/>
  <c r="M3" i="1" l="1"/>
  <c r="O3" i="1"/>
  <c r="O8" i="1" s="1"/>
  <c r="W5" i="1" s="1"/>
  <c r="W8" i="1" s="1"/>
  <c r="LC7" i="9"/>
  <c r="W9" i="1" l="1"/>
  <c r="AA5" i="1"/>
  <c r="S5" i="1"/>
  <c r="M8" i="1"/>
  <c r="Z5" i="1" s="1"/>
  <c r="AA13" i="1" l="1"/>
  <c r="W12" i="1"/>
  <c r="W13" i="1" s="1"/>
  <c r="E15" i="4"/>
  <c r="R5" i="1"/>
  <c r="D15" i="4" s="1"/>
  <c r="V5" i="1"/>
  <c r="V9" i="1" s="1"/>
  <c r="AA12" i="1" l="1"/>
  <c r="AA8" i="1" s="1"/>
  <c r="AA16" i="1"/>
  <c r="AA17" i="1" s="1"/>
  <c r="V12" i="1"/>
  <c r="V13" i="1" s="1"/>
  <c r="V16" i="1" s="1"/>
  <c r="W16" i="1"/>
  <c r="W17" i="1" s="1"/>
  <c r="V8" i="1"/>
  <c r="LH7" i="9"/>
  <c r="Z13" i="1" l="1"/>
  <c r="Z12" i="1" s="1"/>
  <c r="Z8" i="1" s="1"/>
  <c r="W19" i="1"/>
  <c r="W23" i="1" s="1"/>
  <c r="W21" i="1" l="1"/>
  <c r="W22" i="1"/>
  <c r="AA9" i="1"/>
  <c r="AA19" i="1" l="1"/>
  <c r="AA23" i="1" s="1"/>
  <c r="V17" i="1" l="1"/>
  <c r="V19" i="1" s="1"/>
  <c r="V23" i="1" l="1"/>
  <c r="V21" i="1" l="1"/>
  <c r="V22" i="1" l="1"/>
  <c r="AA21" i="1" l="1"/>
  <c r="AA22" i="1"/>
  <c r="E12" i="6" l="1"/>
  <c r="Z16" i="1" l="1"/>
  <c r="Z9" i="1"/>
  <c r="Z17" i="1" l="1"/>
  <c r="Z19" i="1" l="1"/>
  <c r="Z23" i="1" l="1"/>
  <c r="Z21" i="1" l="1"/>
  <c r="Z22" i="1"/>
  <c r="AF29" i="1" l="1"/>
  <c r="AF32" i="1" s="1"/>
  <c r="AF28" i="1" l="1"/>
  <c r="AF33" i="1"/>
  <c r="AF35" i="1" s="1"/>
  <c r="AR10" i="1"/>
  <c r="AF24" i="1" l="1"/>
  <c r="AR9" i="1"/>
  <c r="AF39" i="1"/>
  <c r="AR11" i="1"/>
  <c r="AR8" i="1" l="1"/>
  <c r="AD13" i="1" s="1"/>
  <c r="E10" i="6" s="1"/>
  <c r="AK17" i="1"/>
  <c r="E18" i="6" s="1"/>
  <c r="AF25" i="1"/>
  <c r="AF37" i="1"/>
  <c r="AM7" i="1"/>
  <c r="AK7" i="1"/>
  <c r="AL7" i="1" s="1"/>
  <c r="AR12" i="1"/>
  <c r="AF38" i="1"/>
  <c r="AN7" i="1" l="1"/>
  <c r="AN8" i="1" l="1"/>
  <c r="AO7" i="1"/>
  <c r="AO8" i="1" l="1"/>
  <c r="AN9" i="1"/>
  <c r="AO9" i="1" s="1"/>
  <c r="R7" i="1" l="1"/>
  <c r="AN10" i="1"/>
  <c r="AO10" i="1" s="1"/>
  <c r="R8" i="1" l="1"/>
  <c r="AN11" i="1"/>
  <c r="AO11" i="1" s="1"/>
  <c r="R9" i="1" l="1"/>
  <c r="D19" i="4" s="1"/>
  <c r="D18" i="4"/>
  <c r="LI7" i="9" s="1"/>
  <c r="R12" i="1"/>
  <c r="D22" i="4" s="1"/>
  <c r="LJ7" i="9" s="1"/>
  <c r="R13" i="1"/>
  <c r="R16" i="1" s="1"/>
  <c r="D26" i="4" s="1"/>
  <c r="LK7" i="9" s="1"/>
  <c r="D23" i="4"/>
  <c r="AN12" i="1"/>
  <c r="AO12" i="1" s="1"/>
  <c r="R17" i="1" l="1"/>
  <c r="AN13" i="1"/>
  <c r="AO13" i="1" s="1"/>
  <c r="AO6" i="1" s="1"/>
  <c r="D27" i="4" l="1"/>
  <c r="R19" i="1"/>
  <c r="R23" i="1" l="1"/>
  <c r="D29" i="4"/>
  <c r="LL7" i="9" s="1"/>
  <c r="R21" i="1" l="1"/>
  <c r="D31" i="4" s="1"/>
  <c r="D33" i="4"/>
  <c r="LM7" i="9" s="1"/>
  <c r="R22" i="1"/>
  <c r="D32" i="4" s="1"/>
  <c r="S12" i="1" l="1"/>
  <c r="S13" i="1" l="1"/>
  <c r="E23" i="4" s="1"/>
  <c r="E22" i="4"/>
  <c r="S19" i="1"/>
  <c r="S16" i="1"/>
  <c r="E26" i="4" s="1"/>
  <c r="S17" i="1"/>
  <c r="E27" i="4" s="1"/>
  <c r="S23" i="1" l="1"/>
  <c r="S22" i="1" s="1"/>
  <c r="E32" i="4" s="1"/>
  <c r="E29" i="4"/>
  <c r="S21" i="1" l="1"/>
  <c r="E31" i="4" s="1"/>
  <c r="E33" i="4"/>
  <c r="S7" i="1"/>
  <c r="S9" i="1" s="1"/>
  <c r="E19" i="4" s="1"/>
  <c r="S8" i="1" l="1"/>
  <c r="E18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<sst xmlns="http://schemas.openxmlformats.org/spreadsheetml/2006/main" count="1696" uniqueCount="322">
  <si>
    <t>DASHBOARD</t>
  </si>
  <si>
    <t>Supplier</t>
  </si>
  <si>
    <t>Qty</t>
  </si>
  <si>
    <t>Unit</t>
  </si>
  <si>
    <t>Material Name</t>
  </si>
  <si>
    <t>Shipping Cost</t>
  </si>
  <si>
    <t>Dynamic</t>
  </si>
  <si>
    <t>Fixed</t>
  </si>
  <si>
    <t>From</t>
  </si>
  <si>
    <t>to</t>
  </si>
  <si>
    <t>Description</t>
  </si>
  <si>
    <t>Fixed/Other Costs</t>
  </si>
  <si>
    <t>Wholesale</t>
  </si>
  <si>
    <t>Retail</t>
  </si>
  <si>
    <t>Material</t>
  </si>
  <si>
    <t>MENU</t>
  </si>
  <si>
    <t>98c1d9</t>
  </si>
  <si>
    <t>ee6c4d</t>
  </si>
  <si>
    <t>SETTINGS</t>
  </si>
  <si>
    <t>Units</t>
  </si>
  <si>
    <t>Name</t>
  </si>
  <si>
    <t>Value</t>
  </si>
  <si>
    <t>Currency</t>
  </si>
  <si>
    <t>003d5b</t>
  </si>
  <si>
    <t>30638e</t>
  </si>
  <si>
    <t>00798c</t>
  </si>
  <si>
    <t>d1495b</t>
  </si>
  <si>
    <t>Material Costs</t>
  </si>
  <si>
    <t>Labor Costs</t>
  </si>
  <si>
    <t>Product Name</t>
  </si>
  <si>
    <t>#967160</t>
  </si>
  <si>
    <t>#7D4E57</t>
  </si>
  <si>
    <t>#364156</t>
  </si>
  <si>
    <t>#708D81</t>
  </si>
  <si>
    <t>Shipping Type</t>
  </si>
  <si>
    <t>Shipping Costs</t>
  </si>
  <si>
    <t>Material 1</t>
  </si>
  <si>
    <t>Material 2</t>
  </si>
  <si>
    <t>Material 3</t>
  </si>
  <si>
    <t>Material 4</t>
  </si>
  <si>
    <t>Material 5</t>
  </si>
  <si>
    <t>Material 6</t>
  </si>
  <si>
    <t>Material 7</t>
  </si>
  <si>
    <t>Material 8</t>
  </si>
  <si>
    <t>Material 9</t>
  </si>
  <si>
    <t>Material 10</t>
  </si>
  <si>
    <t>Labor cost 1</t>
  </si>
  <si>
    <t>Labor cost 2</t>
  </si>
  <si>
    <t>Labor cost 3</t>
  </si>
  <si>
    <t>Labor cost 4</t>
  </si>
  <si>
    <t>Labor cost 5</t>
  </si>
  <si>
    <t>Labor cost 6</t>
  </si>
  <si>
    <t>Labor cost 7</t>
  </si>
  <si>
    <t>Labor cost 8</t>
  </si>
  <si>
    <t>Labor cost 9</t>
  </si>
  <si>
    <t>Labor cost 10</t>
  </si>
  <si>
    <t>Other 1</t>
  </si>
  <si>
    <t>Sale Platform</t>
  </si>
  <si>
    <t>#9B5756</t>
  </si>
  <si>
    <t>#D67764</t>
  </si>
  <si>
    <t>#679289</t>
  </si>
  <si>
    <t>#30638E</t>
  </si>
  <si>
    <t>Material SKU</t>
  </si>
  <si>
    <t>Materials</t>
  </si>
  <si>
    <t>No Blank</t>
  </si>
  <si>
    <t>Count</t>
  </si>
  <si>
    <t>PRICE CALCULATOR</t>
  </si>
  <si>
    <t>Calculation Type</t>
  </si>
  <si>
    <t>Discount (%):</t>
  </si>
  <si>
    <t>Tax (%):</t>
  </si>
  <si>
    <t>Product SKU</t>
  </si>
  <si>
    <t># of products</t>
  </si>
  <si>
    <t>Shipping</t>
  </si>
  <si>
    <t>RETAIL</t>
  </si>
  <si>
    <t>WHOLESALE</t>
  </si>
  <si>
    <t>Material 11</t>
  </si>
  <si>
    <t>Material 12</t>
  </si>
  <si>
    <t>Material 13</t>
  </si>
  <si>
    <t>Material 14</t>
  </si>
  <si>
    <t>Material 15</t>
  </si>
  <si>
    <t>Material 16</t>
  </si>
  <si>
    <t>Material 17</t>
  </si>
  <si>
    <t>Material 18</t>
  </si>
  <si>
    <t>Material 19</t>
  </si>
  <si>
    <t>Material 20</t>
  </si>
  <si>
    <t>Material 21</t>
  </si>
  <si>
    <t>Material 22</t>
  </si>
  <si>
    <t>Material 23</t>
  </si>
  <si>
    <t>Material 24</t>
  </si>
  <si>
    <t>Material 25</t>
  </si>
  <si>
    <t>Material 26</t>
  </si>
  <si>
    <t>Material 27</t>
  </si>
  <si>
    <t>Material 28</t>
  </si>
  <si>
    <t>Material 29</t>
  </si>
  <si>
    <t>Material 30</t>
  </si>
  <si>
    <t>Material 31</t>
  </si>
  <si>
    <t>Material 32</t>
  </si>
  <si>
    <t>Material 33</t>
  </si>
  <si>
    <t>Material 34</t>
  </si>
  <si>
    <t>Material 35</t>
  </si>
  <si>
    <t>Material 36</t>
  </si>
  <si>
    <t>Material 37</t>
  </si>
  <si>
    <t>Material 38</t>
  </si>
  <si>
    <t>Material 39</t>
  </si>
  <si>
    <t>Material 40</t>
  </si>
  <si>
    <t>Labor cost 20</t>
  </si>
  <si>
    <t>Labor cost 19</t>
  </si>
  <si>
    <t>Labor cost 18</t>
  </si>
  <si>
    <t>Labor cost 17</t>
  </si>
  <si>
    <t>Labor cost 16</t>
  </si>
  <si>
    <t>Labor cost 15</t>
  </si>
  <si>
    <t>Labor cost 11</t>
  </si>
  <si>
    <t>Labor cost 12</t>
  </si>
  <si>
    <t>Labor cost 13</t>
  </si>
  <si>
    <t>Labor cost 14</t>
  </si>
  <si>
    <t>Other 2</t>
  </si>
  <si>
    <t>Other 3</t>
  </si>
  <si>
    <t>Other 4</t>
  </si>
  <si>
    <t>Other 5</t>
  </si>
  <si>
    <t>Other 6</t>
  </si>
  <si>
    <t>Other 7</t>
  </si>
  <si>
    <t>Other 8</t>
  </si>
  <si>
    <t>Other 9</t>
  </si>
  <si>
    <t>Other 10</t>
  </si>
  <si>
    <t>Other 11</t>
  </si>
  <si>
    <t>Other 12</t>
  </si>
  <si>
    <t>Other 13</t>
  </si>
  <si>
    <t>Other 14</t>
  </si>
  <si>
    <t>Other 15</t>
  </si>
  <si>
    <t>Other 16</t>
  </si>
  <si>
    <t>Other 17</t>
  </si>
  <si>
    <t>Other 18</t>
  </si>
  <si>
    <t>Other 19</t>
  </si>
  <si>
    <t>Other 20</t>
  </si>
  <si>
    <t>Other 21</t>
  </si>
  <si>
    <t>Other 22</t>
  </si>
  <si>
    <t>Other 23</t>
  </si>
  <si>
    <t>Other 24</t>
  </si>
  <si>
    <t>Other 25</t>
  </si>
  <si>
    <t>Other 26</t>
  </si>
  <si>
    <t>Other 27</t>
  </si>
  <si>
    <t>Other 28</t>
  </si>
  <si>
    <t>Other 29</t>
  </si>
  <si>
    <t>Other 30</t>
  </si>
  <si>
    <t>Total Cost:</t>
  </si>
  <si>
    <t>Fee Type</t>
  </si>
  <si>
    <t>Percent (%)</t>
  </si>
  <si>
    <t>Calculation Types</t>
  </si>
  <si>
    <t>Selected Product:</t>
  </si>
  <si>
    <t>Products</t>
  </si>
  <si>
    <t>Total Fixed/Other Costs</t>
  </si>
  <si>
    <t>Total Material Costs</t>
  </si>
  <si>
    <t>Total Labor Costs</t>
  </si>
  <si>
    <t>Total Shipping Costs</t>
  </si>
  <si>
    <t>Dynamic Label</t>
  </si>
  <si>
    <t>Markup</t>
  </si>
  <si>
    <t>Discount</t>
  </si>
  <si>
    <t>Tax</t>
  </si>
  <si>
    <t>Listing Fee</t>
  </si>
  <si>
    <t>Sales Price</t>
  </si>
  <si>
    <t>Breakeven Point:</t>
  </si>
  <si>
    <t>Product:</t>
  </si>
  <si>
    <t>Starting #</t>
  </si>
  <si>
    <t>To</t>
  </si>
  <si>
    <t>Last #</t>
  </si>
  <si>
    <t>Starting # 1</t>
  </si>
  <si>
    <t>to # 1</t>
  </si>
  <si>
    <t>Price 1</t>
  </si>
  <si>
    <t>Price 4</t>
  </si>
  <si>
    <t>Starting # 5</t>
  </si>
  <si>
    <t>to # 5</t>
  </si>
  <si>
    <t>Price 5</t>
  </si>
  <si>
    <t>Starting # 4</t>
  </si>
  <si>
    <t>to # 4</t>
  </si>
  <si>
    <t>Starting # 3</t>
  </si>
  <si>
    <t>to # 3</t>
  </si>
  <si>
    <t>Price 3</t>
  </si>
  <si>
    <t>Starting # 2</t>
  </si>
  <si>
    <t>to # 2</t>
  </si>
  <si>
    <t>Price 2</t>
  </si>
  <si>
    <t>Unit Cost ($)</t>
  </si>
  <si>
    <t>Qty 1</t>
  </si>
  <si>
    <t>Qty 2</t>
  </si>
  <si>
    <t>Qty 3</t>
  </si>
  <si>
    <t>Qty 4</t>
  </si>
  <si>
    <t>Qty 5</t>
  </si>
  <si>
    <t>Qty 6</t>
  </si>
  <si>
    <t>Qty 7</t>
  </si>
  <si>
    <t>Qty 8</t>
  </si>
  <si>
    <t>Qty 9</t>
  </si>
  <si>
    <t>Qty 10</t>
  </si>
  <si>
    <t>Qty 11</t>
  </si>
  <si>
    <t>Qty 12</t>
  </si>
  <si>
    <t>Qty 13</t>
  </si>
  <si>
    <t>Qty 14</t>
  </si>
  <si>
    <t>Qty 15</t>
  </si>
  <si>
    <t>Qty 16</t>
  </si>
  <si>
    <t>Qty 17</t>
  </si>
  <si>
    <t>Qty 18</t>
  </si>
  <si>
    <t>Qty 19</t>
  </si>
  <si>
    <t>Qty 20</t>
  </si>
  <si>
    <t>Qty 21</t>
  </si>
  <si>
    <t>Qty 22</t>
  </si>
  <si>
    <t>Qty 23</t>
  </si>
  <si>
    <t>Qty 24</t>
  </si>
  <si>
    <t>Qty 25</t>
  </si>
  <si>
    <t>Qty 26</t>
  </si>
  <si>
    <t>Qty 27</t>
  </si>
  <si>
    <t>Qty 28</t>
  </si>
  <si>
    <t>Qty 29</t>
  </si>
  <si>
    <t>Qty 30</t>
  </si>
  <si>
    <t>Qty 31</t>
  </si>
  <si>
    <t>Qty 32</t>
  </si>
  <si>
    <t>Qty 33</t>
  </si>
  <si>
    <t>Qty 34</t>
  </si>
  <si>
    <t>Qty 35</t>
  </si>
  <si>
    <t>Qty 36</t>
  </si>
  <si>
    <t>Qty 37</t>
  </si>
  <si>
    <t>Qty 38</t>
  </si>
  <si>
    <t>Qty 39</t>
  </si>
  <si>
    <t>Qty 40</t>
  </si>
  <si>
    <t>Row No to place new product:</t>
  </si>
  <si>
    <t>PRODUCT RECORDS</t>
  </si>
  <si>
    <t>BASE COST</t>
  </si>
  <si>
    <t>Print Area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</si>
  <si>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</si>
  <si>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</si>
  <si>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</si>
  <si>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</si>
  <si>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</si>
  <si>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</si>
  <si>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</si>
  <si>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</si>
  <si>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</si>
  <si>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Revise Product Index</t>
  </si>
  <si>
    <t/>
  </si>
  <si>
    <t>Base Cost ($)</t>
  </si>
  <si>
    <t>Markup ($)</t>
  </si>
  <si>
    <t>Discount ($)</t>
  </si>
  <si>
    <t>Tax ($)</t>
  </si>
  <si>
    <t>Listing Fee ($)</t>
  </si>
  <si>
    <t>Sales Price ($)</t>
  </si>
  <si>
    <t>No</t>
  </si>
  <si>
    <t>kg</t>
  </si>
  <si>
    <t>pcs</t>
  </si>
  <si>
    <t>Painting</t>
  </si>
  <si>
    <t>Shipping Fee Type</t>
  </si>
  <si>
    <t>PRODUCT PRICING CALCULATOR TEMPLATE</t>
  </si>
  <si>
    <t>Facebook</t>
  </si>
  <si>
    <t>each</t>
  </si>
  <si>
    <t>Onlywood</t>
  </si>
  <si>
    <t>Voltran</t>
  </si>
  <si>
    <t>$</t>
  </si>
  <si>
    <t>MAT-1</t>
  </si>
  <si>
    <t>MAT-2</t>
  </si>
  <si>
    <t>Amazon</t>
  </si>
  <si>
    <t>Details</t>
  </si>
  <si>
    <t>Steel sheet</t>
  </si>
  <si>
    <t>Wooden block</t>
  </si>
  <si>
    <t>Glass cover</t>
  </si>
  <si>
    <t>Plastic part</t>
  </si>
  <si>
    <t>MAT-3</t>
  </si>
  <si>
    <t>MAT-4</t>
  </si>
  <si>
    <t>Etsy</t>
  </si>
  <si>
    <t>Plaser</t>
  </si>
  <si>
    <t>SteelWood GlassBox</t>
  </si>
  <si>
    <t>SER-1</t>
  </si>
  <si>
    <t>Assembly</t>
  </si>
  <si>
    <t>hours</t>
  </si>
  <si>
    <t>Electricity</t>
  </si>
  <si>
    <t>Water</t>
  </si>
  <si>
    <t>Storage</t>
  </si>
  <si>
    <t>SteelWood GlassShelf</t>
  </si>
  <si>
    <t>Wooden boards</t>
  </si>
  <si>
    <t>MAT-5</t>
  </si>
  <si>
    <t>Steel brackets</t>
  </si>
  <si>
    <t>MAT-6</t>
  </si>
  <si>
    <t>Glass dividers</t>
  </si>
  <si>
    <t>MAT-7</t>
  </si>
  <si>
    <t>Welder</t>
  </si>
  <si>
    <t>Timbercraft Co.</t>
  </si>
  <si>
    <t>WoodWise Design</t>
  </si>
  <si>
    <t>Oak &amp; Pine Co.</t>
  </si>
  <si>
    <t>Timberland Craftsman</t>
  </si>
  <si>
    <t>#6A7DA2</t>
  </si>
  <si>
    <t>Sales Platforms</t>
  </si>
  <si>
    <t>1. Material Costs</t>
  </si>
  <si>
    <t>2. Labor Costs</t>
  </si>
  <si>
    <t>Click to go to relevant section</t>
  </si>
  <si>
    <t>3. Shipping Costs</t>
  </si>
  <si>
    <t>4. Fixed/Other Costs</t>
  </si>
  <si>
    <t>Markup (%)</t>
  </si>
  <si>
    <t>Profit Margin (%):</t>
  </si>
  <si>
    <t>CALCULATOR</t>
  </si>
  <si>
    <t>Markup / Planned Sales Price / Desired Profit</t>
  </si>
  <si>
    <t>COGS ($)</t>
  </si>
  <si>
    <t>New Markup (%):</t>
  </si>
  <si>
    <t>COGS</t>
  </si>
  <si>
    <t>Current Discount (%):</t>
  </si>
  <si>
    <t>New Discount (%):</t>
  </si>
  <si>
    <t>Waterfall</t>
  </si>
  <si>
    <t>Calc Type</t>
  </si>
  <si>
    <t>Platform</t>
  </si>
  <si>
    <t>Fixed ($)</t>
  </si>
  <si>
    <t>Suppliers</t>
  </si>
  <si>
    <t>RAW MATERIALS</t>
  </si>
  <si>
    <t>Sales Platform</t>
  </si>
  <si>
    <t>No-Blank</t>
  </si>
  <si>
    <t>Glasswood Desk</t>
  </si>
  <si>
    <t>SER-3</t>
  </si>
  <si>
    <t>Carpenter</t>
  </si>
  <si>
    <t>Utilities</t>
  </si>
  <si>
    <t>Repairing</t>
  </si>
  <si>
    <t>Desired Profit ($)</t>
  </si>
  <si>
    <t>Cedarwood Workshop</t>
  </si>
  <si>
    <t>PRODUCT DATABASE &amp; COMPETITORS</t>
  </si>
  <si>
    <t>Forest Artisans</t>
  </si>
  <si>
    <t>Show Details</t>
  </si>
  <si>
    <t>SER-2</t>
  </si>
  <si>
    <t xml:space="preserve">Carpenter </t>
  </si>
  <si>
    <t>Assembly worker</t>
  </si>
  <si>
    <t>Planned Sales Price ($)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</si>
</sst>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54" x14ac:knownFonts="1"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u/>
      <sz val="10"/>
      <color indexed="12"/>
      <name val="Arial"/>
      <family val="2"/>
    </font>
    <font>
      <u/>
      <sz val="11"/>
      <color theme="0"/>
      <name val="Arial"/>
      <family val="2"/>
      <charset val="162"/>
      <scheme val="minor"/>
    </font>
    <font>
      <i/>
      <sz val="11"/>
      <color theme="4" tint="-0.249977111117893"/>
      <name val="Arial"/>
      <family val="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1"/>
      <color theme="0"/>
      <name val="Arial"/>
      <family val="2"/>
      <charset val="162"/>
      <scheme val="min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8"/>
      <name val="Arial"/>
      <family val="2"/>
      <charset val="162"/>
      <scheme val="minor"/>
    </font>
    <font>
      <b/>
      <sz val="11"/>
      <color theme="0"/>
      <name val="Arial"/>
      <family val="2"/>
      <scheme val="minor"/>
    </font>
    <font>
      <b/>
      <sz val="11"/>
      <color rgb="FF1F4E78"/>
      <name val="Arial"/>
      <family val="2"/>
      <scheme val="minor"/>
    </font>
    <font>
      <b/>
      <sz val="11"/>
      <color theme="3" tint="-0.499984740745262"/>
      <name val="Arial"/>
      <family val="2"/>
      <scheme val="minor"/>
    </font>
    <font>
      <sz val="11"/>
      <color theme="4" tint="-0.249977111117893"/>
      <name val="Arial"/>
      <family val="2"/>
      <scheme val="minor"/>
    </font>
    <font>
      <b/>
      <sz val="12"/>
      <color rgb="FF1F4E78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rgb="FF1F4E78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i/>
      <sz val="12"/>
      <color theme="4" tint="-0.249977111117893"/>
      <name val="Arial"/>
      <family val="2"/>
      <scheme val="minor"/>
    </font>
    <font>
      <sz val="10"/>
      <color theme="1"/>
      <name val="Arial"/>
      <family val="2"/>
      <scheme val="minor"/>
    </font>
    <font>
      <b/>
      <sz val="11"/>
      <color theme="4" tint="-0.249977111117893"/>
      <name val="Arial"/>
      <family val="2"/>
      <scheme val="minor"/>
    </font>
    <font>
      <b/>
      <i/>
      <sz val="11"/>
      <color theme="4" tint="-0.249977111117893"/>
      <name val="Arial"/>
      <family val="2"/>
      <scheme val="minor"/>
    </font>
    <font>
      <sz val="10"/>
      <color theme="1"/>
      <name val="Arial"/>
      <family val="2"/>
      <charset val="162"/>
      <scheme val="minor"/>
    </font>
    <font>
      <sz val="10"/>
      <name val="Arial"/>
      <family val="2"/>
      <charset val="162"/>
      <scheme val="minor"/>
    </font>
    <font>
      <sz val="12"/>
      <color theme="1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sz val="16"/>
      <color rgb="FFFFFFFF"/>
      <name val="Arial"/>
      <family val="2"/>
      <scheme val="minor"/>
    </font>
    <font>
      <b/>
      <sz val="11"/>
      <color theme="1"/>
      <name val="Arial"/>
      <family val="2"/>
      <scheme val="minor"/>
    </font>
    <font>
      <i/>
      <sz val="11"/>
      <color rgb="FFC00000"/>
      <name val="Arial"/>
      <family val="2"/>
      <charset val="16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2F2F2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/>
      <diagonal/>
    </border>
    <border>
      <left/>
      <right/>
      <top style="thin">
        <color theme="2" tint="-0.24994659260841701"/>
      </top>
      <bottom/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2" tint="-0.24994659260841701"/>
      </bottom>
      <diagonal/>
    </border>
    <border>
      <left/>
      <right/>
      <top style="thin">
        <color indexed="64"/>
      </top>
      <bottom style="thin">
        <color theme="2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2" tint="-0.24994659260841701"/>
      </right>
      <top style="thin">
        <color theme="2" tint="-0.24994659260841701"/>
      </top>
      <bottom style="thin">
        <color indexed="64"/>
      </bottom>
      <diagonal/>
    </border>
    <border>
      <left style="thin">
        <color theme="2" tint="-0.24994659260841701"/>
      </left>
      <right style="thin">
        <color indexed="64"/>
      </right>
      <top style="thin">
        <color theme="2" tint="-0.24994659260841701"/>
      </top>
      <bottom style="thin">
        <color indexed="64"/>
      </bottom>
      <diagonal/>
    </border>
    <border>
      <left style="thin">
        <color indexed="64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indexed="64"/>
      </right>
      <top/>
      <bottom style="thin">
        <color theme="2" tint="-0.24994659260841701"/>
      </bottom>
      <diagonal/>
    </border>
    <border>
      <left style="thin">
        <color indexed="64"/>
      </left>
      <right style="thin">
        <color theme="2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2" tint="-0.24994659260841701"/>
      </right>
      <top/>
      <bottom/>
      <diagonal/>
    </border>
    <border>
      <left style="thin">
        <color indexed="64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theme="2" tint="-0.24994659260841701"/>
      </right>
      <top style="thin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/>
      <top/>
      <bottom style="thin">
        <color theme="2" tint="-0.24994659260841701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indexed="64"/>
      </bottom>
      <diagonal/>
    </border>
    <border>
      <left/>
      <right/>
      <top/>
      <bottom style="thin">
        <color theme="2" tint="-0.2499465926084170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8">
    <xf numFmtId="0" fontId="0" fillId="0" borderId="0"/>
    <xf numFmtId="0" fontId="12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6" fillId="0" borderId="0"/>
    <xf numFmtId="0" fontId="41" fillId="0" borderId="0"/>
    <xf numFmtId="0" fontId="11" fillId="0" borderId="0"/>
    <xf numFmtId="164" fontId="11" fillId="0" borderId="0" applyFont="0" applyFill="0" applyBorder="0" applyAlignment="0" applyProtection="0"/>
  </cellStyleXfs>
  <cellXfs count="435">
    <xf numFmtId="0" fontId="0" fillId="0" borderId="0" xfId="0"/>
    <xf numFmtId="0" fontId="12" fillId="2" borderId="0" xfId="1" applyFill="1" applyAlignment="1">
      <alignment vertical="center" shrinkToFit="1"/>
    </xf>
    <xf numFmtId="49" fontId="12" fillId="2" borderId="0" xfId="1" applyNumberFormat="1" applyFill="1" applyAlignment="1">
      <alignment horizontal="center" vertical="center" shrinkToFit="1"/>
    </xf>
    <xf numFmtId="0" fontId="12" fillId="2" borderId="0" xfId="1" applyFill="1" applyAlignment="1">
      <alignment horizontal="center" vertical="center" shrinkToFit="1"/>
    </xf>
    <xf numFmtId="0" fontId="19" fillId="2" borderId="0" xfId="1" applyFont="1" applyFill="1" applyAlignment="1">
      <alignment vertical="center" shrinkToFit="1"/>
    </xf>
    <xf numFmtId="49" fontId="21" fillId="6" borderId="0" xfId="1" applyNumberFormat="1" applyFont="1" applyFill="1" applyAlignment="1">
      <alignment horizontal="left" vertical="center" shrinkToFit="1"/>
    </xf>
    <xf numFmtId="49" fontId="21" fillId="6" borderId="0" xfId="1" applyNumberFormat="1" applyFont="1" applyFill="1" applyAlignment="1">
      <alignment vertical="center" shrinkToFit="1"/>
    </xf>
    <xf numFmtId="0" fontId="19" fillId="6" borderId="0" xfId="1" applyFont="1" applyFill="1" applyAlignment="1">
      <alignment horizontal="center" vertical="center" shrinkToFit="1"/>
    </xf>
    <xf numFmtId="0" fontId="19" fillId="2" borderId="0" xfId="1" applyFont="1" applyFill="1" applyAlignment="1">
      <alignment horizontal="center" vertical="center" shrinkToFit="1"/>
    </xf>
    <xf numFmtId="0" fontId="16" fillId="2" borderId="0" xfId="1" applyFont="1" applyFill="1" applyAlignment="1">
      <alignment vertical="center" shrinkToFit="1"/>
    </xf>
    <xf numFmtId="49" fontId="17" fillId="4" borderId="0" xfId="1" applyNumberFormat="1" applyFont="1" applyFill="1" applyAlignment="1">
      <alignment horizontal="left" vertical="center" shrinkToFit="1"/>
    </xf>
    <xf numFmtId="49" fontId="17" fillId="4" borderId="0" xfId="1" applyNumberFormat="1" applyFont="1" applyFill="1" applyAlignment="1">
      <alignment vertical="center" shrinkToFit="1"/>
    </xf>
    <xf numFmtId="0" fontId="17" fillId="4" borderId="0" xfId="1" applyFont="1" applyFill="1" applyAlignment="1">
      <alignment horizontal="center" vertical="center" shrinkToFit="1"/>
    </xf>
    <xf numFmtId="0" fontId="17" fillId="2" borderId="0" xfId="1" applyFont="1" applyFill="1" applyAlignment="1">
      <alignment horizontal="center" vertical="center" shrinkToFit="1"/>
    </xf>
    <xf numFmtId="0" fontId="11" fillId="2" borderId="0" xfId="3" applyFill="1" applyAlignment="1">
      <alignment vertical="center" shrinkToFit="1"/>
    </xf>
    <xf numFmtId="0" fontId="12" fillId="2" borderId="0" xfId="1" applyFill="1" applyAlignment="1">
      <alignment shrinkToFit="1"/>
    </xf>
    <xf numFmtId="0" fontId="12" fillId="0" borderId="8" xfId="1" applyBorder="1" applyAlignment="1">
      <alignment shrinkToFit="1"/>
    </xf>
    <xf numFmtId="0" fontId="12" fillId="0" borderId="7" xfId="1" applyBorder="1" applyAlignment="1">
      <alignment shrinkToFit="1"/>
    </xf>
    <xf numFmtId="0" fontId="12" fillId="0" borderId="6" xfId="1" applyBorder="1" applyAlignment="1">
      <alignment shrinkToFit="1"/>
    </xf>
    <xf numFmtId="0" fontId="12" fillId="0" borderId="5" xfId="1" applyBorder="1" applyAlignment="1">
      <alignment shrinkToFit="1"/>
    </xf>
    <xf numFmtId="0" fontId="26" fillId="15" borderId="10" xfId="1" applyFont="1" applyFill="1" applyBorder="1" applyAlignment="1">
      <alignment horizontal="center" vertical="center" shrinkToFit="1"/>
    </xf>
    <xf numFmtId="0" fontId="12" fillId="0" borderId="4" xfId="1" applyBorder="1" applyAlignment="1">
      <alignment shrinkToFit="1"/>
    </xf>
    <xf numFmtId="0" fontId="10" fillId="0" borderId="0" xfId="1" applyFont="1" applyAlignment="1">
      <alignment shrinkToFit="1"/>
    </xf>
    <xf numFmtId="0" fontId="12" fillId="0" borderId="0" xfId="1" applyAlignment="1">
      <alignment shrinkToFit="1"/>
    </xf>
    <xf numFmtId="0" fontId="26" fillId="0" borderId="0" xfId="1" applyFont="1" applyAlignment="1">
      <alignment horizontal="center" vertical="center" shrinkToFit="1"/>
    </xf>
    <xf numFmtId="0" fontId="27" fillId="30" borderId="10" xfId="1" applyFont="1" applyFill="1" applyBorder="1" applyAlignment="1">
      <alignment horizontal="center" vertical="center" shrinkToFit="1"/>
    </xf>
    <xf numFmtId="4" fontId="15" fillId="19" borderId="10" xfId="1" applyNumberFormat="1" applyFont="1" applyFill="1" applyBorder="1" applyAlignment="1">
      <alignment horizontal="center" vertical="center" shrinkToFit="1"/>
    </xf>
    <xf numFmtId="0" fontId="27" fillId="31" borderId="10" xfId="1" applyFont="1" applyFill="1" applyBorder="1" applyAlignment="1">
      <alignment horizontal="center" vertical="center" shrinkToFit="1"/>
    </xf>
    <xf numFmtId="4" fontId="34" fillId="32" borderId="10" xfId="1" applyNumberFormat="1" applyFont="1" applyFill="1" applyBorder="1" applyAlignment="1">
      <alignment horizontal="center" vertical="center" shrinkToFit="1"/>
    </xf>
    <xf numFmtId="0" fontId="9" fillId="0" borderId="10" xfId="1" applyFont="1" applyBorder="1" applyAlignment="1">
      <alignment shrinkToFit="1"/>
    </xf>
    <xf numFmtId="0" fontId="12" fillId="0" borderId="10" xfId="1" applyBorder="1" applyAlignment="1">
      <alignment shrinkToFit="1"/>
    </xf>
    <xf numFmtId="0" fontId="9" fillId="2" borderId="0" xfId="1" applyFont="1" applyFill="1" applyAlignment="1">
      <alignment shrinkToFit="1"/>
    </xf>
    <xf numFmtId="0" fontId="9" fillId="0" borderId="0" xfId="1" applyFont="1" applyAlignment="1">
      <alignment shrinkToFit="1"/>
    </xf>
    <xf numFmtId="0" fontId="12" fillId="0" borderId="10" xfId="1" applyBorder="1" applyAlignment="1">
      <alignment horizontal="center" vertical="center" shrinkToFit="1"/>
    </xf>
    <xf numFmtId="0" fontId="12" fillId="0" borderId="3" xfId="1" applyBorder="1" applyAlignment="1">
      <alignment shrinkToFit="1"/>
    </xf>
    <xf numFmtId="0" fontId="12" fillId="0" borderId="2" xfId="1" applyBorder="1" applyAlignment="1">
      <alignment shrinkToFit="1"/>
    </xf>
    <xf numFmtId="0" fontId="12" fillId="0" borderId="1" xfId="1" applyBorder="1" applyAlignment="1">
      <alignment shrinkToFit="1"/>
    </xf>
    <xf numFmtId="2" fontId="15" fillId="19" borderId="10" xfId="1" applyNumberFormat="1" applyFont="1" applyFill="1" applyBorder="1" applyAlignment="1">
      <alignment horizontal="center" vertical="center" shrinkToFit="1"/>
    </xf>
    <xf numFmtId="0" fontId="10" fillId="0" borderId="10" xfId="1" applyFont="1" applyBorder="1" applyAlignment="1">
      <alignment shrinkToFit="1"/>
    </xf>
    <xf numFmtId="0" fontId="22" fillId="15" borderId="10" xfId="0" applyFont="1" applyFill="1" applyBorder="1" applyAlignment="1" applyProtection="1">
      <alignment horizontal="center" vertical="center" shrinkToFit="1"/>
      <protection hidden="1"/>
    </xf>
    <xf numFmtId="0" fontId="12" fillId="21" borderId="0" xfId="1" applyFill="1" applyAlignment="1">
      <alignment shrinkToFit="1"/>
    </xf>
    <xf numFmtId="0" fontId="10" fillId="21" borderId="0" xfId="1" applyFont="1" applyFill="1" applyAlignment="1">
      <alignment shrinkToFit="1"/>
    </xf>
    <xf numFmtId="0" fontId="10" fillId="21" borderId="0" xfId="1" applyFont="1" applyFill="1" applyAlignment="1">
      <alignment horizontal="center" vertical="center" shrinkToFit="1"/>
    </xf>
    <xf numFmtId="0" fontId="12" fillId="22" borderId="0" xfId="1" applyFill="1" applyAlignment="1">
      <alignment shrinkToFit="1"/>
    </xf>
    <xf numFmtId="0" fontId="12" fillId="20" borderId="0" xfId="1" applyFill="1" applyAlignment="1">
      <alignment shrinkToFit="1"/>
    </xf>
    <xf numFmtId="0" fontId="10" fillId="20" borderId="0" xfId="1" applyFont="1" applyFill="1" applyAlignment="1">
      <alignment shrinkToFit="1"/>
    </xf>
    <xf numFmtId="0" fontId="10" fillId="20" borderId="0" xfId="1" applyFont="1" applyFill="1" applyAlignment="1">
      <alignment horizontal="center" vertical="center" shrinkToFit="1"/>
    </xf>
    <xf numFmtId="0" fontId="26" fillId="15" borderId="0" xfId="1" applyFont="1" applyFill="1" applyAlignment="1">
      <alignment horizontal="center" vertical="center" shrinkToFit="1"/>
    </xf>
    <xf numFmtId="0" fontId="0" fillId="0" borderId="0" xfId="0" applyAlignment="1">
      <alignment shrinkToFit="1"/>
    </xf>
    <xf numFmtId="0" fontId="0" fillId="11" borderId="0" xfId="0" applyFill="1" applyAlignment="1">
      <alignment shrinkToFit="1"/>
    </xf>
    <xf numFmtId="4" fontId="0" fillId="0" borderId="0" xfId="0" applyNumberFormat="1" applyAlignment="1">
      <alignment shrinkToFit="1"/>
    </xf>
    <xf numFmtId="0" fontId="0" fillId="9" borderId="0" xfId="0" applyFill="1" applyAlignment="1">
      <alignment shrinkToFit="1"/>
    </xf>
    <xf numFmtId="0" fontId="0" fillId="12" borderId="0" xfId="0" applyFill="1" applyAlignment="1">
      <alignment shrinkToFit="1"/>
    </xf>
    <xf numFmtId="0" fontId="0" fillId="10" borderId="0" xfId="0" applyFill="1" applyAlignment="1">
      <alignment shrinkToFit="1"/>
    </xf>
    <xf numFmtId="0" fontId="0" fillId="13" borderId="0" xfId="0" applyFill="1" applyAlignment="1">
      <alignment shrinkToFit="1"/>
    </xf>
    <xf numFmtId="0" fontId="0" fillId="14" borderId="0" xfId="0" applyFill="1" applyAlignment="1">
      <alignment shrinkToFit="1"/>
    </xf>
    <xf numFmtId="0" fontId="0" fillId="18" borderId="0" xfId="0" applyFill="1" applyAlignment="1">
      <alignment shrinkToFit="1"/>
    </xf>
    <xf numFmtId="0" fontId="0" fillId="16" borderId="0" xfId="0" applyFill="1" applyAlignment="1">
      <alignment shrinkToFit="1"/>
    </xf>
    <xf numFmtId="0" fontId="0" fillId="15" borderId="0" xfId="0" applyFill="1" applyAlignment="1">
      <alignment shrinkToFit="1"/>
    </xf>
    <xf numFmtId="0" fontId="0" fillId="17" borderId="0" xfId="0" applyFill="1" applyAlignment="1">
      <alignment shrinkToFit="1"/>
    </xf>
    <xf numFmtId="0" fontId="0" fillId="23" borderId="0" xfId="0" applyFill="1" applyAlignment="1">
      <alignment shrinkToFit="1"/>
    </xf>
    <xf numFmtId="0" fontId="0" fillId="24" borderId="0" xfId="0" applyFill="1" applyAlignment="1">
      <alignment shrinkToFit="1"/>
    </xf>
    <xf numFmtId="0" fontId="0" fillId="25" borderId="0" xfId="0" applyFill="1" applyAlignment="1">
      <alignment shrinkToFit="1"/>
    </xf>
    <xf numFmtId="0" fontId="7" fillId="0" borderId="0" xfId="1" applyFont="1" applyAlignment="1">
      <alignment shrinkToFit="1"/>
    </xf>
    <xf numFmtId="0" fontId="26" fillId="15" borderId="19" xfId="1" applyFont="1" applyFill="1" applyBorder="1" applyAlignment="1">
      <alignment horizontal="center" vertical="center" shrinkToFit="1"/>
    </xf>
    <xf numFmtId="0" fontId="27" fillId="30" borderId="20" xfId="1" applyFont="1" applyFill="1" applyBorder="1" applyAlignment="1">
      <alignment horizontal="center" vertical="center" shrinkToFit="1"/>
    </xf>
    <xf numFmtId="0" fontId="7" fillId="0" borderId="10" xfId="1" applyFont="1" applyBorder="1" applyAlignment="1">
      <alignment shrinkToFit="1"/>
    </xf>
    <xf numFmtId="0" fontId="8" fillId="0" borderId="10" xfId="1" applyFont="1" applyBorder="1" applyAlignment="1">
      <alignment shrinkToFit="1"/>
    </xf>
    <xf numFmtId="0" fontId="9" fillId="0" borderId="2" xfId="1" applyFont="1" applyBorder="1" applyAlignment="1">
      <alignment shrinkToFit="1"/>
    </xf>
    <xf numFmtId="0" fontId="35" fillId="2" borderId="9" xfId="0" applyFont="1" applyFill="1" applyBorder="1" applyAlignment="1" applyProtection="1">
      <alignment horizontal="center" vertical="center" shrinkToFit="1"/>
      <protection hidden="1"/>
    </xf>
    <xf numFmtId="0" fontId="6" fillId="0" borderId="10" xfId="1" applyFont="1" applyBorder="1" applyAlignment="1">
      <alignment shrinkToFit="1"/>
    </xf>
    <xf numFmtId="0" fontId="6" fillId="0" borderId="0" xfId="1" applyFont="1" applyAlignment="1">
      <alignment shrinkToFit="1"/>
    </xf>
    <xf numFmtId="0" fontId="38" fillId="0" borderId="9" xfId="0" applyFont="1" applyBorder="1"/>
    <xf numFmtId="0" fontId="0" fillId="0" borderId="9" xfId="0" applyBorder="1" applyAlignment="1">
      <alignment horizontal="center" vertical="center"/>
    </xf>
    <xf numFmtId="0" fontId="39" fillId="0" borderId="9" xfId="0" applyFont="1" applyBorder="1" applyAlignment="1">
      <alignment horizontal="left"/>
    </xf>
    <xf numFmtId="0" fontId="0" fillId="0" borderId="10" xfId="0" applyBorder="1" applyAlignment="1">
      <alignment shrinkToFit="1"/>
    </xf>
    <xf numFmtId="0" fontId="0" fillId="33" borderId="10" xfId="0" applyFill="1" applyBorder="1" applyAlignment="1">
      <alignment horizontal="center" vertical="center" shrinkToFit="1"/>
    </xf>
    <xf numFmtId="0" fontId="0" fillId="29" borderId="10" xfId="0" applyFill="1" applyBorder="1" applyAlignment="1">
      <alignment shrinkToFit="1"/>
    </xf>
    <xf numFmtId="0" fontId="0" fillId="29" borderId="23" xfId="0" applyFill="1" applyBorder="1" applyAlignment="1">
      <alignment shrinkToFit="1"/>
    </xf>
    <xf numFmtId="0" fontId="0" fillId="0" borderId="21" xfId="0" applyBorder="1" applyAlignment="1">
      <alignment shrinkToFit="1"/>
    </xf>
    <xf numFmtId="0" fontId="0" fillId="33" borderId="11" xfId="0" applyFill="1" applyBorder="1" applyAlignment="1">
      <alignment horizontal="center" vertical="center" shrinkToFit="1"/>
    </xf>
    <xf numFmtId="0" fontId="0" fillId="31" borderId="8" xfId="0" applyFill="1" applyBorder="1" applyAlignment="1">
      <alignment horizontal="centerContinuous"/>
    </xf>
    <xf numFmtId="0" fontId="0" fillId="31" borderId="7" xfId="0" applyFill="1" applyBorder="1" applyAlignment="1">
      <alignment horizontal="centerContinuous"/>
    </xf>
    <xf numFmtId="0" fontId="0" fillId="31" borderId="6" xfId="0" applyFill="1" applyBorder="1" applyAlignment="1">
      <alignment horizontal="centerContinuous"/>
    </xf>
    <xf numFmtId="0" fontId="0" fillId="0" borderId="5" xfId="0" applyBorder="1" applyAlignment="1">
      <alignment shrinkToFit="1"/>
    </xf>
    <xf numFmtId="0" fontId="0" fillId="0" borderId="4" xfId="0" applyBorder="1" applyAlignment="1">
      <alignment shrinkToFit="1"/>
    </xf>
    <xf numFmtId="0" fontId="0" fillId="0" borderId="5" xfId="0" applyBorder="1" applyAlignment="1">
      <alignment horizontal="center" vertical="center" shrinkToFit="1"/>
    </xf>
    <xf numFmtId="0" fontId="23" fillId="0" borderId="0" xfId="1" applyFont="1" applyAlignment="1">
      <alignment horizontal="center" vertical="center"/>
    </xf>
    <xf numFmtId="0" fontId="0" fillId="0" borderId="3" xfId="0" applyBorder="1" applyAlignment="1">
      <alignment shrinkToFit="1"/>
    </xf>
    <xf numFmtId="0" fontId="0" fillId="0" borderId="2" xfId="0" applyBorder="1" applyAlignment="1">
      <alignment shrinkToFit="1"/>
    </xf>
    <xf numFmtId="0" fontId="0" fillId="0" borderId="1" xfId="0" applyBorder="1" applyAlignment="1">
      <alignment shrinkToFit="1"/>
    </xf>
    <xf numFmtId="0" fontId="40" fillId="29" borderId="24" xfId="0" applyFont="1" applyFill="1" applyBorder="1" applyAlignment="1">
      <alignment horizontal="centerContinuous"/>
    </xf>
    <xf numFmtId="0" fontId="0" fillId="29" borderId="25" xfId="0" applyFill="1" applyBorder="1" applyAlignment="1">
      <alignment horizontal="centerContinuous"/>
    </xf>
    <xf numFmtId="0" fontId="0" fillId="29" borderId="26" xfId="0" applyFill="1" applyBorder="1" applyAlignment="1">
      <alignment horizontal="centerContinuous"/>
    </xf>
    <xf numFmtId="0" fontId="27" fillId="30" borderId="27" xfId="1" applyFont="1" applyFill="1" applyBorder="1" applyAlignment="1">
      <alignment horizontal="center" vertical="center" shrinkToFit="1"/>
    </xf>
    <xf numFmtId="0" fontId="27" fillId="30" borderId="28" xfId="1" applyFont="1" applyFill="1" applyBorder="1" applyAlignment="1">
      <alignment horizontal="center" vertical="center" shrinkToFit="1"/>
    </xf>
    <xf numFmtId="4" fontId="15" fillId="19" borderId="27" xfId="1" applyNumberFormat="1" applyFont="1" applyFill="1" applyBorder="1" applyAlignment="1">
      <alignment horizontal="center" vertical="center" shrinkToFit="1"/>
    </xf>
    <xf numFmtId="0" fontId="27" fillId="31" borderId="28" xfId="1" applyFont="1" applyFill="1" applyBorder="1" applyAlignment="1">
      <alignment horizontal="center" vertical="center" shrinkToFit="1"/>
    </xf>
    <xf numFmtId="0" fontId="0" fillId="0" borderId="28" xfId="0" applyBorder="1" applyAlignment="1">
      <alignment shrinkToFit="1"/>
    </xf>
    <xf numFmtId="4" fontId="0" fillId="0" borderId="27" xfId="0" applyNumberFormat="1" applyBorder="1" applyAlignment="1">
      <alignment shrinkToFit="1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shrinkToFit="1"/>
    </xf>
    <xf numFmtId="0" fontId="10" fillId="35" borderId="0" xfId="1" applyFont="1" applyFill="1" applyAlignment="1">
      <alignment shrinkToFit="1"/>
    </xf>
    <xf numFmtId="0" fontId="10" fillId="0" borderId="19" xfId="1" applyFont="1" applyBorder="1" applyAlignment="1">
      <alignment shrinkToFit="1"/>
    </xf>
    <xf numFmtId="0" fontId="33" fillId="24" borderId="15" xfId="1" applyFont="1" applyFill="1" applyBorder="1" applyAlignment="1">
      <alignment horizontal="centerContinuous"/>
    </xf>
    <xf numFmtId="0" fontId="33" fillId="24" borderId="16" xfId="1" applyFont="1" applyFill="1" applyBorder="1" applyAlignment="1">
      <alignment horizontal="centerContinuous"/>
    </xf>
    <xf numFmtId="0" fontId="33" fillId="24" borderId="17" xfId="1" applyFont="1" applyFill="1" applyBorder="1" applyAlignment="1">
      <alignment horizontal="centerContinuous"/>
    </xf>
    <xf numFmtId="0" fontId="12" fillId="0" borderId="3" xfId="1" applyBorder="1" applyAlignment="1" applyProtection="1">
      <alignment shrinkToFit="1"/>
      <protection hidden="1"/>
    </xf>
    <xf numFmtId="0" fontId="12" fillId="0" borderId="2" xfId="1" applyBorder="1" applyAlignment="1" applyProtection="1">
      <alignment shrinkToFit="1"/>
      <protection hidden="1"/>
    </xf>
    <xf numFmtId="0" fontId="12" fillId="0" borderId="1" xfId="1" applyBorder="1" applyAlignment="1" applyProtection="1">
      <alignment shrinkToFit="1"/>
      <protection hidden="1"/>
    </xf>
    <xf numFmtId="0" fontId="12" fillId="2" borderId="0" xfId="1" applyFill="1" applyAlignment="1" applyProtection="1">
      <alignment shrinkToFit="1"/>
      <protection hidden="1"/>
    </xf>
    <xf numFmtId="0" fontId="12" fillId="3" borderId="0" xfId="1" applyFill="1" applyAlignment="1" applyProtection="1">
      <alignment shrinkToFit="1"/>
      <protection hidden="1"/>
    </xf>
    <xf numFmtId="0" fontId="14" fillId="3" borderId="0" xfId="2" applyFont="1" applyFill="1" applyBorder="1" applyAlignment="1" applyProtection="1">
      <alignment vertical="center" shrinkToFit="1"/>
      <protection hidden="1"/>
    </xf>
    <xf numFmtId="0" fontId="12" fillId="3" borderId="0" xfId="1" applyFill="1" applyAlignment="1" applyProtection="1">
      <alignment horizontal="center" shrinkToFit="1"/>
      <protection hidden="1"/>
    </xf>
    <xf numFmtId="0" fontId="12" fillId="2" borderId="0" xfId="1" applyFill="1" applyAlignment="1" applyProtection="1">
      <alignment vertical="center" shrinkToFit="1"/>
      <protection hidden="1"/>
    </xf>
    <xf numFmtId="0" fontId="12" fillId="0" borderId="0" xfId="1" applyAlignment="1" applyProtection="1">
      <alignment shrinkToFit="1"/>
      <protection hidden="1"/>
    </xf>
    <xf numFmtId="0" fontId="12" fillId="0" borderId="5" xfId="1" applyBorder="1" applyAlignment="1" applyProtection="1">
      <alignment shrinkToFit="1"/>
      <protection hidden="1"/>
    </xf>
    <xf numFmtId="0" fontId="12" fillId="0" borderId="4" xfId="1" applyBorder="1" applyAlignment="1" applyProtection="1">
      <alignment shrinkToFit="1"/>
      <protection hidden="1"/>
    </xf>
    <xf numFmtId="0" fontId="10" fillId="2" borderId="0" xfId="1" applyFont="1" applyFill="1" applyAlignment="1" applyProtection="1">
      <alignment shrinkToFit="1"/>
      <protection hidden="1"/>
    </xf>
    <xf numFmtId="49" fontId="12" fillId="2" borderId="0" xfId="1" applyNumberFormat="1" applyFill="1" applyAlignment="1" applyProtection="1">
      <alignment horizontal="center" vertical="center" shrinkToFit="1"/>
      <protection hidden="1"/>
    </xf>
    <xf numFmtId="0" fontId="12" fillId="2" borderId="0" xfId="1" applyFill="1" applyAlignment="1" applyProtection="1">
      <alignment horizontal="center" vertical="center" shrinkToFit="1"/>
      <protection hidden="1"/>
    </xf>
    <xf numFmtId="0" fontId="19" fillId="2" borderId="0" xfId="1" applyFont="1" applyFill="1" applyAlignment="1" applyProtection="1">
      <alignment vertical="center" shrinkToFit="1"/>
      <protection hidden="1"/>
    </xf>
    <xf numFmtId="49" fontId="21" fillId="6" borderId="0" xfId="1" applyNumberFormat="1" applyFont="1" applyFill="1" applyAlignment="1" applyProtection="1">
      <alignment horizontal="left" vertical="center" shrinkToFit="1"/>
      <protection hidden="1"/>
    </xf>
    <xf numFmtId="49" fontId="21" fillId="6" borderId="0" xfId="1" applyNumberFormat="1" applyFont="1" applyFill="1" applyAlignment="1" applyProtection="1">
      <alignment horizontal="left" vertical="center" indent="4"/>
      <protection hidden="1"/>
    </xf>
    <xf numFmtId="49" fontId="21" fillId="6" borderId="0" xfId="1" applyNumberFormat="1" applyFont="1" applyFill="1" applyAlignment="1" applyProtection="1">
      <alignment vertical="center" shrinkToFit="1"/>
      <protection hidden="1"/>
    </xf>
    <xf numFmtId="0" fontId="19" fillId="6" borderId="0" xfId="1" applyFont="1" applyFill="1" applyAlignment="1" applyProtection="1">
      <alignment horizontal="center" vertical="center" shrinkToFit="1"/>
      <protection hidden="1"/>
    </xf>
    <xf numFmtId="0" fontId="20" fillId="7" borderId="0" xfId="1" applyFont="1" applyFill="1" applyAlignment="1" applyProtection="1">
      <alignment horizontal="right" vertical="center" shrinkToFit="1"/>
      <protection hidden="1"/>
    </xf>
    <xf numFmtId="0" fontId="19" fillId="2" borderId="0" xfId="1" applyFont="1" applyFill="1" applyAlignment="1" applyProtection="1">
      <alignment horizontal="center" vertical="center" shrinkToFit="1"/>
      <protection hidden="1"/>
    </xf>
    <xf numFmtId="0" fontId="16" fillId="2" borderId="0" xfId="1" applyFont="1" applyFill="1" applyAlignment="1" applyProtection="1">
      <alignment vertical="center" shrinkToFit="1"/>
      <protection hidden="1"/>
    </xf>
    <xf numFmtId="49" fontId="17" fillId="4" borderId="0" xfId="1" applyNumberFormat="1" applyFont="1" applyFill="1" applyAlignment="1" applyProtection="1">
      <alignment horizontal="left" vertical="center" shrinkToFit="1"/>
      <protection hidden="1"/>
    </xf>
    <xf numFmtId="49" fontId="17" fillId="4" borderId="0" xfId="1" applyNumberFormat="1" applyFont="1" applyFill="1" applyAlignment="1" applyProtection="1">
      <alignment horizontal="left" vertical="center" indent="4"/>
      <protection hidden="1"/>
    </xf>
    <xf numFmtId="49" fontId="17" fillId="4" borderId="0" xfId="1" applyNumberFormat="1" applyFont="1" applyFill="1" applyAlignment="1" applyProtection="1">
      <alignment vertical="center" shrinkToFit="1"/>
      <protection hidden="1"/>
    </xf>
    <xf numFmtId="0" fontId="17" fillId="4" borderId="0" xfId="1" applyFont="1" applyFill="1" applyAlignment="1" applyProtection="1">
      <alignment horizontal="center" vertical="center" shrinkToFit="1"/>
      <protection hidden="1"/>
    </xf>
    <xf numFmtId="0" fontId="18" fillId="5" borderId="0" xfId="1" applyFont="1" applyFill="1" applyAlignment="1" applyProtection="1">
      <alignment horizontal="right" vertical="center" shrinkToFit="1"/>
      <protection hidden="1"/>
    </xf>
    <xf numFmtId="0" fontId="17" fillId="2" borderId="0" xfId="1" applyFont="1" applyFill="1" applyAlignment="1" applyProtection="1">
      <alignment horizontal="center" vertical="center" shrinkToFit="1"/>
      <protection hidden="1"/>
    </xf>
    <xf numFmtId="0" fontId="11" fillId="2" borderId="0" xfId="3" applyFill="1" applyAlignment="1" applyProtection="1">
      <alignment vertical="center" shrinkToFit="1"/>
      <protection hidden="1"/>
    </xf>
    <xf numFmtId="0" fontId="12" fillId="0" borderId="8" xfId="1" applyBorder="1" applyAlignment="1" applyProtection="1">
      <alignment shrinkToFit="1"/>
      <protection hidden="1"/>
    </xf>
    <xf numFmtId="0" fontId="30" fillId="0" borderId="18" xfId="1" applyFont="1" applyBorder="1" applyAlignment="1" applyProtection="1">
      <alignment horizontal="center" vertical="center" shrinkToFit="1"/>
      <protection hidden="1"/>
    </xf>
    <xf numFmtId="0" fontId="27" fillId="0" borderId="18" xfId="1" applyFont="1" applyBorder="1" applyAlignment="1" applyProtection="1">
      <alignment horizontal="center" vertical="center" shrinkToFit="1"/>
      <protection hidden="1"/>
    </xf>
    <xf numFmtId="0" fontId="30" fillId="0" borderId="18" xfId="1" applyFont="1" applyBorder="1" applyAlignment="1" applyProtection="1">
      <alignment horizontal="centerContinuous" vertical="center" shrinkToFit="1"/>
      <protection hidden="1"/>
    </xf>
    <xf numFmtId="0" fontId="32" fillId="0" borderId="7" xfId="1" applyFont="1" applyBorder="1" applyAlignment="1" applyProtection="1">
      <alignment shrinkToFit="1"/>
      <protection hidden="1"/>
    </xf>
    <xf numFmtId="0" fontId="12" fillId="0" borderId="7" xfId="1" applyBorder="1" applyAlignment="1" applyProtection="1">
      <alignment shrinkToFit="1"/>
      <protection hidden="1"/>
    </xf>
    <xf numFmtId="0" fontId="12" fillId="0" borderId="6" xfId="1" applyBorder="1" applyAlignment="1" applyProtection="1">
      <alignment shrinkToFit="1"/>
      <protection hidden="1"/>
    </xf>
    <xf numFmtId="0" fontId="12" fillId="8" borderId="0" xfId="1" applyFill="1" applyAlignment="1" applyProtection="1">
      <alignment shrinkToFit="1"/>
      <protection hidden="1"/>
    </xf>
    <xf numFmtId="0" fontId="10" fillId="0" borderId="0" xfId="1" applyFont="1" applyAlignment="1" applyProtection="1">
      <alignment horizontal="centerContinuous" vertical="distributed" shrinkToFit="1"/>
      <protection hidden="1"/>
    </xf>
    <xf numFmtId="0" fontId="10" fillId="0" borderId="0" xfId="1" applyFont="1" applyAlignment="1" applyProtection="1">
      <alignment shrinkToFit="1"/>
      <protection hidden="1"/>
    </xf>
    <xf numFmtId="0" fontId="9" fillId="0" borderId="10" xfId="1" applyFont="1" applyBorder="1" applyAlignment="1" applyProtection="1">
      <alignment vertical="center" shrinkToFit="1"/>
      <protection locked="0"/>
    </xf>
    <xf numFmtId="0" fontId="12" fillId="0" borderId="10" xfId="1" applyBorder="1" applyAlignment="1" applyProtection="1">
      <alignment horizontal="center" vertical="center" shrinkToFit="1"/>
      <protection locked="0"/>
    </xf>
    <xf numFmtId="0" fontId="10" fillId="0" borderId="10" xfId="1" applyFont="1" applyBorder="1" applyAlignment="1" applyProtection="1">
      <alignment horizontal="center" vertical="center" shrinkToFit="1"/>
      <protection locked="0"/>
    </xf>
    <xf numFmtId="0" fontId="9" fillId="0" borderId="10" xfId="1" applyFont="1" applyBorder="1" applyAlignment="1" applyProtection="1">
      <alignment horizontal="center" vertical="center" shrinkToFit="1"/>
      <protection locked="0"/>
    </xf>
    <xf numFmtId="0" fontId="9" fillId="0" borderId="10" xfId="1" applyFont="1" applyBorder="1" applyAlignment="1" applyProtection="1">
      <alignment shrinkToFit="1"/>
      <protection locked="0"/>
    </xf>
    <xf numFmtId="3" fontId="10" fillId="0" borderId="10" xfId="1" applyNumberFormat="1" applyFont="1" applyBorder="1" applyAlignment="1" applyProtection="1">
      <alignment horizontal="center" vertical="center" shrinkToFit="1"/>
      <protection locked="0"/>
    </xf>
    <xf numFmtId="0" fontId="27" fillId="36" borderId="10" xfId="1" applyFont="1" applyFill="1" applyBorder="1" applyAlignment="1" applyProtection="1">
      <alignment horizontal="center" vertical="center" shrinkToFit="1"/>
      <protection locked="0"/>
    </xf>
    <xf numFmtId="0" fontId="23" fillId="0" borderId="10" xfId="1" applyFont="1" applyBorder="1" applyAlignment="1" applyProtection="1">
      <alignment horizontal="center" vertical="center" shrinkToFit="1"/>
      <protection locked="0"/>
    </xf>
    <xf numFmtId="0" fontId="26" fillId="15" borderId="10" xfId="1" applyFont="1" applyFill="1" applyBorder="1" applyAlignment="1" applyProtection="1">
      <alignment horizontal="center" vertical="center" shrinkToFit="1"/>
      <protection hidden="1"/>
    </xf>
    <xf numFmtId="0" fontId="10" fillId="0" borderId="0" xfId="1" applyFont="1" applyAlignment="1" applyProtection="1">
      <alignment horizontal="center" vertical="center" shrinkToFit="1"/>
      <protection hidden="1"/>
    </xf>
    <xf numFmtId="0" fontId="27" fillId="30" borderId="10" xfId="1" applyFont="1" applyFill="1" applyBorder="1" applyAlignment="1" applyProtection="1">
      <alignment horizontal="center" vertical="center" shrinkToFit="1"/>
      <protection hidden="1"/>
    </xf>
    <xf numFmtId="4" fontId="15" fillId="19" borderId="10" xfId="1" applyNumberFormat="1" applyFont="1" applyFill="1" applyBorder="1" applyAlignment="1" applyProtection="1">
      <alignment horizontal="center" vertical="center" shrinkToFit="1"/>
      <protection hidden="1"/>
    </xf>
    <xf numFmtId="9" fontId="10" fillId="0" borderId="0" xfId="1" applyNumberFormat="1" applyFont="1" applyAlignment="1" applyProtection="1">
      <alignment horizontal="center" vertical="center" shrinkToFit="1"/>
      <protection hidden="1"/>
    </xf>
    <xf numFmtId="0" fontId="27" fillId="31" borderId="10" xfId="1" applyFont="1" applyFill="1" applyBorder="1" applyAlignment="1" applyProtection="1">
      <alignment horizontal="center" vertical="center" shrinkToFit="1"/>
      <protection hidden="1"/>
    </xf>
    <xf numFmtId="4" fontId="34" fillId="32" borderId="10" xfId="1" applyNumberFormat="1" applyFont="1" applyFill="1" applyBorder="1" applyAlignment="1" applyProtection="1">
      <alignment horizontal="center" vertical="center" shrinkToFit="1"/>
      <protection hidden="1"/>
    </xf>
    <xf numFmtId="0" fontId="15" fillId="19" borderId="10" xfId="1" applyFont="1" applyFill="1" applyBorder="1" applyAlignment="1" applyProtection="1">
      <alignment horizontal="center" vertical="center" shrinkToFit="1"/>
      <protection hidden="1"/>
    </xf>
    <xf numFmtId="0" fontId="9" fillId="2" borderId="0" xfId="1" applyFont="1" applyFill="1" applyAlignment="1" applyProtection="1">
      <alignment shrinkToFit="1"/>
      <protection hidden="1"/>
    </xf>
    <xf numFmtId="0" fontId="29" fillId="19" borderId="10" xfId="1" applyFont="1" applyFill="1" applyBorder="1" applyAlignment="1" applyProtection="1">
      <alignment horizontal="center" vertical="center" shrinkToFit="1"/>
      <protection hidden="1"/>
    </xf>
    <xf numFmtId="0" fontId="12" fillId="2" borderId="0" xfId="1" applyFill="1" applyAlignment="1" applyProtection="1">
      <alignment vertical="center"/>
      <protection hidden="1"/>
    </xf>
    <xf numFmtId="49" fontId="12" fillId="2" borderId="0" xfId="1" applyNumberFormat="1" applyFill="1" applyAlignment="1" applyProtection="1">
      <alignment horizontal="center" vertical="center"/>
      <protection hidden="1"/>
    </xf>
    <xf numFmtId="0" fontId="12" fillId="2" borderId="0" xfId="1" applyFill="1" applyAlignment="1" applyProtection="1">
      <alignment horizontal="center" vertical="center"/>
      <protection hidden="1"/>
    </xf>
    <xf numFmtId="0" fontId="19" fillId="2" borderId="0" xfId="1" applyFont="1" applyFill="1" applyAlignment="1" applyProtection="1">
      <alignment vertical="center"/>
      <protection hidden="1"/>
    </xf>
    <xf numFmtId="49" fontId="21" fillId="6" borderId="0" xfId="1" applyNumberFormat="1" applyFont="1" applyFill="1" applyAlignment="1" applyProtection="1">
      <alignment horizontal="left" vertical="center" indent="1"/>
      <protection hidden="1"/>
    </xf>
    <xf numFmtId="49" fontId="21" fillId="6" borderId="0" xfId="1" applyNumberFormat="1" applyFont="1" applyFill="1" applyAlignment="1" applyProtection="1">
      <alignment vertical="center"/>
      <protection hidden="1"/>
    </xf>
    <xf numFmtId="0" fontId="19" fillId="6" borderId="0" xfId="1" applyFont="1" applyFill="1" applyAlignment="1" applyProtection="1">
      <alignment horizontal="center" vertical="center"/>
      <protection hidden="1"/>
    </xf>
    <xf numFmtId="0" fontId="20" fillId="7" borderId="0" xfId="1" applyFont="1" applyFill="1" applyAlignment="1" applyProtection="1">
      <alignment horizontal="right" vertical="center"/>
      <protection hidden="1"/>
    </xf>
    <xf numFmtId="0" fontId="19" fillId="2" borderId="0" xfId="1" applyFont="1" applyFill="1" applyAlignment="1" applyProtection="1">
      <alignment horizontal="center" vertical="center"/>
      <protection hidden="1"/>
    </xf>
    <xf numFmtId="0" fontId="16" fillId="2" borderId="0" xfId="1" applyFont="1" applyFill="1" applyAlignment="1" applyProtection="1">
      <alignment vertical="center"/>
      <protection hidden="1"/>
    </xf>
    <xf numFmtId="49" fontId="17" fillId="4" borderId="0" xfId="1" applyNumberFormat="1" applyFont="1" applyFill="1" applyAlignment="1" applyProtection="1">
      <alignment horizontal="left" vertical="center" indent="1"/>
      <protection hidden="1"/>
    </xf>
    <xf numFmtId="49" fontId="17" fillId="4" borderId="0" xfId="1" applyNumberFormat="1" applyFont="1" applyFill="1" applyAlignment="1" applyProtection="1">
      <alignment vertical="center"/>
      <protection hidden="1"/>
    </xf>
    <xf numFmtId="0" fontId="17" fillId="4" borderId="0" xfId="1" applyFont="1" applyFill="1" applyAlignment="1" applyProtection="1">
      <alignment horizontal="center" vertical="center"/>
      <protection hidden="1"/>
    </xf>
    <xf numFmtId="0" fontId="18" fillId="5" borderId="0" xfId="1" applyFont="1" applyFill="1" applyAlignment="1" applyProtection="1">
      <alignment horizontal="right" vertical="center"/>
      <protection hidden="1"/>
    </xf>
    <xf numFmtId="0" fontId="17" fillId="2" borderId="0" xfId="1" applyFont="1" applyFill="1" applyAlignment="1" applyProtection="1">
      <alignment horizontal="center" vertical="center"/>
      <protection hidden="1"/>
    </xf>
    <xf numFmtId="0" fontId="11" fillId="2" borderId="0" xfId="3" applyFill="1" applyAlignment="1" applyProtection="1">
      <alignment vertical="center"/>
      <protection hidden="1"/>
    </xf>
    <xf numFmtId="0" fontId="12" fillId="2" borderId="0" xfId="1" applyFill="1" applyProtection="1">
      <protection hidden="1"/>
    </xf>
    <xf numFmtId="0" fontId="12" fillId="3" borderId="0" xfId="1" applyFill="1" applyProtection="1">
      <protection hidden="1"/>
    </xf>
    <xf numFmtId="0" fontId="14" fillId="3" borderId="0" xfId="2" applyFont="1" applyFill="1" applyBorder="1" applyAlignment="1" applyProtection="1">
      <alignment vertical="center"/>
      <protection hidden="1"/>
    </xf>
    <xf numFmtId="0" fontId="12" fillId="3" borderId="0" xfId="1" applyFill="1" applyAlignment="1" applyProtection="1">
      <alignment horizontal="center"/>
      <protection hidden="1"/>
    </xf>
    <xf numFmtId="0" fontId="32" fillId="8" borderId="10" xfId="1" applyFont="1" applyFill="1" applyBorder="1" applyAlignment="1" applyProtection="1">
      <alignment horizontal="center" vertical="center"/>
      <protection locked="0"/>
    </xf>
    <xf numFmtId="0" fontId="12" fillId="8" borderId="10" xfId="1" applyFill="1" applyBorder="1" applyAlignment="1" applyProtection="1">
      <alignment horizontal="center" vertical="center" shrinkToFit="1"/>
      <protection locked="0"/>
    </xf>
    <xf numFmtId="0" fontId="36" fillId="2" borderId="10" xfId="1" applyFont="1" applyFill="1" applyBorder="1" applyAlignment="1" applyProtection="1">
      <alignment horizontal="center" vertical="center"/>
      <protection hidden="1"/>
    </xf>
    <xf numFmtId="0" fontId="6" fillId="2" borderId="0" xfId="4" applyFill="1" applyAlignment="1">
      <alignment vertical="center"/>
    </xf>
    <xf numFmtId="49" fontId="6" fillId="2" borderId="0" xfId="4" applyNumberFormat="1" applyFill="1" applyAlignment="1">
      <alignment horizontal="center" vertical="center"/>
    </xf>
    <xf numFmtId="0" fontId="19" fillId="2" borderId="0" xfId="4" applyFont="1" applyFill="1" applyAlignment="1">
      <alignment vertical="center"/>
    </xf>
    <xf numFmtId="49" fontId="21" fillId="6" borderId="0" xfId="4" applyNumberFormat="1" applyFont="1" applyFill="1" applyAlignment="1">
      <alignment horizontal="left" vertical="center" indent="2"/>
    </xf>
    <xf numFmtId="0" fontId="20" fillId="2" borderId="0" xfId="4" applyFont="1" applyFill="1" applyAlignment="1">
      <alignment horizontal="right" vertical="center"/>
    </xf>
    <xf numFmtId="0" fontId="19" fillId="2" borderId="0" xfId="4" applyFont="1" applyFill="1" applyAlignment="1">
      <alignment horizontal="center" vertical="center"/>
    </xf>
    <xf numFmtId="0" fontId="16" fillId="2" borderId="0" xfId="4" applyFont="1" applyFill="1" applyAlignment="1">
      <alignment vertical="center"/>
    </xf>
    <xf numFmtId="49" fontId="17" fillId="4" borderId="0" xfId="4" applyNumberFormat="1" applyFont="1" applyFill="1" applyAlignment="1">
      <alignment horizontal="left" vertical="center" indent="2"/>
    </xf>
    <xf numFmtId="0" fontId="18" fillId="2" borderId="0" xfId="4" applyFont="1" applyFill="1" applyAlignment="1">
      <alignment horizontal="right" vertical="center"/>
    </xf>
    <xf numFmtId="0" fontId="17" fillId="2" borderId="0" xfId="4" applyFont="1" applyFill="1" applyAlignment="1">
      <alignment horizontal="center" vertical="center"/>
    </xf>
    <xf numFmtId="0" fontId="6" fillId="2" borderId="0" xfId="4" applyFill="1"/>
    <xf numFmtId="0" fontId="42" fillId="2" borderId="0" xfId="5" applyFont="1" applyFill="1" applyAlignment="1">
      <alignment vertical="center"/>
    </xf>
    <xf numFmtId="0" fontId="11" fillId="0" borderId="29" xfId="6" applyBorder="1" applyAlignment="1">
      <alignment horizontal="left" wrapText="1" indent="1"/>
    </xf>
    <xf numFmtId="0" fontId="11" fillId="2" borderId="0" xfId="6" applyFill="1"/>
    <xf numFmtId="0" fontId="44" fillId="2" borderId="0" xfId="5" applyFont="1" applyFill="1" applyAlignment="1">
      <alignment vertical="center"/>
    </xf>
    <xf numFmtId="0" fontId="11" fillId="0" borderId="30" xfId="6" applyBorder="1" applyAlignment="1">
      <alignment horizontal="left" indent="1"/>
    </xf>
    <xf numFmtId="0" fontId="11" fillId="0" borderId="30" xfId="6" applyBorder="1" applyAlignment="1">
      <alignment horizontal="left" vertical="center" wrapText="1" indent="1"/>
    </xf>
    <xf numFmtId="0" fontId="11" fillId="0" borderId="30" xfId="6" applyBorder="1" applyAlignment="1">
      <alignment horizontal="left" vertical="top" wrapText="1" indent="2"/>
    </xf>
    <xf numFmtId="0" fontId="45" fillId="2" borderId="0" xfId="5" applyFont="1" applyFill="1" applyAlignment="1">
      <alignment vertical="center"/>
    </xf>
    <xf numFmtId="0" fontId="43" fillId="0" borderId="30" xfId="6" applyFont="1" applyBorder="1" applyAlignment="1">
      <alignment horizontal="left" indent="1"/>
    </xf>
    <xf numFmtId="0" fontId="11" fillId="0" borderId="31" xfId="6" applyBorder="1" applyAlignment="1">
      <alignment horizontal="left" indent="1"/>
    </xf>
    <xf numFmtId="0" fontId="5" fillId="0" borderId="10" xfId="1" applyFont="1" applyBorder="1" applyAlignment="1">
      <alignment shrinkToFit="1"/>
    </xf>
    <xf numFmtId="0" fontId="4" fillId="0" borderId="10" xfId="1" applyFont="1" applyBorder="1" applyAlignment="1" applyProtection="1">
      <alignment horizontal="center" vertical="center" shrinkToFit="1"/>
      <protection locked="0"/>
    </xf>
    <xf numFmtId="0" fontId="4" fillId="0" borderId="10" xfId="1" applyFont="1" applyBorder="1" applyAlignment="1" applyProtection="1">
      <alignment vertical="center" shrinkToFit="1"/>
      <protection locked="0"/>
    </xf>
    <xf numFmtId="0" fontId="15" fillId="2" borderId="10" xfId="1" applyFont="1" applyFill="1" applyBorder="1" applyAlignment="1" applyProtection="1">
      <alignment horizontal="left" vertical="center" shrinkToFit="1"/>
      <protection hidden="1"/>
    </xf>
    <xf numFmtId="0" fontId="36" fillId="2" borderId="10" xfId="1" applyFont="1" applyFill="1" applyBorder="1" applyAlignment="1" applyProtection="1">
      <alignment horizontal="center" vertical="center" shrinkToFit="1"/>
      <protection hidden="1"/>
    </xf>
    <xf numFmtId="0" fontId="0" fillId="29" borderId="10" xfId="0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32" xfId="0" applyBorder="1" applyAlignment="1">
      <alignment shrinkToFit="1"/>
    </xf>
    <xf numFmtId="4" fontId="0" fillId="0" borderId="33" xfId="0" applyNumberFormat="1" applyBorder="1" applyAlignment="1">
      <alignment shrinkToFit="1"/>
    </xf>
    <xf numFmtId="0" fontId="4" fillId="8" borderId="10" xfId="1" applyFont="1" applyFill="1" applyBorder="1" applyAlignment="1" applyProtection="1">
      <alignment vertical="center" shrinkToFit="1"/>
      <protection locked="0"/>
    </xf>
    <xf numFmtId="4" fontId="10" fillId="0" borderId="10" xfId="1" applyNumberFormat="1" applyFont="1" applyBorder="1" applyAlignment="1" applyProtection="1">
      <alignment horizontal="center" vertical="center" shrinkToFit="1"/>
      <protection locked="0"/>
    </xf>
    <xf numFmtId="2" fontId="0" fillId="0" borderId="0" xfId="0" applyNumberFormat="1" applyAlignment="1">
      <alignment shrinkToFit="1"/>
    </xf>
    <xf numFmtId="0" fontId="27" fillId="30" borderId="10" xfId="1" applyFont="1" applyFill="1" applyBorder="1" applyAlignment="1" applyProtection="1">
      <alignment horizontal="center" vertical="center"/>
      <protection hidden="1"/>
    </xf>
    <xf numFmtId="0" fontId="0" fillId="0" borderId="34" xfId="0" applyBorder="1" applyAlignment="1">
      <alignment shrinkToFit="1"/>
    </xf>
    <xf numFmtId="4" fontId="0" fillId="0" borderId="35" xfId="0" applyNumberFormat="1" applyBorder="1" applyAlignment="1">
      <alignment shrinkToFit="1"/>
    </xf>
    <xf numFmtId="0" fontId="0" fillId="29" borderId="37" xfId="0" applyFill="1" applyBorder="1" applyAlignment="1">
      <alignment horizontal="centerContinuous" shrinkToFit="1"/>
    </xf>
    <xf numFmtId="0" fontId="0" fillId="29" borderId="38" xfId="0" applyFill="1" applyBorder="1" applyAlignment="1">
      <alignment horizontal="centerContinuous" shrinkToFit="1"/>
    </xf>
    <xf numFmtId="0" fontId="0" fillId="29" borderId="39" xfId="0" applyFill="1" applyBorder="1" applyAlignment="1">
      <alignment horizontal="centerContinuous" shrinkToFit="1"/>
    </xf>
    <xf numFmtId="2" fontId="0" fillId="0" borderId="27" xfId="0" applyNumberFormat="1" applyBorder="1" applyAlignment="1">
      <alignment shrinkToFit="1"/>
    </xf>
    <xf numFmtId="4" fontId="4" fillId="0" borderId="10" xfId="1" applyNumberFormat="1" applyFont="1" applyBorder="1" applyAlignment="1" applyProtection="1">
      <alignment horizontal="center" vertical="center" shrinkToFit="1"/>
      <protection locked="0"/>
    </xf>
    <xf numFmtId="0" fontId="27" fillId="30" borderId="10" xfId="0" applyFont="1" applyFill="1" applyBorder="1" applyAlignment="1" applyProtection="1">
      <alignment horizontal="left" vertical="center" shrinkToFit="1"/>
      <protection hidden="1"/>
    </xf>
    <xf numFmtId="0" fontId="32" fillId="30" borderId="10" xfId="1" applyFont="1" applyFill="1" applyBorder="1" applyAlignment="1" applyProtection="1">
      <alignment horizontal="left" vertical="center"/>
      <protection hidden="1"/>
    </xf>
    <xf numFmtId="0" fontId="4" fillId="0" borderId="10" xfId="1" applyFont="1" applyBorder="1" applyAlignment="1" applyProtection="1">
      <alignment horizontal="left" vertical="center" shrinkToFit="1"/>
      <protection locked="0"/>
    </xf>
    <xf numFmtId="0" fontId="4" fillId="8" borderId="10" xfId="1" applyFont="1" applyFill="1" applyBorder="1" applyAlignment="1" applyProtection="1">
      <alignment horizontal="left" vertical="center" shrinkToFit="1"/>
      <protection locked="0"/>
    </xf>
    <xf numFmtId="0" fontId="9" fillId="0" borderId="10" xfId="1" applyFont="1" applyBorder="1" applyAlignment="1" applyProtection="1">
      <alignment horizontal="left" vertical="center" shrinkToFit="1"/>
      <protection locked="0"/>
    </xf>
    <xf numFmtId="0" fontId="9" fillId="8" borderId="10" xfId="1" applyFont="1" applyFill="1" applyBorder="1" applyAlignment="1" applyProtection="1">
      <alignment horizontal="left" vertical="center" shrinkToFit="1"/>
      <protection locked="0"/>
    </xf>
    <xf numFmtId="0" fontId="12" fillId="0" borderId="2" xfId="1" applyBorder="1" applyAlignment="1" applyProtection="1">
      <alignment horizontal="left" shrinkToFit="1"/>
      <protection hidden="1"/>
    </xf>
    <xf numFmtId="2" fontId="10" fillId="0" borderId="10" xfId="1" applyNumberFormat="1" applyFont="1" applyBorder="1" applyAlignment="1" applyProtection="1">
      <alignment horizontal="center" vertical="center" shrinkToFit="1"/>
      <protection locked="0"/>
    </xf>
    <xf numFmtId="2" fontId="10" fillId="0" borderId="10" xfId="1" applyNumberFormat="1" applyFont="1" applyBorder="1" applyAlignment="1">
      <alignment horizontal="center" vertical="center" shrinkToFit="1"/>
    </xf>
    <xf numFmtId="2" fontId="10" fillId="0" borderId="27" xfId="1" applyNumberFormat="1" applyFont="1" applyBorder="1" applyAlignment="1">
      <alignment horizontal="center" vertical="center" shrinkToFit="1"/>
    </xf>
    <xf numFmtId="0" fontId="23" fillId="8" borderId="5" xfId="1" applyFont="1" applyFill="1" applyBorder="1" applyProtection="1">
      <protection hidden="1"/>
    </xf>
    <xf numFmtId="0" fontId="23" fillId="8" borderId="0" xfId="1" applyFont="1" applyFill="1" applyProtection="1">
      <protection hidden="1"/>
    </xf>
    <xf numFmtId="0" fontId="23" fillId="8" borderId="4" xfId="1" applyFont="1" applyFill="1" applyBorder="1" applyProtection="1">
      <protection hidden="1"/>
    </xf>
    <xf numFmtId="0" fontId="23" fillId="8" borderId="3" xfId="1" applyFont="1" applyFill="1" applyBorder="1" applyProtection="1">
      <protection hidden="1"/>
    </xf>
    <xf numFmtId="0" fontId="23" fillId="8" borderId="2" xfId="1" applyFont="1" applyFill="1" applyBorder="1" applyProtection="1">
      <protection hidden="1"/>
    </xf>
    <xf numFmtId="0" fontId="23" fillId="8" borderId="1" xfId="1" applyFont="1" applyFill="1" applyBorder="1" applyProtection="1">
      <protection hidden="1"/>
    </xf>
    <xf numFmtId="0" fontId="23" fillId="8" borderId="0" xfId="1" applyFont="1" applyFill="1" applyAlignment="1" applyProtection="1">
      <alignment horizontal="center" vertical="center"/>
      <protection hidden="1"/>
    </xf>
    <xf numFmtId="9" fontId="23" fillId="8" borderId="0" xfId="1" applyNumberFormat="1" applyFont="1" applyFill="1" applyProtection="1">
      <protection hidden="1"/>
    </xf>
    <xf numFmtId="0" fontId="12" fillId="8" borderId="0" xfId="1" applyFill="1" applyAlignment="1" applyProtection="1">
      <alignment horizontal="center" vertical="center"/>
      <protection hidden="1"/>
    </xf>
    <xf numFmtId="0" fontId="12" fillId="8" borderId="0" xfId="1" applyFill="1" applyProtection="1">
      <protection hidden="1"/>
    </xf>
    <xf numFmtId="0" fontId="24" fillId="8" borderId="0" xfId="0" applyFont="1" applyFill="1" applyAlignment="1" applyProtection="1">
      <alignment horizontal="center" vertical="center" shrinkToFit="1"/>
      <protection hidden="1"/>
    </xf>
    <xf numFmtId="0" fontId="24" fillId="8" borderId="0" xfId="0" applyFont="1" applyFill="1" applyAlignment="1" applyProtection="1">
      <alignment horizontal="center" vertical="center" wrapText="1" shrinkToFit="1"/>
      <protection hidden="1"/>
    </xf>
    <xf numFmtId="0" fontId="23" fillId="8" borderId="8" xfId="1" applyFont="1" applyFill="1" applyBorder="1" applyProtection="1">
      <protection hidden="1"/>
    </xf>
    <xf numFmtId="0" fontId="23" fillId="8" borderId="7" xfId="1" applyFont="1" applyFill="1" applyBorder="1" applyProtection="1">
      <protection hidden="1"/>
    </xf>
    <xf numFmtId="0" fontId="23" fillId="8" borderId="6" xfId="1" applyFont="1" applyFill="1" applyBorder="1" applyProtection="1">
      <protection hidden="1"/>
    </xf>
    <xf numFmtId="0" fontId="27" fillId="37" borderId="10" xfId="1" applyFont="1" applyFill="1" applyBorder="1" applyAlignment="1" applyProtection="1">
      <alignment horizontal="center" vertical="center" shrinkToFit="1"/>
      <protection hidden="1"/>
    </xf>
    <xf numFmtId="0" fontId="12" fillId="0" borderId="40" xfId="1" applyBorder="1" applyAlignment="1" applyProtection="1">
      <alignment shrinkToFit="1"/>
      <protection hidden="1"/>
    </xf>
    <xf numFmtId="0" fontId="49" fillId="2" borderId="0" xfId="1" applyFont="1" applyFill="1" applyAlignment="1" applyProtection="1">
      <alignment vertical="center" shrinkToFit="1"/>
      <protection hidden="1"/>
    </xf>
    <xf numFmtId="49" fontId="50" fillId="4" borderId="0" xfId="1" applyNumberFormat="1" applyFont="1" applyFill="1" applyAlignment="1" applyProtection="1">
      <alignment horizontal="left" vertical="center" shrinkToFit="1"/>
      <protection hidden="1"/>
    </xf>
    <xf numFmtId="49" fontId="50" fillId="4" borderId="0" xfId="1" applyNumberFormat="1" applyFont="1" applyFill="1" applyAlignment="1" applyProtection="1">
      <alignment horizontal="left" vertical="center" indent="4"/>
      <protection hidden="1"/>
    </xf>
    <xf numFmtId="0" fontId="50" fillId="4" borderId="0" xfId="1" applyFont="1" applyFill="1" applyAlignment="1" applyProtection="1">
      <alignment horizontal="center" vertical="center" shrinkToFit="1"/>
      <protection hidden="1"/>
    </xf>
    <xf numFmtId="0" fontId="50" fillId="2" borderId="0" xfId="1" applyFont="1" applyFill="1" applyAlignment="1" applyProtection="1">
      <alignment horizontal="center" vertical="center" shrinkToFit="1"/>
      <protection hidden="1"/>
    </xf>
    <xf numFmtId="0" fontId="4" fillId="8" borderId="10" xfId="1" applyFont="1" applyFill="1" applyBorder="1" applyAlignment="1">
      <alignment vertical="center" shrinkToFit="1"/>
    </xf>
    <xf numFmtId="0" fontId="4" fillId="0" borderId="10" xfId="1" applyFont="1" applyBorder="1" applyAlignment="1">
      <alignment shrinkToFit="1"/>
    </xf>
    <xf numFmtId="0" fontId="10" fillId="0" borderId="10" xfId="1" applyFont="1" applyBorder="1" applyAlignment="1">
      <alignment vertical="center" shrinkToFit="1"/>
    </xf>
    <xf numFmtId="2" fontId="10" fillId="0" borderId="10" xfId="1" applyNumberFormat="1" applyFont="1" applyBorder="1" applyAlignment="1">
      <alignment shrinkToFit="1"/>
    </xf>
    <xf numFmtId="2" fontId="12" fillId="0" borderId="10" xfId="1" applyNumberFormat="1" applyBorder="1" applyAlignment="1">
      <alignment shrinkToFit="1"/>
    </xf>
    <xf numFmtId="49" fontId="50" fillId="4" borderId="0" xfId="1" applyNumberFormat="1" applyFont="1" applyFill="1" applyAlignment="1" applyProtection="1">
      <alignment vertical="center" shrinkToFit="1"/>
      <protection hidden="1"/>
    </xf>
    <xf numFmtId="0" fontId="51" fillId="5" borderId="0" xfId="1" applyFont="1" applyFill="1" applyAlignment="1" applyProtection="1">
      <alignment horizontal="center" vertical="center" shrinkToFit="1"/>
      <protection hidden="1"/>
    </xf>
    <xf numFmtId="4" fontId="37" fillId="2" borderId="10" xfId="7" applyNumberFormat="1" applyFont="1" applyFill="1" applyBorder="1" applyAlignment="1" applyProtection="1">
      <alignment horizontal="center" vertical="center" shrinkToFit="1"/>
      <protection hidden="1"/>
    </xf>
    <xf numFmtId="4" fontId="15" fillId="2" borderId="10" xfId="7" applyNumberFormat="1" applyFont="1" applyFill="1" applyBorder="1" applyAlignment="1" applyProtection="1">
      <alignment horizontal="center" vertical="center" shrinkToFit="1"/>
      <protection hidden="1"/>
    </xf>
    <xf numFmtId="4" fontId="12" fillId="0" borderId="10" xfId="7" applyNumberFormat="1" applyFont="1" applyBorder="1" applyAlignment="1" applyProtection="1">
      <alignment horizontal="center" vertical="center" shrinkToFit="1"/>
      <protection locked="0"/>
    </xf>
    <xf numFmtId="4" fontId="15" fillId="2" borderId="10" xfId="1" applyNumberFormat="1" applyFont="1" applyFill="1" applyBorder="1" applyAlignment="1" applyProtection="1">
      <alignment horizontal="center" vertical="center" shrinkToFit="1"/>
      <protection hidden="1"/>
    </xf>
    <xf numFmtId="4" fontId="36" fillId="2" borderId="10" xfId="0" applyNumberFormat="1" applyFont="1" applyFill="1" applyBorder="1" applyAlignment="1" applyProtection="1">
      <alignment horizontal="center" vertical="center" shrinkToFit="1"/>
      <protection hidden="1"/>
    </xf>
    <xf numFmtId="4" fontId="36" fillId="2" borderId="10" xfId="1" applyNumberFormat="1" applyFont="1" applyFill="1" applyBorder="1" applyAlignment="1" applyProtection="1">
      <alignment horizontal="center" vertical="center"/>
      <protection hidden="1"/>
    </xf>
    <xf numFmtId="4" fontId="32" fillId="8" borderId="10" xfId="1" applyNumberFormat="1" applyFont="1" applyFill="1" applyBorder="1" applyAlignment="1" applyProtection="1">
      <alignment horizontal="center" vertical="center"/>
      <protection locked="0"/>
    </xf>
    <xf numFmtId="0" fontId="22" fillId="38" borderId="10" xfId="0" applyFont="1" applyFill="1" applyBorder="1" applyAlignment="1" applyProtection="1">
      <alignment horizontal="center" vertical="center" shrinkToFit="1"/>
      <protection locked="0"/>
    </xf>
    <xf numFmtId="0" fontId="0" fillId="38" borderId="0" xfId="0" applyFill="1" applyAlignment="1">
      <alignment shrinkToFit="1"/>
    </xf>
    <xf numFmtId="0" fontId="12" fillId="0" borderId="40" xfId="1" applyBorder="1" applyAlignment="1" applyProtection="1">
      <alignment horizontal="center" shrinkToFit="1"/>
      <protection hidden="1"/>
    </xf>
    <xf numFmtId="0" fontId="10" fillId="2" borderId="0" xfId="1" applyFont="1" applyFill="1" applyAlignment="1" applyProtection="1">
      <alignment horizontal="center" vertical="center" shrinkToFit="1"/>
      <protection hidden="1"/>
    </xf>
    <xf numFmtId="0" fontId="26" fillId="2" borderId="0" xfId="1" applyFont="1" applyFill="1" applyAlignment="1" applyProtection="1">
      <alignment horizontal="center" vertical="center" shrinkToFit="1"/>
      <protection hidden="1"/>
    </xf>
    <xf numFmtId="0" fontId="31" fillId="0" borderId="0" xfId="1" applyFont="1" applyAlignment="1" applyProtection="1">
      <alignment shrinkToFit="1"/>
      <protection hidden="1"/>
    </xf>
    <xf numFmtId="0" fontId="9" fillId="0" borderId="0" xfId="1" applyFont="1" applyAlignment="1" applyProtection="1">
      <alignment horizontal="right" vertical="center" shrinkToFit="1"/>
      <protection hidden="1"/>
    </xf>
    <xf numFmtId="0" fontId="10" fillId="0" borderId="2" xfId="1" applyFont="1" applyBorder="1" applyAlignment="1" applyProtection="1">
      <alignment shrinkToFit="1"/>
      <protection hidden="1"/>
    </xf>
    <xf numFmtId="0" fontId="26" fillId="15" borderId="25" xfId="1" applyFont="1" applyFill="1" applyBorder="1" applyAlignment="1" applyProtection="1">
      <alignment horizontal="centerContinuous" vertical="center" shrinkToFit="1"/>
      <protection hidden="1"/>
    </xf>
    <xf numFmtId="0" fontId="26" fillId="15" borderId="25" xfId="1" applyFont="1" applyFill="1" applyBorder="1" applyAlignment="1" applyProtection="1">
      <alignment horizontal="left" vertical="center" shrinkToFit="1"/>
      <protection hidden="1"/>
    </xf>
    <xf numFmtId="0" fontId="10" fillId="0" borderId="2" xfId="1" applyFont="1" applyBorder="1" applyAlignment="1" applyProtection="1">
      <alignment horizontal="center" vertical="center" shrinkToFit="1"/>
      <protection hidden="1"/>
    </xf>
    <xf numFmtId="0" fontId="29" fillId="0" borderId="2" xfId="1" applyFont="1" applyBorder="1" applyAlignment="1" applyProtection="1">
      <alignment shrinkToFit="1"/>
      <protection hidden="1"/>
    </xf>
    <xf numFmtId="0" fontId="9" fillId="0" borderId="2" xfId="1" applyFont="1" applyBorder="1" applyAlignment="1" applyProtection="1">
      <alignment shrinkToFit="1"/>
      <protection hidden="1"/>
    </xf>
    <xf numFmtId="0" fontId="26" fillId="23" borderId="25" xfId="1" applyFont="1" applyFill="1" applyBorder="1" applyAlignment="1" applyProtection="1">
      <alignment horizontal="left" vertical="center" shrinkToFit="1"/>
      <protection hidden="1"/>
    </xf>
    <xf numFmtId="0" fontId="26" fillId="23" borderId="25" xfId="1" applyFont="1" applyFill="1" applyBorder="1" applyAlignment="1" applyProtection="1">
      <alignment horizontal="centerContinuous" vertical="center" shrinkToFit="1"/>
      <protection hidden="1"/>
    </xf>
    <xf numFmtId="0" fontId="26" fillId="24" borderId="25" xfId="1" applyFont="1" applyFill="1" applyBorder="1" applyAlignment="1" applyProtection="1">
      <alignment horizontal="center" vertical="center" shrinkToFit="1"/>
      <protection hidden="1"/>
    </xf>
    <xf numFmtId="0" fontId="26" fillId="24" borderId="25" xfId="1" applyFont="1" applyFill="1" applyBorder="1" applyAlignment="1" applyProtection="1">
      <alignment horizontal="left" vertical="center" shrinkToFit="1"/>
      <protection hidden="1"/>
    </xf>
    <xf numFmtId="0" fontId="28" fillId="24" borderId="25" xfId="1" applyFont="1" applyFill="1" applyBorder="1" applyAlignment="1" applyProtection="1">
      <alignment horizontal="center" vertical="center" shrinkToFit="1"/>
      <protection hidden="1"/>
    </xf>
    <xf numFmtId="0" fontId="26" fillId="25" borderId="25" xfId="1" applyFont="1" applyFill="1" applyBorder="1" applyAlignment="1" applyProtection="1">
      <alignment horizontal="center" vertical="center" shrinkToFit="1"/>
      <protection hidden="1"/>
    </xf>
    <xf numFmtId="0" fontId="26" fillId="25" borderId="25" xfId="1" applyFont="1" applyFill="1" applyBorder="1" applyAlignment="1" applyProtection="1">
      <alignment horizontal="left" vertical="center" shrinkToFit="1"/>
      <protection hidden="1"/>
    </xf>
    <xf numFmtId="0" fontId="10" fillId="0" borderId="7" xfId="1" applyFont="1" applyBorder="1" applyAlignment="1" applyProtection="1">
      <alignment shrinkToFit="1"/>
      <protection hidden="1"/>
    </xf>
    <xf numFmtId="0" fontId="10" fillId="0" borderId="7" xfId="1" applyFont="1" applyBorder="1" applyAlignment="1" applyProtection="1">
      <alignment horizontal="center" vertical="center" shrinkToFit="1"/>
      <protection hidden="1"/>
    </xf>
    <xf numFmtId="0" fontId="27" fillId="0" borderId="41" xfId="1" applyFont="1" applyBorder="1" applyAlignment="1">
      <alignment horizontal="center" vertical="center" shrinkToFit="1"/>
    </xf>
    <xf numFmtId="4" fontId="15" fillId="0" borderId="11" xfId="1" applyNumberFormat="1" applyFont="1" applyBorder="1" applyAlignment="1">
      <alignment horizontal="center" vertical="center" shrinkToFit="1"/>
    </xf>
    <xf numFmtId="0" fontId="27" fillId="0" borderId="11" xfId="1" applyFont="1" applyBorder="1" applyAlignment="1">
      <alignment horizontal="center" vertical="center" shrinkToFit="1"/>
    </xf>
    <xf numFmtId="2" fontId="15" fillId="0" borderId="11" xfId="1" applyNumberFormat="1" applyFont="1" applyBorder="1" applyAlignment="1">
      <alignment horizontal="center" vertical="center" shrinkToFit="1"/>
    </xf>
    <xf numFmtId="2" fontId="15" fillId="0" borderId="42" xfId="1" applyNumberFormat="1" applyFont="1" applyBorder="1" applyAlignment="1">
      <alignment horizontal="center" vertical="center" shrinkToFit="1"/>
    </xf>
    <xf numFmtId="4" fontId="15" fillId="0" borderId="42" xfId="1" applyNumberFormat="1" applyFont="1" applyBorder="1" applyAlignment="1">
      <alignment horizontal="center" vertical="center" shrinkToFit="1"/>
    </xf>
    <xf numFmtId="0" fontId="27" fillId="37" borderId="28" xfId="1" applyFont="1" applyFill="1" applyBorder="1" applyAlignment="1" applyProtection="1">
      <alignment horizontal="center" vertical="center" shrinkToFit="1"/>
      <protection hidden="1"/>
    </xf>
    <xf numFmtId="4" fontId="37" fillId="19" borderId="10" xfId="1" applyNumberFormat="1" applyFont="1" applyFill="1" applyBorder="1" applyAlignment="1" applyProtection="1">
      <alignment horizontal="center" vertical="center" shrinkToFit="1"/>
      <protection hidden="1"/>
    </xf>
    <xf numFmtId="0" fontId="27" fillId="31" borderId="28" xfId="1" applyFont="1" applyFill="1" applyBorder="1" applyAlignment="1" applyProtection="1">
      <alignment horizontal="center" vertical="center" shrinkToFit="1"/>
      <protection hidden="1"/>
    </xf>
    <xf numFmtId="0" fontId="27" fillId="26" borderId="22" xfId="1" applyFont="1" applyFill="1" applyBorder="1" applyAlignment="1" applyProtection="1">
      <alignment horizontal="center" vertical="center" shrinkToFit="1"/>
      <protection hidden="1"/>
    </xf>
    <xf numFmtId="0" fontId="27" fillId="27" borderId="22" xfId="1" applyFont="1" applyFill="1" applyBorder="1" applyAlignment="1" applyProtection="1">
      <alignment horizontal="center" vertical="center" shrinkToFit="1"/>
      <protection hidden="1"/>
    </xf>
    <xf numFmtId="0" fontId="27" fillId="34" borderId="22" xfId="1" applyFont="1" applyFill="1" applyBorder="1" applyAlignment="1" applyProtection="1">
      <alignment horizontal="center" vertical="center" shrinkToFit="1"/>
      <protection hidden="1"/>
    </xf>
    <xf numFmtId="0" fontId="27" fillId="28" borderId="22" xfId="1" applyFont="1" applyFill="1" applyBorder="1" applyAlignment="1" applyProtection="1">
      <alignment horizontal="center" vertical="center" shrinkToFit="1"/>
      <protection hidden="1"/>
    </xf>
    <xf numFmtId="0" fontId="11" fillId="2" borderId="5" xfId="3" applyFill="1" applyBorder="1" applyAlignment="1" applyProtection="1">
      <alignment vertical="center" shrinkToFit="1"/>
      <protection hidden="1"/>
    </xf>
    <xf numFmtId="0" fontId="12" fillId="24" borderId="24" xfId="1" applyFill="1" applyBorder="1" applyAlignment="1" applyProtection="1">
      <alignment shrinkToFit="1"/>
      <protection hidden="1"/>
    </xf>
    <xf numFmtId="0" fontId="12" fillId="24" borderId="26" xfId="1" applyFill="1" applyBorder="1" applyAlignment="1" applyProtection="1">
      <alignment shrinkToFit="1"/>
      <protection hidden="1"/>
    </xf>
    <xf numFmtId="0" fontId="12" fillId="23" borderId="24" xfId="1" applyFill="1" applyBorder="1" applyAlignment="1" applyProtection="1">
      <alignment shrinkToFit="1"/>
      <protection hidden="1"/>
    </xf>
    <xf numFmtId="0" fontId="12" fillId="23" borderId="26" xfId="1" applyFill="1" applyBorder="1" applyAlignment="1" applyProtection="1">
      <alignment shrinkToFit="1"/>
      <protection hidden="1"/>
    </xf>
    <xf numFmtId="0" fontId="12" fillId="15" borderId="24" xfId="1" applyFill="1" applyBorder="1" applyAlignment="1" applyProtection="1">
      <alignment shrinkToFit="1"/>
      <protection hidden="1"/>
    </xf>
    <xf numFmtId="0" fontId="12" fillId="15" borderId="26" xfId="1" applyFill="1" applyBorder="1" applyAlignment="1" applyProtection="1">
      <alignment shrinkToFit="1"/>
      <protection hidden="1"/>
    </xf>
    <xf numFmtId="0" fontId="12" fillId="25" borderId="24" xfId="1" applyFill="1" applyBorder="1" applyAlignment="1" applyProtection="1">
      <alignment horizontal="center" shrinkToFit="1"/>
      <protection hidden="1"/>
    </xf>
    <xf numFmtId="0" fontId="12" fillId="25" borderId="26" xfId="1" applyFill="1" applyBorder="1" applyAlignment="1" applyProtection="1">
      <alignment shrinkToFit="1"/>
      <protection hidden="1"/>
    </xf>
    <xf numFmtId="4" fontId="12" fillId="0" borderId="10" xfId="1" applyNumberFormat="1" applyBorder="1" applyAlignment="1" applyProtection="1">
      <alignment horizontal="center" vertical="center" shrinkToFit="1"/>
      <protection locked="0"/>
    </xf>
    <xf numFmtId="0" fontId="3" fillId="0" borderId="0" xfId="1" applyFont="1" applyAlignment="1">
      <alignment shrinkToFit="1"/>
    </xf>
    <xf numFmtId="0" fontId="3" fillId="0" borderId="10" xfId="1" applyFont="1" applyBorder="1" applyAlignment="1">
      <alignment shrinkToFit="1"/>
    </xf>
    <xf numFmtId="0" fontId="0" fillId="0" borderId="5" xfId="0" applyBorder="1"/>
    <xf numFmtId="0" fontId="3" fillId="0" borderId="10" xfId="1" applyFont="1" applyBorder="1" applyAlignment="1" applyProtection="1">
      <alignment vertical="center" shrinkToFit="1"/>
      <protection locked="0"/>
    </xf>
    <xf numFmtId="3" fontId="12" fillId="0" borderId="10" xfId="1" applyNumberFormat="1" applyBorder="1" applyAlignment="1" applyProtection="1">
      <alignment horizontal="center" vertical="center" shrinkToFit="1"/>
      <protection locked="0"/>
    </xf>
    <xf numFmtId="4" fontId="23" fillId="0" borderId="10" xfId="1" applyNumberFormat="1" applyFont="1" applyBorder="1" applyAlignment="1" applyProtection="1">
      <alignment horizontal="center" vertical="center" shrinkToFit="1"/>
      <protection locked="0"/>
    </xf>
    <xf numFmtId="0" fontId="0" fillId="0" borderId="9" xfId="0" applyBorder="1" applyAlignment="1">
      <alignment shrinkToFit="1"/>
    </xf>
    <xf numFmtId="2" fontId="0" fillId="0" borderId="9" xfId="0" applyNumberFormat="1" applyBorder="1" applyAlignment="1">
      <alignment shrinkToFit="1"/>
    </xf>
    <xf numFmtId="0" fontId="52" fillId="30" borderId="43" xfId="0" applyFont="1" applyFill="1" applyBorder="1" applyAlignment="1">
      <alignment horizontal="centerContinuous" shrinkToFit="1"/>
    </xf>
    <xf numFmtId="0" fontId="52" fillId="30" borderId="39" xfId="0" applyFont="1" applyFill="1" applyBorder="1" applyAlignment="1">
      <alignment horizontal="centerContinuous" shrinkToFit="1"/>
    </xf>
    <xf numFmtId="0" fontId="24" fillId="0" borderId="9" xfId="0" applyFont="1" applyBorder="1" applyAlignment="1">
      <alignment horizontal="center" vertical="center" shrinkToFit="1"/>
    </xf>
    <xf numFmtId="0" fontId="24" fillId="0" borderId="9" xfId="1" applyFont="1" applyBorder="1" applyAlignment="1">
      <alignment horizontal="center" vertical="center"/>
    </xf>
    <xf numFmtId="0" fontId="23" fillId="0" borderId="9" xfId="1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 shrinkToFit="1"/>
    </xf>
    <xf numFmtId="0" fontId="23" fillId="0" borderId="3" xfId="1" applyFont="1" applyBorder="1" applyAlignment="1">
      <alignment horizontal="center" vertical="center"/>
    </xf>
    <xf numFmtId="0" fontId="23" fillId="0" borderId="2" xfId="1" applyFont="1" applyBorder="1" applyAlignment="1">
      <alignment horizontal="center" vertical="center"/>
    </xf>
    <xf numFmtId="0" fontId="32" fillId="0" borderId="0" xfId="1" applyFont="1" applyAlignment="1" applyProtection="1">
      <alignment horizontal="left" vertical="center"/>
      <protection hidden="1"/>
    </xf>
    <xf numFmtId="0" fontId="0" fillId="35" borderId="10" xfId="0" applyFill="1" applyBorder="1" applyAlignment="1">
      <alignment horizontal="center" vertical="center" shrinkToFit="1"/>
    </xf>
    <xf numFmtId="0" fontId="0" fillId="35" borderId="22" xfId="0" applyFill="1" applyBorder="1" applyAlignment="1">
      <alignment horizontal="center" vertical="center" shrinkToFit="1"/>
    </xf>
    <xf numFmtId="0" fontId="0" fillId="0" borderId="3" xfId="0" applyBorder="1"/>
    <xf numFmtId="0" fontId="0" fillId="0" borderId="2" xfId="0" applyBorder="1"/>
    <xf numFmtId="0" fontId="0" fillId="0" borderId="7" xfId="0" applyBorder="1" applyAlignment="1">
      <alignment shrinkToFit="1"/>
    </xf>
    <xf numFmtId="0" fontId="0" fillId="0" borderId="8" xfId="0" applyBorder="1" applyAlignment="1">
      <alignment shrinkToFit="1"/>
    </xf>
    <xf numFmtId="0" fontId="0" fillId="0" borderId="6" xfId="0" applyBorder="1" applyAlignment="1">
      <alignment shrinkToFit="1"/>
    </xf>
    <xf numFmtId="4" fontId="29" fillId="2" borderId="10" xfId="1" applyNumberFormat="1" applyFont="1" applyFill="1" applyBorder="1" applyAlignment="1" applyProtection="1">
      <alignment horizontal="center" vertical="center"/>
      <protection hidden="1"/>
    </xf>
    <xf numFmtId="0" fontId="27" fillId="37" borderId="10" xfId="1" applyFont="1" applyFill="1" applyBorder="1" applyAlignment="1" applyProtection="1">
      <alignment horizontal="left" vertical="center"/>
      <protection hidden="1"/>
    </xf>
    <xf numFmtId="0" fontId="0" fillId="8" borderId="5" xfId="0" applyFill="1" applyBorder="1" applyProtection="1">
      <protection hidden="1"/>
    </xf>
    <xf numFmtId="0" fontId="0" fillId="8" borderId="0" xfId="0" applyFill="1" applyProtection="1">
      <protection hidden="1"/>
    </xf>
    <xf numFmtId="0" fontId="0" fillId="8" borderId="4" xfId="0" applyFill="1" applyBorder="1" applyProtection="1">
      <protection hidden="1"/>
    </xf>
    <xf numFmtId="0" fontId="0" fillId="2" borderId="0" xfId="0" applyFill="1" applyProtection="1">
      <protection hidden="1"/>
    </xf>
    <xf numFmtId="0" fontId="35" fillId="0" borderId="9" xfId="0" applyFont="1" applyBorder="1" applyAlignment="1" applyProtection="1">
      <alignment horizontal="center" vertical="center" shrinkToFit="1"/>
      <protection hidden="1"/>
    </xf>
    <xf numFmtId="0" fontId="0" fillId="0" borderId="9" xfId="0" applyBorder="1" applyAlignment="1">
      <alignment horizontal="center" shrinkToFit="1"/>
    </xf>
    <xf numFmtId="0" fontId="0" fillId="0" borderId="43" xfId="0" applyBorder="1" applyAlignment="1">
      <alignment shrinkToFit="1"/>
    </xf>
    <xf numFmtId="0" fontId="0" fillId="29" borderId="9" xfId="0" applyFill="1" applyBorder="1" applyAlignment="1">
      <alignment horizontal="center" shrinkToFit="1"/>
    </xf>
    <xf numFmtId="0" fontId="0" fillId="29" borderId="43" xfId="0" applyFill="1" applyBorder="1" applyAlignment="1" applyProtection="1">
      <alignment horizontal="centerContinuous" shrinkToFit="1"/>
      <protection locked="0"/>
    </xf>
    <xf numFmtId="4" fontId="0" fillId="29" borderId="39" xfId="0" applyNumberFormat="1" applyFill="1" applyBorder="1" applyAlignment="1" applyProtection="1">
      <alignment horizontal="centerContinuous" shrinkToFit="1"/>
      <protection locked="0"/>
    </xf>
    <xf numFmtId="4" fontId="29" fillId="2" borderId="10" xfId="7" applyNumberFormat="1" applyFont="1" applyFill="1" applyBorder="1" applyAlignment="1" applyProtection="1">
      <alignment horizontal="center" vertical="center"/>
      <protection hidden="1"/>
    </xf>
    <xf numFmtId="4" fontId="32" fillId="0" borderId="10" xfId="1" applyNumberFormat="1" applyFont="1" applyBorder="1" applyAlignment="1" applyProtection="1">
      <alignment horizontal="center" vertical="center"/>
      <protection locked="0"/>
    </xf>
    <xf numFmtId="0" fontId="10" fillId="0" borderId="10" xfId="1" applyFont="1" applyBorder="1" applyAlignment="1" applyProtection="1">
      <alignment horizontal="left" vertical="center" shrinkToFit="1"/>
      <protection locked="0"/>
    </xf>
    <xf numFmtId="0" fontId="26" fillId="38" borderId="12" xfId="1" applyFont="1" applyFill="1" applyBorder="1" applyAlignment="1" applyProtection="1">
      <alignment horizontal="centerContinuous" vertical="center" shrinkToFit="1"/>
      <protection hidden="1"/>
    </xf>
    <xf numFmtId="0" fontId="26" fillId="38" borderId="13" xfId="1" applyFont="1" applyFill="1" applyBorder="1" applyAlignment="1" applyProtection="1">
      <alignment horizontal="centerContinuous" vertical="center" shrinkToFit="1"/>
      <protection hidden="1"/>
    </xf>
    <xf numFmtId="0" fontId="26" fillId="38" borderId="14" xfId="1" applyFont="1" applyFill="1" applyBorder="1" applyAlignment="1" applyProtection="1">
      <alignment horizontal="centerContinuous" vertical="center" shrinkToFit="1"/>
      <protection hidden="1"/>
    </xf>
    <xf numFmtId="0" fontId="26" fillId="38" borderId="10" xfId="1" applyFont="1" applyFill="1" applyBorder="1" applyAlignment="1" applyProtection="1">
      <alignment horizontal="center" vertical="center" shrinkToFit="1"/>
      <protection hidden="1"/>
    </xf>
    <xf numFmtId="0" fontId="22" fillId="15" borderId="44" xfId="0" applyFont="1" applyFill="1" applyBorder="1" applyAlignment="1" applyProtection="1">
      <alignment horizontal="center" vertical="center" shrinkToFit="1"/>
      <protection hidden="1"/>
    </xf>
    <xf numFmtId="4" fontId="15" fillId="19" borderId="22" xfId="1" applyNumberFormat="1" applyFont="1" applyFill="1" applyBorder="1" applyAlignment="1" applyProtection="1">
      <alignment horizontal="center" vertical="center" shrinkToFit="1"/>
      <protection hidden="1"/>
    </xf>
    <xf numFmtId="0" fontId="1" fillId="0" borderId="10" xfId="1" applyFont="1" applyBorder="1" applyAlignment="1" applyProtection="1">
      <alignment horizontal="left" vertical="center" shrinkToFit="1"/>
      <protection locked="0"/>
    </xf>
    <xf numFmtId="0" fontId="0" fillId="36" borderId="36" xfId="0" applyFill="1" applyBorder="1" applyAlignment="1">
      <alignment horizontal="centerContinuous" shrinkToFit="1"/>
    </xf>
    <xf numFmtId="0" fontId="0" fillId="36" borderId="28" xfId="0" applyFill="1" applyBorder="1" applyAlignment="1">
      <alignment horizontal="center" vertical="center" shrinkToFit="1"/>
    </xf>
    <xf numFmtId="0" fontId="0" fillId="36" borderId="35" xfId="0" applyFill="1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0" fillId="0" borderId="27" xfId="0" applyBorder="1" applyAlignment="1">
      <alignment shrinkToFit="1"/>
    </xf>
    <xf numFmtId="0" fontId="0" fillId="0" borderId="32" xfId="0" applyBorder="1" applyAlignment="1">
      <alignment horizontal="center" vertical="center" shrinkToFit="1"/>
    </xf>
    <xf numFmtId="0" fontId="0" fillId="0" borderId="33" xfId="0" applyBorder="1" applyAlignment="1">
      <alignment shrinkToFit="1"/>
    </xf>
    <xf numFmtId="0" fontId="1" fillId="0" borderId="10" xfId="1" applyFont="1" applyBorder="1" applyAlignment="1" applyProtection="1">
      <alignment horizontal="center" vertical="center" shrinkToFit="1"/>
      <protection locked="0"/>
    </xf>
    <xf numFmtId="0" fontId="0" fillId="33" borderId="45" xfId="0" applyFill="1" applyBorder="1" applyAlignment="1">
      <alignment horizontal="center" vertical="center" shrinkToFit="1"/>
    </xf>
    <xf numFmtId="0" fontId="0" fillId="33" borderId="26" xfId="0" applyFill="1" applyBorder="1" applyAlignment="1">
      <alignment horizontal="center" vertical="center" shrinkToFit="1"/>
    </xf>
    <xf numFmtId="0" fontId="0" fillId="33" borderId="25" xfId="0" applyFill="1" applyBorder="1" applyAlignment="1">
      <alignment horizontal="center" vertical="center" shrinkToFit="1"/>
    </xf>
    <xf numFmtId="0" fontId="0" fillId="36" borderId="46" xfId="0" applyFill="1" applyBorder="1" applyAlignment="1">
      <alignment horizontal="center" vertical="center" shrinkToFit="1"/>
    </xf>
    <xf numFmtId="0" fontId="0" fillId="0" borderId="44" xfId="0" applyBorder="1" applyAlignment="1">
      <alignment shrinkToFit="1"/>
    </xf>
    <xf numFmtId="0" fontId="0" fillId="0" borderId="47" xfId="0" applyBorder="1" applyAlignment="1">
      <alignment shrinkToFit="1"/>
    </xf>
    <xf numFmtId="0" fontId="1" fillId="8" borderId="10" xfId="1" applyFont="1" applyFill="1" applyBorder="1" applyAlignment="1" applyProtection="1">
      <alignment vertical="center" shrinkToFit="1"/>
      <protection locked="0"/>
    </xf>
    <xf numFmtId="2" fontId="0" fillId="2" borderId="9" xfId="0" applyNumberFormat="1" applyFill="1" applyBorder="1" applyAlignment="1">
      <alignment shrinkToFit="1"/>
    </xf>
    <xf numFmtId="0" fontId="27" fillId="30" borderId="10" xfId="1" applyFont="1" applyFill="1" applyBorder="1" applyAlignment="1" applyProtection="1">
      <alignment horizontal="left" vertical="center"/>
      <protection hidden="1"/>
    </xf>
    <xf numFmtId="0" fontId="1" fillId="0" borderId="10" xfId="1" applyFont="1" applyBorder="1" applyAlignment="1" applyProtection="1">
      <alignment shrinkToFit="1"/>
      <protection locked="0"/>
    </xf>
    <xf numFmtId="0" fontId="1" fillId="0" borderId="10" xfId="1" applyFont="1" applyBorder="1" applyAlignment="1" applyProtection="1">
      <alignment vertical="center" shrinkToFit="1"/>
      <protection locked="0"/>
    </xf>
    <xf numFmtId="2" fontId="1" fillId="0" borderId="10" xfId="1" applyNumberFormat="1" applyFont="1" applyBorder="1" applyAlignment="1" applyProtection="1">
      <alignment horizontal="center" vertical="center" shrinkToFit="1"/>
      <protection locked="0"/>
    </xf>
    <xf numFmtId="0" fontId="0" fillId="0" borderId="9" xfId="0" applyBorder="1" applyAlignment="1">
      <alignment horizontal="center" vertical="center" shrinkToFit="1"/>
    </xf>
    <xf numFmtId="2" fontId="0" fillId="0" borderId="9" xfId="0" applyNumberFormat="1" applyBorder="1" applyAlignment="1">
      <alignment horizontal="center" vertical="center" shrinkToFit="1"/>
    </xf>
    <xf numFmtId="2" fontId="15" fillId="19" borderId="27" xfId="1" applyNumberFormat="1" applyFont="1" applyFill="1" applyBorder="1" applyAlignment="1">
      <alignment horizontal="center" vertical="center" shrinkToFit="1"/>
    </xf>
    <xf numFmtId="4" fontId="34" fillId="32" borderId="27" xfId="1" applyNumberFormat="1" applyFont="1" applyFill="1" applyBorder="1" applyAlignment="1">
      <alignment horizontal="center" vertical="center" shrinkToFit="1"/>
    </xf>
    <xf numFmtId="4" fontId="32" fillId="0" borderId="0" xfId="1" applyNumberFormat="1" applyFont="1" applyAlignment="1" applyProtection="1">
      <alignment horizontal="center" vertical="center"/>
      <protection hidden="1"/>
    </xf>
    <xf numFmtId="0" fontId="27" fillId="36" borderId="22" xfId="1" applyFont="1" applyFill="1" applyBorder="1" applyAlignment="1" applyProtection="1">
      <alignment horizontal="center" vertical="center" shrinkToFit="1"/>
      <protection locked="0"/>
    </xf>
    <xf numFmtId="0" fontId="27" fillId="0" borderId="48" xfId="1" applyFont="1" applyBorder="1" applyAlignment="1" applyProtection="1">
      <alignment horizontal="center" vertical="center" shrinkToFit="1"/>
      <protection locked="0"/>
    </xf>
    <xf numFmtId="0" fontId="53" fillId="2" borderId="0" xfId="1" applyFont="1" applyFill="1" applyAlignment="1" applyProtection="1">
      <alignment horizontal="right" vertical="center" shrinkToFit="1"/>
      <protection hidden="1"/>
    </xf>
    <xf numFmtId="0" fontId="9" fillId="8" borderId="19" xfId="1" applyFont="1" applyFill="1" applyBorder="1" applyAlignment="1" applyProtection="1">
      <alignment horizontal="left" vertical="center" shrinkToFit="1"/>
      <protection locked="0"/>
    </xf>
    <xf numFmtId="0" fontId="4" fillId="8" borderId="19" xfId="1" applyFont="1" applyFill="1" applyBorder="1" applyAlignment="1" applyProtection="1">
      <alignment vertical="center" shrinkToFit="1"/>
      <protection locked="0"/>
    </xf>
    <xf numFmtId="0" fontId="12" fillId="0" borderId="19" xfId="1" applyBorder="1" applyAlignment="1" applyProtection="1">
      <alignment horizontal="center" vertical="center" shrinkToFit="1"/>
      <protection locked="0"/>
    </xf>
    <xf numFmtId="4" fontId="12" fillId="0" borderId="19" xfId="1" applyNumberFormat="1" applyBorder="1" applyAlignment="1" applyProtection="1">
      <alignment horizontal="center" vertical="center" shrinkToFit="1"/>
      <protection locked="0"/>
    </xf>
    <xf numFmtId="3" fontId="12" fillId="0" borderId="19" xfId="1" applyNumberFormat="1" applyBorder="1" applyAlignment="1" applyProtection="1">
      <alignment horizontal="center" vertical="center" shrinkToFit="1"/>
      <protection locked="0"/>
    </xf>
    <xf numFmtId="4" fontId="15" fillId="19" borderId="19" xfId="1" applyNumberFormat="1" applyFont="1" applyFill="1" applyBorder="1" applyAlignment="1" applyProtection="1">
      <alignment horizontal="center" vertical="center" shrinkToFit="1"/>
      <protection hidden="1"/>
    </xf>
    <xf numFmtId="4" fontId="15" fillId="39" borderId="49" xfId="1" applyNumberFormat="1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 shrinkToFit="1"/>
    </xf>
    <xf numFmtId="0" fontId="9" fillId="0" borderId="19" xfId="1" applyFont="1" applyBorder="1" applyAlignment="1" applyProtection="1">
      <alignment vertical="center" shrinkToFit="1"/>
      <protection locked="0"/>
    </xf>
    <xf numFmtId="0" fontId="12" fillId="8" borderId="19" xfId="1" applyFill="1" applyBorder="1" applyAlignment="1" applyProtection="1">
      <alignment horizontal="center" vertical="center" shrinkToFit="1"/>
      <protection locked="0"/>
    </xf>
    <xf numFmtId="0" fontId="15" fillId="39" borderId="49" xfId="1" applyFont="1" applyFill="1" applyBorder="1" applyAlignment="1" applyProtection="1">
      <alignment horizontal="center" vertical="center" shrinkToFit="1"/>
      <protection hidden="1"/>
    </xf>
    <xf numFmtId="0" fontId="9" fillId="39" borderId="49" xfId="1" applyFont="1" applyFill="1" applyBorder="1" applyAlignment="1" applyProtection="1">
      <alignment horizontal="left" vertical="center" shrinkToFit="1"/>
      <protection hidden="1"/>
    </xf>
    <xf numFmtId="0" fontId="4" fillId="39" borderId="49" xfId="1" applyFont="1" applyFill="1" applyBorder="1" applyAlignment="1" applyProtection="1">
      <alignment vertical="center" shrinkToFit="1"/>
      <protection hidden="1"/>
    </xf>
    <xf numFmtId="0" fontId="12" fillId="39" borderId="49" xfId="1" applyFill="1" applyBorder="1" applyAlignment="1" applyProtection="1">
      <alignment horizontal="center" vertical="center" shrinkToFit="1"/>
      <protection hidden="1"/>
    </xf>
    <xf numFmtId="4" fontId="12" fillId="39" borderId="49" xfId="1" applyNumberFormat="1" applyFill="1" applyBorder="1" applyAlignment="1" applyProtection="1">
      <alignment horizontal="center" vertical="center" shrinkToFit="1"/>
      <protection hidden="1"/>
    </xf>
    <xf numFmtId="3" fontId="12" fillId="39" borderId="49" xfId="1" applyNumberFormat="1" applyFill="1" applyBorder="1" applyAlignment="1" applyProtection="1">
      <alignment horizontal="center" vertical="center" shrinkToFit="1"/>
      <protection hidden="1"/>
    </xf>
    <xf numFmtId="0" fontId="10" fillId="39" borderId="49" xfId="1" applyFont="1" applyFill="1" applyBorder="1" applyAlignment="1" applyProtection="1">
      <alignment horizontal="center" vertical="center" shrinkToFit="1"/>
      <protection hidden="1"/>
    </xf>
    <xf numFmtId="0" fontId="9" fillId="39" borderId="49" xfId="1" applyFont="1" applyFill="1" applyBorder="1" applyAlignment="1" applyProtection="1">
      <alignment horizontal="center" vertical="center" shrinkToFit="1"/>
      <protection hidden="1"/>
    </xf>
    <xf numFmtId="4" fontId="9" fillId="39" borderId="49" xfId="1" applyNumberFormat="1" applyFont="1" applyFill="1" applyBorder="1" applyAlignment="1" applyProtection="1">
      <alignment horizontal="center" vertical="center" shrinkToFit="1"/>
      <protection hidden="1"/>
    </xf>
    <xf numFmtId="3" fontId="9" fillId="39" borderId="49" xfId="1" applyNumberFormat="1" applyFont="1" applyFill="1" applyBorder="1" applyAlignment="1" applyProtection="1">
      <alignment horizontal="center" vertical="center" shrinkToFit="1"/>
      <protection hidden="1"/>
    </xf>
    <xf numFmtId="0" fontId="9" fillId="39" borderId="49" xfId="1" applyFont="1" applyFill="1" applyBorder="1" applyAlignment="1" applyProtection="1">
      <alignment vertical="center" shrinkToFit="1"/>
      <protection hidden="1"/>
    </xf>
    <xf numFmtId="0" fontId="9" fillId="0" borderId="19" xfId="1" applyFont="1" applyBorder="1" applyAlignment="1" applyProtection="1">
      <alignment shrinkToFit="1"/>
      <protection locked="0"/>
    </xf>
    <xf numFmtId="0" fontId="23" fillId="0" borderId="19" xfId="1" applyFont="1" applyBorder="1" applyAlignment="1" applyProtection="1">
      <alignment horizontal="center" vertical="center" shrinkToFit="1"/>
      <protection locked="0"/>
    </xf>
    <xf numFmtId="4" fontId="23" fillId="0" borderId="19" xfId="1" applyNumberFormat="1" applyFont="1" applyBorder="1" applyAlignment="1" applyProtection="1">
      <alignment horizontal="center" vertical="center" shrinkToFit="1"/>
      <protection locked="0"/>
    </xf>
    <xf numFmtId="0" fontId="9" fillId="39" borderId="49" xfId="1" applyFont="1" applyFill="1" applyBorder="1" applyAlignment="1" applyProtection="1">
      <alignment shrinkToFit="1"/>
      <protection hidden="1"/>
    </xf>
    <xf numFmtId="0" fontId="23" fillId="39" borderId="49" xfId="1" applyFont="1" applyFill="1" applyBorder="1" applyAlignment="1" applyProtection="1">
      <alignment horizontal="center" vertical="center" shrinkToFit="1"/>
      <protection hidden="1"/>
    </xf>
    <xf numFmtId="4" fontId="23" fillId="39" borderId="49" xfId="1" applyNumberFormat="1" applyFont="1" applyFill="1" applyBorder="1" applyAlignment="1" applyProtection="1">
      <alignment horizontal="center" vertical="center" shrinkToFit="1"/>
      <protection hidden="1"/>
    </xf>
    <xf numFmtId="0" fontId="1" fillId="39" borderId="49" xfId="1" applyFont="1" applyFill="1" applyBorder="1" applyAlignment="1" applyProtection="1">
      <alignment shrinkToFit="1"/>
      <protection hidden="1"/>
    </xf>
    <xf numFmtId="0" fontId="12" fillId="0" borderId="5" xfId="1" applyBorder="1" applyAlignment="1" applyProtection="1">
      <alignment horizontal="center" shrinkToFit="1"/>
      <protection hidden="1"/>
    </xf>
    <xf numFmtId="0" fontId="2" fillId="39" borderId="49" xfId="1" applyFont="1" applyFill="1" applyBorder="1" applyAlignment="1" applyProtection="1">
      <alignment vertical="center" shrinkToFit="1"/>
      <protection hidden="1"/>
    </xf>
    <xf numFmtId="0" fontId="36" fillId="2" borderId="19" xfId="1" applyFont="1" applyFill="1" applyBorder="1" applyAlignment="1" applyProtection="1">
      <alignment horizontal="center" vertical="center" shrinkToFit="1"/>
      <protection hidden="1"/>
    </xf>
    <xf numFmtId="0" fontId="36" fillId="39" borderId="49" xfId="1" applyFont="1" applyFill="1" applyBorder="1" applyAlignment="1" applyProtection="1">
      <alignment horizontal="center" vertical="center" shrinkToFit="1"/>
      <protection hidden="1"/>
    </xf>
    <xf numFmtId="0" fontId="15" fillId="39" borderId="49" xfId="1" applyFont="1" applyFill="1" applyBorder="1" applyAlignment="1" applyProtection="1">
      <alignment horizontal="left" vertical="center" shrinkToFit="1"/>
      <protection hidden="1"/>
    </xf>
    <xf numFmtId="4" fontId="15" fillId="39" borderId="49" xfId="7" applyNumberFormat="1" applyFont="1" applyFill="1" applyBorder="1" applyAlignment="1" applyProtection="1">
      <alignment horizontal="center" vertical="center" shrinkToFit="1"/>
      <protection hidden="1"/>
    </xf>
    <xf numFmtId="4" fontId="37" fillId="39" borderId="49" xfId="7" applyNumberFormat="1" applyFont="1" applyFill="1" applyBorder="1" applyAlignment="1" applyProtection="1">
      <alignment horizontal="center" vertical="center" shrinkToFit="1"/>
      <protection hidden="1"/>
    </xf>
    <xf numFmtId="4" fontId="12" fillId="0" borderId="19" xfId="7" applyNumberFormat="1" applyFont="1" applyBorder="1" applyAlignment="1" applyProtection="1">
      <alignment horizontal="center" vertical="center" shrinkToFit="1"/>
      <protection locked="0"/>
    </xf>
    <xf numFmtId="4" fontId="12" fillId="39" borderId="49" xfId="7" applyNumberFormat="1" applyFont="1" applyFill="1" applyBorder="1" applyAlignment="1" applyProtection="1">
      <alignment horizontal="center" vertical="center" shrinkToFit="1"/>
      <protection hidden="1"/>
    </xf>
    <xf numFmtId="4" fontId="8" fillId="39" borderId="49" xfId="7" applyNumberFormat="1" applyFont="1" applyFill="1" applyBorder="1" applyAlignment="1" applyProtection="1">
      <alignment horizontal="center" vertical="center" shrinkToFit="1"/>
      <protection hidden="1"/>
    </xf>
    <xf numFmtId="0" fontId="11" fillId="2" borderId="0" xfId="3" applyFill="1" applyAlignment="1" applyProtection="1">
      <alignment horizontal="center" vertical="center" shrinkToFit="1"/>
      <protection hidden="1"/>
    </xf>
    <xf numFmtId="0" fontId="11" fillId="2" borderId="4" xfId="3" applyFill="1" applyBorder="1" applyAlignment="1" applyProtection="1">
      <alignment horizontal="center" vertical="center" shrinkToFit="1"/>
      <protection hidden="1"/>
    </xf>
    <xf numFmtId="0" fontId="0" fillId="2" borderId="0" xfId="0" applyFill="1" applyAlignment="1" applyProtection="1">
      <alignment horizontal="center"/>
      <protection hidden="1"/>
    </xf>
    <xf numFmtId="0" fontId="9" fillId="20" borderId="0" xfId="1" applyFont="1" applyFill="1" applyAlignment="1">
      <alignment horizontal="center" shrinkToFit="1"/>
    </xf>
  </cellXfs>
  <cellStyles count="8">
    <cellStyle name="Comma" xfId="7" builtinId="3"/>
    <cellStyle name="Hyperlink" xfId="2" builtinId="8"/>
    <cellStyle name="Normal" xfId="0" builtinId="0"/>
    <cellStyle name="Normal 2" xfId="1" xr:uid="{8394EB72-6750-4317-88DE-0D13D87DABCD}"/>
    <cellStyle name="Normal 2 2" xfId="3" xr:uid="{A51D743E-D361-476F-A38C-D5B4B0F8B281}"/>
    <cellStyle name="Normal 2 2 2" xfId="5" xr:uid="{666E02DC-BC06-4FD0-8376-CC2ABF4FC188}"/>
    <cellStyle name="Normal 3" xfId="4" xr:uid="{5F2ABB60-8ED3-4B72-9BC4-4B0527376119}"/>
    <cellStyle name="Normal 3 2" xfId="6" xr:uid="{81E0A5B8-63F3-429F-ADE8-0EDF72481F1A}"/>
  </cellStyles>
  <dxfs count="4"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 patternType="none">
          <bgColor auto="1"/>
        </patternFill>
      </fill>
      <border>
        <left/>
        <right/>
        <top/>
        <bottom/>
      </border>
    </dxf>
    <dxf>
      <fill>
        <patternFill patternType="none">
          <bgColor auto="1"/>
        </patternFill>
      </fill>
      <border>
        <left/>
        <right/>
        <bottom/>
        <vertical/>
        <horizontal/>
      </border>
    </dxf>
  </dxfs>
  <tableStyles count="0" defaultTableStyle="TableStyleMedium2" defaultPivotStyle="PivotStyleLight16"/>
  <colors>
    <mruColors>
      <color rgb="FFA6A6A6"/>
      <color rgb="FFCCCCCC"/>
      <color rgb="FFB44C4C"/>
      <color rgb="FFF5EBE0"/>
      <color rgb="FF9B5756"/>
      <color rgb="FFA40000"/>
      <color rgb="FFD9E1F2"/>
      <color rgb="FF6A7DA2"/>
      <color rgb="FF4F7CAC"/>
      <color rgb="FFE7DA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364156"/>
                </a:solidFill>
                <a:latin typeface="+mn-lt"/>
                <a:ea typeface="+mn-ea"/>
                <a:cs typeface="+mn-cs"/>
              </a:defRPr>
            </a:pPr>
            <a:r>
              <a:rPr lang="en-US" sz="1600">
                <a:solidFill>
                  <a:srgbClr val="364156"/>
                </a:solidFill>
              </a:rPr>
              <a:t>Base</a:t>
            </a:r>
            <a:r>
              <a:rPr lang="en-US" sz="1600" baseline="0">
                <a:solidFill>
                  <a:srgbClr val="364156"/>
                </a:solidFill>
              </a:rPr>
              <a:t> </a:t>
            </a:r>
            <a:r>
              <a:rPr lang="en-US" sz="1600">
                <a:solidFill>
                  <a:srgbClr val="364156"/>
                </a:solidFill>
              </a:rPr>
              <a:t>Cost Breakdown</a:t>
            </a:r>
            <a:endParaRPr lang="tr-TR" sz="1600">
              <a:solidFill>
                <a:srgbClr val="364156"/>
              </a:solidFill>
            </a:endParaRPr>
          </a:p>
        </c:rich>
      </c:tx>
      <c:layout>
        <c:manualLayout>
          <c:xMode val="edge"/>
          <c:yMode val="edge"/>
          <c:x val="0.31352207378572056"/>
          <c:y val="5.4090859653045074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rgbClr val="364156"/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>
        <c:manualLayout>
          <c:layoutTarget val="inner"/>
          <c:xMode val="edge"/>
          <c:yMode val="edge"/>
          <c:x val="0.1387830172913779"/>
          <c:y val="0.16369971963238003"/>
          <c:w val="0.41284553319723921"/>
          <c:h val="0.79620209973753275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36415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6F47-49BE-A6A2-88BD17C301FE}"/>
              </c:ext>
            </c:extLst>
          </c:dPt>
          <c:dPt>
            <c:idx val="1"/>
            <c:bubble3D val="0"/>
            <c:spPr>
              <a:solidFill>
                <a:srgbClr val="9B575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791-4356-AD13-F77E9DB885C1}"/>
              </c:ext>
            </c:extLst>
          </c:dPt>
          <c:dPt>
            <c:idx val="2"/>
            <c:bubble3D val="0"/>
            <c:spPr>
              <a:solidFill>
                <a:srgbClr val="D6776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7791-4356-AD13-F77E9DB885C1}"/>
              </c:ext>
            </c:extLst>
          </c:dPt>
          <c:dPt>
            <c:idx val="3"/>
            <c:bubble3D val="0"/>
            <c:spPr>
              <a:solidFill>
                <a:srgbClr val="679289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7791-4356-AD13-F77E9DB885C1}"/>
              </c:ext>
            </c:extLst>
          </c:dPt>
          <c:dLbls>
            <c:numFmt formatCode="0%;;;@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tr-T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[0]!chartbasecostlabels</c:f>
              <c:strCache>
                <c:ptCount val="4"/>
                <c:pt idx="0">
                  <c:v>Material Costs</c:v>
                </c:pt>
                <c:pt idx="1">
                  <c:v>Labor Costs</c:v>
                </c:pt>
                <c:pt idx="2">
                  <c:v>Shipping Costs</c:v>
                </c:pt>
                <c:pt idx="3">
                  <c:v>Fixed/Other Costs</c:v>
                </c:pt>
              </c:strCache>
            </c:strRef>
          </c:cat>
          <c:val>
            <c:numRef>
              <c:f>[0]!chartbasecostvalues</c:f>
              <c:numCache>
                <c:formatCode>0.00</c:formatCode>
                <c:ptCount val="4"/>
                <c:pt idx="0">
                  <c:v>235.22857142857146</c:v>
                </c:pt>
                <c:pt idx="1">
                  <c:v>330</c:v>
                </c:pt>
                <c:pt idx="2">
                  <c:v>50</c:v>
                </c:pt>
                <c:pt idx="3">
                  <c:v>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F47-49BE-A6A2-88BD17C301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09222723564049"/>
          <c:y val="0.17042831592113453"/>
          <c:w val="0.21187848741129581"/>
          <c:h val="0.759516179358699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5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2700" cap="flat" cmpd="sng" algn="ctr">
      <a:solidFill>
        <a:schemeClr val="bg2">
          <a:lumMod val="7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rgbClr val="364156"/>
                </a:solidFill>
                <a:latin typeface="+mn-lt"/>
                <a:ea typeface="+mn-ea"/>
                <a:cs typeface="+mn-cs"/>
              </a:defRPr>
            </a:pPr>
            <a:r>
              <a:rPr lang="tr-TR" sz="1600" b="1">
                <a:solidFill>
                  <a:srgbClr val="364156"/>
                </a:solidFill>
              </a:rPr>
              <a:t>C</a:t>
            </a:r>
            <a:r>
              <a:rPr lang="en-US" sz="1600" b="1">
                <a:solidFill>
                  <a:srgbClr val="364156"/>
                </a:solidFill>
              </a:rPr>
              <a:t>ompetition</a:t>
            </a:r>
            <a:endParaRPr lang="tr-TR" sz="1600" b="1">
              <a:solidFill>
                <a:srgbClr val="364156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rgbClr val="364156"/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5EBE0"/>
            </a:solidFill>
            <a:ln>
              <a:solidFill>
                <a:srgbClr val="E3D5CA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9B5756"/>
              </a:solidFill>
              <a:ln w="12700">
                <a:solidFill>
                  <a:srgbClr val="74414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DA4-4A95-B170-CFBB40B46E32}"/>
              </c:ext>
            </c:extLst>
          </c:dPt>
          <c:dLbls>
            <c:dLbl>
              <c:idx val="0"/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solidFill>
                        <a:srgbClr val="9B575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tr-T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DA4-4A95-B170-CFBB40B46E32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rgbClr val="BD803D"/>
                    </a:solidFill>
                    <a:latin typeface="+mn-lt"/>
                    <a:ea typeface="+mn-ea"/>
                    <a:cs typeface="+mn-cs"/>
                  </a:defRPr>
                </a:pPr>
                <a:endParaRPr lang="tr-T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[0]!ChartLabels</c:f>
              <c:strCache>
                <c:ptCount val="5"/>
                <c:pt idx="0">
                  <c:v>Sales Price</c:v>
                </c:pt>
                <c:pt idx="1">
                  <c:v>Timbercraft Co.</c:v>
                </c:pt>
                <c:pt idx="2">
                  <c:v>Cedarwood Workshop</c:v>
                </c:pt>
                <c:pt idx="3">
                  <c:v>Timberland Craftsman</c:v>
                </c:pt>
                <c:pt idx="4">
                  <c:v>Oak &amp; Pine Co.</c:v>
                </c:pt>
              </c:strCache>
            </c:strRef>
          </c:cat>
          <c:val>
            <c:numRef>
              <c:f>[0]!ChartValues</c:f>
              <c:numCache>
                <c:formatCode>0.00</c:formatCode>
                <c:ptCount val="5"/>
                <c:pt idx="0">
                  <c:v>1065.1184415584414</c:v>
                </c:pt>
                <c:pt idx="1">
                  <c:v>1150</c:v>
                </c:pt>
                <c:pt idx="2">
                  <c:v>956</c:v>
                </c:pt>
                <c:pt idx="3">
                  <c:v>1235</c:v>
                </c:pt>
                <c:pt idx="4">
                  <c:v>1560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A4-4A95-B170-CFBB40B46E3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7"/>
        <c:axId val="357058544"/>
        <c:axId val="343229472"/>
      </c:barChart>
      <c:catAx>
        <c:axId val="357058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364156"/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43229472"/>
        <c:crosses val="autoZero"/>
        <c:auto val="1"/>
        <c:lblAlgn val="ctr"/>
        <c:lblOffset val="100"/>
        <c:noMultiLvlLbl val="0"/>
      </c:catAx>
      <c:valAx>
        <c:axId val="343229472"/>
        <c:scaling>
          <c:orientation val="minMax"/>
        </c:scaling>
        <c:delete val="1"/>
        <c:axPos val="l"/>
        <c:numFmt formatCode="0.00" sourceLinked="1"/>
        <c:majorTickMark val="none"/>
        <c:minorTickMark val="none"/>
        <c:tickLblPos val="nextTo"/>
        <c:crossAx val="357058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2700" cap="flat" cmpd="sng" algn="ctr">
      <a:solidFill>
        <a:schemeClr val="bg2">
          <a:lumMod val="7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_xlchart.v1.1</cx:f>
      </cx:numDim>
    </cx:data>
  </cx:chartData>
  <cx:chart>
    <cx:title pos="t" align="ctr" overlay="0">
      <cx:tx>
        <cx:txData>
          <cx:v>Total Sales Price Breakdown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600" b="1" i="0" u="none" strike="noStrike" baseline="0">
              <a:solidFill>
                <a:srgbClr val="364156"/>
              </a:solidFill>
              <a:latin typeface="Calibri" panose="020F0502020204030204"/>
            </a:rPr>
            <a:t>Total Sales Price Breakdown</a:t>
          </a:r>
        </a:p>
      </cx:txPr>
    </cx:title>
    <cx:plotArea>
      <cx:plotAreaRegion>
        <cx:series layoutId="waterfall" uniqueId="{00000002-7310-4B96-AA04-7F0A1A9BEFE7}">
          <cx:dataPt idx="0">
            <cx:spPr>
              <a:solidFill>
                <a:srgbClr val="364156"/>
              </a:solidFill>
            </cx:spPr>
          </cx:dataPt>
          <cx:dataPt idx="1">
            <cx:spPr>
              <a:solidFill>
                <a:srgbClr val="679289"/>
              </a:solidFill>
            </cx:spPr>
          </cx:dataPt>
          <cx:dataPt idx="2">
            <cx:spPr>
              <a:solidFill>
                <a:srgbClr val="D67764"/>
              </a:solidFill>
            </cx:spPr>
          </cx:dataPt>
          <cx:dataPt idx="3">
            <cx:spPr>
              <a:solidFill>
                <a:srgbClr val="679289"/>
              </a:solidFill>
            </cx:spPr>
          </cx:dataPt>
          <cx:dataPt idx="4">
            <cx:spPr>
              <a:solidFill>
                <a:srgbClr val="679289"/>
              </a:solidFill>
            </cx:spPr>
          </cx:dataPt>
          <cx:dataPt idx="5">
            <cx:spPr>
              <a:solidFill>
                <a:srgbClr val="9B5756"/>
              </a:solidFill>
            </cx:spPr>
          </cx:dataPt>
          <cx:dataLabels pos="outEnd">
            <cx:numFmt formatCode="#.##0,00" sourceLinked="0"/>
            <cx:visibility seriesName="0" categoryName="0" value="1"/>
            <cx:separator>, </cx:separator>
            <cx:dataLabel idx="0">
              <cx:txPr>
                <a:bodyPr spcFirstLastPara="1" vertOverflow="ellipsis" horzOverflow="overflow" wrap="square" lIns="0" tIns="0" rIns="0" bIns="0" anchor="ctr" anchorCtr="1"/>
                <a:lstStyle/>
                <a:p>
                  <a:pPr algn="ctr" rtl="0">
                    <a:defRPr sz="1050" b="1">
                      <a:solidFill>
                        <a:srgbClr val="364156"/>
                      </a:solidFill>
                    </a:defRPr>
                  </a:pPr>
                  <a:r>
                    <a:rPr lang="en-US" sz="1050" b="1" i="0" u="none" strike="noStrike" baseline="0">
                      <a:solidFill>
                        <a:srgbClr val="364156"/>
                      </a:solidFill>
                      <a:latin typeface="Calibri" panose="020F0502020204030204"/>
                    </a:rPr>
                    <a:t>723,23</a:t>
                  </a:r>
                </a:p>
              </cx:txPr>
            </cx:dataLabel>
            <cx:dataLabel idx="1">
              <cx:txPr>
                <a:bodyPr spcFirstLastPara="1" vertOverflow="ellipsis" horzOverflow="overflow" wrap="square" lIns="0" tIns="0" rIns="0" bIns="0" anchor="ctr" anchorCtr="1"/>
                <a:lstStyle/>
                <a:p>
                  <a:pPr algn="ctr" rtl="0">
                    <a:defRPr sz="1000">
                      <a:solidFill>
                        <a:srgbClr val="679289"/>
                      </a:solidFill>
                    </a:defRPr>
                  </a:pPr>
                  <a:r>
                    <a:rPr lang="en-US" sz="1000" b="0" i="0" u="none" strike="noStrike" baseline="0">
                      <a:solidFill>
                        <a:srgbClr val="679289"/>
                      </a:solidFill>
                      <a:latin typeface="Calibri" panose="020F0502020204030204"/>
                    </a:rPr>
                    <a:t>361,61</a:t>
                  </a:r>
                </a:p>
              </cx:txPr>
            </cx:dataLabel>
            <cx:dataLabel idx="2">
              <cx:txPr>
                <a:bodyPr spcFirstLastPara="1" vertOverflow="ellipsis" horzOverflow="overflow" wrap="square" lIns="0" tIns="0" rIns="0" bIns="0" anchor="ctr" anchorCtr="1"/>
                <a:lstStyle/>
                <a:p>
                  <a:pPr algn="ctr" rtl="0">
                    <a:defRPr sz="1000">
                      <a:solidFill>
                        <a:srgbClr val="D67764"/>
                      </a:solidFill>
                    </a:defRPr>
                  </a:pPr>
                  <a:r>
                    <a:rPr lang="en-US" sz="1000" b="0" i="0" u="none" strike="noStrike" baseline="0">
                      <a:solidFill>
                        <a:srgbClr val="D67764"/>
                      </a:solidFill>
                      <a:latin typeface="Calibri" panose="020F0502020204030204"/>
                    </a:rPr>
                    <a:t>-108,48</a:t>
                  </a:r>
                </a:p>
              </cx:txPr>
            </cx:dataLabel>
            <cx:dataLabel idx="3">
              <cx:txPr>
                <a:bodyPr spcFirstLastPara="1" vertOverflow="ellipsis" horzOverflow="overflow" wrap="square" lIns="0" tIns="0" rIns="0" bIns="0" anchor="ctr" anchorCtr="1"/>
                <a:lstStyle/>
                <a:p>
                  <a:pPr algn="ctr" rtl="0">
                    <a:defRPr sz="1000">
                      <a:solidFill>
                        <a:srgbClr val="679289"/>
                      </a:solidFill>
                    </a:defRPr>
                  </a:pPr>
                  <a:r>
                    <a:rPr lang="en-US" sz="1000" b="0" i="0" u="none" strike="noStrike" baseline="0">
                      <a:solidFill>
                        <a:srgbClr val="679289"/>
                      </a:solidFill>
                      <a:latin typeface="Calibri" panose="020F0502020204030204"/>
                    </a:rPr>
                    <a:t>78,11</a:t>
                  </a:r>
                </a:p>
              </cx:txPr>
            </cx:dataLabel>
            <cx:dataLabel idx="4">
              <cx:txPr>
                <a:bodyPr spcFirstLastPara="1" vertOverflow="ellipsis" horzOverflow="overflow" wrap="square" lIns="0" tIns="0" rIns="0" bIns="0" anchor="ctr" anchorCtr="1"/>
                <a:lstStyle/>
                <a:p>
                  <a:pPr algn="ctr" rtl="0">
                    <a:defRPr sz="1000">
                      <a:solidFill>
                        <a:srgbClr val="679289"/>
                      </a:solidFill>
                    </a:defRPr>
                  </a:pPr>
                  <a:r>
                    <a:rPr lang="en-US" sz="1000" b="0" i="0" u="none" strike="noStrike" baseline="0">
                      <a:solidFill>
                        <a:srgbClr val="679289"/>
                      </a:solidFill>
                      <a:latin typeface="Calibri" panose="020F0502020204030204"/>
                    </a:rPr>
                    <a:t>10,65</a:t>
                  </a:r>
                </a:p>
              </cx:txPr>
            </cx:dataLabel>
            <cx:dataLabel idx="5">
              <cx:txPr>
                <a:bodyPr spcFirstLastPara="1" vertOverflow="ellipsis" horzOverflow="overflow" wrap="square" lIns="0" tIns="0" rIns="0" bIns="0" anchor="ctr" anchorCtr="1"/>
                <a:lstStyle/>
                <a:p>
                  <a:pPr algn="ctr" rtl="0">
                    <a:defRPr sz="1050" b="1">
                      <a:solidFill>
                        <a:srgbClr val="9B5756"/>
                      </a:solidFill>
                    </a:defRPr>
                  </a:pPr>
                  <a:r>
                    <a:rPr lang="en-US" sz="1050" b="1" i="0" u="none" strike="noStrike" baseline="0">
                      <a:solidFill>
                        <a:srgbClr val="9B5756"/>
                      </a:solidFill>
                      <a:latin typeface="Calibri" panose="020F0502020204030204"/>
                    </a:rPr>
                    <a:t>1.065,12</a:t>
                  </a:r>
                </a:p>
              </cx:txPr>
            </cx:dataLabel>
          </cx:dataLabels>
          <cx:dataId val="0"/>
          <cx:layoutPr>
            <cx:visibility connectorLines="1"/>
            <cx:subtotals>
              <cx:idx val="5"/>
            </cx:subtotals>
          </cx:layoutPr>
        </cx:series>
      </cx:plotAreaRegion>
      <cx:axis id="0">
        <cx:catScaling gapWidth="0.5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solidFill>
                  <a:srgbClr val="364156"/>
                </a:solidFill>
              </a:defRPr>
            </a:pPr>
            <a:endParaRPr lang="en-US" sz="900" b="0" i="0" u="none" strike="noStrike" baseline="0">
              <a:solidFill>
                <a:srgbClr val="364156"/>
              </a:solidFill>
              <a:latin typeface="Calibri" panose="020F0502020204030204"/>
            </a:endParaRPr>
          </a:p>
        </cx:txPr>
      </cx:axis>
      <cx:axis id="1">
        <cx:valScaling/>
        <cx:tickLabels/>
      </cx:axis>
    </cx:plotArea>
  </cx:chart>
  <cx:spPr>
    <a:solidFill>
      <a:schemeClr val="bg1"/>
    </a:solidFill>
    <a:ln w="9525">
      <a:solidFill>
        <a:schemeClr val="bg2">
          <a:lumMod val="75000"/>
        </a:schemeClr>
      </a:solidFill>
    </a:ln>
  </cx:spPr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40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Products!A5"/><Relationship Id="rId7" Type="http://schemas.openxmlformats.org/officeDocument/2006/relationships/hyperlink" Target="#PriceCalculator!A11"/><Relationship Id="rId12" Type="http://schemas.openxmlformats.org/officeDocument/2006/relationships/hyperlink" Target="#Menu!A5"/><Relationship Id="rId1" Type="http://schemas.openxmlformats.org/officeDocument/2006/relationships/image" Target="../media/image1.png"/><Relationship Id="rId6" Type="http://schemas.openxmlformats.org/officeDocument/2006/relationships/hyperlink" Target="#RawMaterials!A5"/><Relationship Id="rId11" Type="http://schemas.openxmlformats.org/officeDocument/2006/relationships/image" Target="../media/image3.png"/><Relationship Id="rId5" Type="http://schemas.microsoft.com/office/2007/relationships/hdphoto" Target="../media/hdphoto1.wdp"/><Relationship Id="rId4" Type="http://schemas.openxmlformats.org/officeDocument/2006/relationships/image" Target="../media/image2.png"/><Relationship Id="rId9" Type="http://schemas.openxmlformats.org/officeDocument/2006/relationships/hyperlink" Target="#Dashboard!A5"/><Relationship Id="rId14" Type="http://schemas.openxmlformats.org/officeDocument/2006/relationships/image" Target="../media/image4.png"/><Relationship Id="rId15" Type="http://schemas.openxmlformats.org/officeDocument/2006/relationships/image" Target="../media/image7.png"/><Relationship Id="rId16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Dashboard!A5"/><Relationship Id="rId3" Type="http://schemas.openxmlformats.org/officeDocument/2006/relationships/image" Target="../media/image5.png"/><Relationship Id="rId7" Type="http://schemas.openxmlformats.org/officeDocument/2006/relationships/hyperlink" Target="#Products!A5"/><Relationship Id="rId12" Type="http://schemas.openxmlformats.org/officeDocument/2006/relationships/image" Target="../media/image6.png"/><Relationship Id="rId2" Type="http://schemas.openxmlformats.org/officeDocument/2006/relationships/hyperlink" Target="#Menu!A5"/><Relationship Id="rId6" Type="http://schemas.openxmlformats.org/officeDocument/2006/relationships/hyperlink" Target="#PriceCalculator!A12"/><Relationship Id="rId5" Type="http://schemas.openxmlformats.org/officeDocument/2006/relationships/hyperlink" Target="#RawMaterials!A5"/><Relationship Id="rId10" Type="http://schemas.openxmlformats.org/officeDocument/2006/relationships/image" Target="../media/image3.png"/><Relationship Id="rId4" Type="http://schemas.openxmlformats.org/officeDocument/2006/relationships/image" Target="../media/image1.png"/><Relationship Id="rId13" Type="http://schemas.openxmlformats.org/officeDocument/2006/relationships/image" Target="../media/image8.png"/><Relationship Id="rId14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image" Target="../media/image5.png"/><Relationship Id="rId3" Type="http://schemas.openxmlformats.org/officeDocument/2006/relationships/hyperlink" Target="#PriceCalculator!A36"/><Relationship Id="rId12" Type="http://schemas.openxmlformats.org/officeDocument/2006/relationships/hyperlink" Target="#Menu!A5"/><Relationship Id="rId17" Type="http://schemas.openxmlformats.org/officeDocument/2006/relationships/image" Target="../media/image4.png"/><Relationship Id="rId2" Type="http://schemas.openxmlformats.org/officeDocument/2006/relationships/hyperlink" Target="#PriceCalculator!A12"/><Relationship Id="rId16" Type="http://schemas.openxmlformats.org/officeDocument/2006/relationships/image" Target="../media/image6.png"/><Relationship Id="rId6" Type="http://schemas.openxmlformats.org/officeDocument/2006/relationships/hyperlink" Target="#PriceCalculator!A113"/><Relationship Id="rId11" Type="http://schemas.openxmlformats.org/officeDocument/2006/relationships/hyperlink" Target="#Dashboard!A5"/><Relationship Id="rId5" Type="http://schemas.openxmlformats.org/officeDocument/2006/relationships/hyperlink" Target="#PriceCalculator!A104"/><Relationship Id="rId10" Type="http://schemas.openxmlformats.org/officeDocument/2006/relationships/hyperlink" Target="#Products!A5"/><Relationship Id="rId4" Type="http://schemas.openxmlformats.org/officeDocument/2006/relationships/hyperlink" Target="#PriceCalculator!A80"/><Relationship Id="rId9" Type="http://schemas.openxmlformats.org/officeDocument/2006/relationships/hyperlink" Target="#RawMaterials!A5"/><Relationship Id="rId14" Type="http://schemas.openxmlformats.org/officeDocument/2006/relationships/image" Target="../media/image1.png"/><Relationship Id="rId18" Type="http://schemas.openxmlformats.org/officeDocument/2006/relationships/image" Target="../media/image9.png"/><Relationship Id="rId19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Dashboard!A5"/><Relationship Id="rId3" Type="http://schemas.openxmlformats.org/officeDocument/2006/relationships/image" Target="../media/image5.png"/><Relationship Id="rId7" Type="http://schemas.openxmlformats.org/officeDocument/2006/relationships/hyperlink" Target="#Products!A5"/><Relationship Id="rId12" Type="http://schemas.openxmlformats.org/officeDocument/2006/relationships/image" Target="../media/image6.png"/><Relationship Id="rId2" Type="http://schemas.openxmlformats.org/officeDocument/2006/relationships/hyperlink" Target="#Menu!A5"/><Relationship Id="rId6" Type="http://schemas.openxmlformats.org/officeDocument/2006/relationships/hyperlink" Target="#PriceCalculator!A12"/><Relationship Id="rId5" Type="http://schemas.openxmlformats.org/officeDocument/2006/relationships/hyperlink" Target="#RawMaterials!A5"/><Relationship Id="rId10" Type="http://schemas.openxmlformats.org/officeDocument/2006/relationships/image" Target="../media/image3.png"/><Relationship Id="rId4" Type="http://schemas.openxmlformats.org/officeDocument/2006/relationships/image" Target="../media/image1.png"/><Relationship Id="rId13" Type="http://schemas.openxmlformats.org/officeDocument/2006/relationships/image" Target="../media/image10.png"/><Relationship Id="rId14" Type="http://schemas.openxmlformats.org/officeDocument/2006/relationships/hyperlink" Target="https://masterproductivitykit.com/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RawMaterials!A5"/><Relationship Id="rId13" Type="http://schemas.openxmlformats.org/officeDocument/2006/relationships/image" Target="../media/image3.png"/><Relationship Id="rId3" Type="http://schemas.openxmlformats.org/officeDocument/2006/relationships/chart" Target="../charts/chart2.xml"/><Relationship Id="rId7" Type="http://schemas.openxmlformats.org/officeDocument/2006/relationships/image" Target="../media/image1.png"/><Relationship Id="rId2" Type="http://schemas.openxmlformats.org/officeDocument/2006/relationships/chart" Target="../charts/chart1.xml"/><Relationship Id="rId6" Type="http://schemas.openxmlformats.org/officeDocument/2006/relationships/image" Target="../media/image5.png"/><Relationship Id="rId11" Type="http://schemas.openxmlformats.org/officeDocument/2006/relationships/hyperlink" Target="#Dashboard!A5"/><Relationship Id="rId5" Type="http://schemas.openxmlformats.org/officeDocument/2006/relationships/hyperlink" Target="#Menu!A5"/><Relationship Id="rId15" Type="http://schemas.openxmlformats.org/officeDocument/2006/relationships/image" Target="../media/image4.png"/><Relationship Id="rId10" Type="http://schemas.openxmlformats.org/officeDocument/2006/relationships/hyperlink" Target="#Products!A5"/><Relationship Id="rId4" Type="http://schemas.microsoft.com/office/2014/relationships/chartEx" Target="../charts/chartEx1.xml"/><Relationship Id="rId9" Type="http://schemas.openxmlformats.org/officeDocument/2006/relationships/hyperlink" Target="#PriceCalculator!A12"/><Relationship Id="rId16" Type="http://schemas.openxmlformats.org/officeDocument/2006/relationships/image" Target="../media/image11.png"/><Relationship Id="rId17" Type="http://schemas.openxmlformats.org/officeDocument/2006/relationships/hyperlink" Target="https://masterproductivitykit.com/" TargetMode="External"/></Relationships>
</file>

<file path=xl/drawings/_rels/drawing6.xml.rels><?xml version="1.0" encoding="UTF-8" standalone="yes"?>
<Relationships xmlns="http://schemas.openxmlformats.org/package/2006/relationships"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Menu!A5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61200</xdr:colOff>
      <xdr:row>1</xdr:row>
      <xdr:rowOff>60225</xdr:rowOff>
    </xdr:from>
    <xdr:ext cx="432000" cy="432000"/>
    <xdr:pic>
      <xdr:nvPicPr>
        <xdr:cNvPr id="4" name="mainicon">
          <a:extLst>
            <a:ext uri="{FF2B5EF4-FFF2-40B4-BE49-F238E27FC236}">
              <a16:creationId xmlns:a16="http://schemas.microsoft.com/office/drawing/2014/main" id="{2C6BC757-19D7-44AE-830C-CE856917A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08850" y="145950"/>
          <a:ext cx="432000" cy="432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oneCellAnchor>
  <xdr:twoCellAnchor editAs="oneCell">
    <xdr:from>
      <xdr:col>10</xdr:col>
      <xdr:colOff>171450</xdr:colOff>
      <xdr:row>10</xdr:row>
      <xdr:rowOff>92048</xdr:rowOff>
    </xdr:from>
    <xdr:to>
      <xdr:col>13</xdr:col>
      <xdr:colOff>361725</xdr:colOff>
      <xdr:row>13</xdr:row>
      <xdr:rowOff>96548</xdr:rowOff>
    </xdr:to>
    <xdr:sp macro="" textlink="">
      <xdr:nvSpPr>
        <xdr:cNvPr id="21" name="Rectangle: Rounded Corners 20">
          <a:hlinkClick xmlns:r="http://schemas.openxmlformats.org/officeDocument/2006/relationships" r:id="rId6" tooltip="Raw Materials"/>
          <a:extLst>
            <a:ext uri="{FF2B5EF4-FFF2-40B4-BE49-F238E27FC236}">
              <a16:creationId xmlns:a16="http://schemas.microsoft.com/office/drawing/2014/main" id="{2EF41DAD-1F71-3F78-3EAC-F776189937AD}"/>
            </a:ext>
          </a:extLst>
        </xdr:cNvPr>
        <xdr:cNvSpPr>
          <a:spLocks/>
        </xdr:cNvSpPr>
      </xdr:nvSpPr>
      <xdr:spPr>
        <a:xfrm>
          <a:off x="6467475" y="2016098"/>
          <a:ext cx="1800000" cy="576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solidFill>
                <a:schemeClr val="bg1"/>
              </a:solidFill>
            </a:rPr>
            <a:t>RAW MATERIALS</a:t>
          </a:r>
        </a:p>
      </xdr:txBody>
    </xdr:sp>
    <xdr:clientData/>
  </xdr:twoCellAnchor>
  <xdr:twoCellAnchor editAs="oneCell">
    <xdr:from>
      <xdr:col>10</xdr:col>
      <xdr:colOff>171450</xdr:colOff>
      <xdr:row>16</xdr:row>
      <xdr:rowOff>78714</xdr:rowOff>
    </xdr:from>
    <xdr:to>
      <xdr:col>13</xdr:col>
      <xdr:colOff>361725</xdr:colOff>
      <xdr:row>19</xdr:row>
      <xdr:rowOff>83214</xdr:rowOff>
    </xdr:to>
    <xdr:sp macro="" textlink="">
      <xdr:nvSpPr>
        <xdr:cNvPr id="22" name="Rectangle: Rounded Corners 21">
          <a:hlinkClick xmlns:r="http://schemas.openxmlformats.org/officeDocument/2006/relationships" r:id="rId7" tooltip="Price Calculator"/>
          <a:extLst>
            <a:ext uri="{FF2B5EF4-FFF2-40B4-BE49-F238E27FC236}">
              <a16:creationId xmlns:a16="http://schemas.microsoft.com/office/drawing/2014/main" id="{82CC0377-F43F-4B83-B24A-9436483ECC18}"/>
            </a:ext>
          </a:extLst>
        </xdr:cNvPr>
        <xdr:cNvSpPr>
          <a:spLocks/>
        </xdr:cNvSpPr>
      </xdr:nvSpPr>
      <xdr:spPr>
        <a:xfrm>
          <a:off x="6467475" y="3145764"/>
          <a:ext cx="1800000" cy="576000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200" b="1">
              <a:solidFill>
                <a:schemeClr val="bg1"/>
              </a:solidFill>
            </a:rPr>
            <a:t>PRICE</a:t>
          </a:r>
          <a:r>
            <a:rPr lang="en-US" sz="1200" b="1" baseline="0">
              <a:solidFill>
                <a:schemeClr val="bg1"/>
              </a:solidFill>
            </a:rPr>
            <a:t> </a:t>
          </a:r>
          <a:r>
            <a:rPr lang="tr-TR" sz="1200" b="1">
              <a:solidFill>
                <a:schemeClr val="bg1"/>
              </a:solidFill>
            </a:rPr>
            <a:t>CALCULATOR</a:t>
          </a:r>
        </a:p>
      </xdr:txBody>
    </xdr:sp>
    <xdr:clientData/>
  </xdr:twoCellAnchor>
  <xdr:twoCellAnchor editAs="oneCell">
    <xdr:from>
      <xdr:col>10</xdr:col>
      <xdr:colOff>171450</xdr:colOff>
      <xdr:row>22</xdr:row>
      <xdr:rowOff>65380</xdr:rowOff>
    </xdr:from>
    <xdr:to>
      <xdr:col>13</xdr:col>
      <xdr:colOff>361725</xdr:colOff>
      <xdr:row>25</xdr:row>
      <xdr:rowOff>69880</xdr:rowOff>
    </xdr:to>
    <xdr:sp macro="" textlink="">
      <xdr:nvSpPr>
        <xdr:cNvPr id="23" name="Rectangle: Rounded Corners 22">
          <a:hlinkClick xmlns:r="http://schemas.openxmlformats.org/officeDocument/2006/relationships" r:id="rId8" tooltip="Product Database &amp; Competitors"/>
          <a:extLst>
            <a:ext uri="{FF2B5EF4-FFF2-40B4-BE49-F238E27FC236}">
              <a16:creationId xmlns:a16="http://schemas.microsoft.com/office/drawing/2014/main" id="{74ACEC56-DE6B-404E-BDF2-28789CF643A2}"/>
            </a:ext>
          </a:extLst>
        </xdr:cNvPr>
        <xdr:cNvSpPr>
          <a:spLocks/>
        </xdr:cNvSpPr>
      </xdr:nvSpPr>
      <xdr:spPr>
        <a:xfrm>
          <a:off x="6467475" y="4275430"/>
          <a:ext cx="1800000" cy="576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solidFill>
                <a:schemeClr val="bg1"/>
              </a:solidFill>
            </a:rPr>
            <a:t>PRODUCT</a:t>
          </a:r>
          <a:r>
            <a:rPr lang="tr-TR" sz="1200" b="1" baseline="0">
              <a:solidFill>
                <a:schemeClr val="bg1"/>
              </a:solidFill>
            </a:rPr>
            <a:t> DATABASE</a:t>
          </a:r>
          <a:r>
            <a:rPr lang="tr-TR" sz="1200" b="1">
              <a:solidFill>
                <a:schemeClr val="bg1"/>
              </a:solidFill>
            </a:rPr>
            <a:t> </a:t>
          </a:r>
          <a:br>
            <a:rPr lang="tr-TR" sz="1200" b="1">
              <a:solidFill>
                <a:schemeClr val="bg1"/>
              </a:solidFill>
            </a:rPr>
          </a:br>
          <a:r>
            <a:rPr lang="tr-TR" sz="1200" b="1">
              <a:solidFill>
                <a:schemeClr val="bg1"/>
              </a:solidFill>
            </a:rPr>
            <a:t>&amp; COMPETITORS</a:t>
          </a:r>
        </a:p>
      </xdr:txBody>
    </xdr:sp>
    <xdr:clientData/>
  </xdr:twoCellAnchor>
  <xdr:twoCellAnchor editAs="oneCell">
    <xdr:from>
      <xdr:col>10</xdr:col>
      <xdr:colOff>171450</xdr:colOff>
      <xdr:row>28</xdr:row>
      <xdr:rowOff>52045</xdr:rowOff>
    </xdr:from>
    <xdr:to>
      <xdr:col>13</xdr:col>
      <xdr:colOff>361725</xdr:colOff>
      <xdr:row>31</xdr:row>
      <xdr:rowOff>85120</xdr:rowOff>
    </xdr:to>
    <xdr:sp macro="" textlink="">
      <xdr:nvSpPr>
        <xdr:cNvPr id="24" name="Rectangle: Rounded Corners 23">
          <a:hlinkClick xmlns:r="http://schemas.openxmlformats.org/officeDocument/2006/relationships" r:id="rId9" tooltip="Dashboard"/>
          <a:extLst>
            <a:ext uri="{FF2B5EF4-FFF2-40B4-BE49-F238E27FC236}">
              <a16:creationId xmlns:a16="http://schemas.microsoft.com/office/drawing/2014/main" id="{CFC5B5DE-2523-40EA-A65E-2BF725D0691E}"/>
            </a:ext>
          </a:extLst>
        </xdr:cNvPr>
        <xdr:cNvSpPr>
          <a:spLocks/>
        </xdr:cNvSpPr>
      </xdr:nvSpPr>
      <xdr:spPr>
        <a:xfrm>
          <a:off x="6467475" y="5405095"/>
          <a:ext cx="1800000" cy="57600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solidFill>
                <a:schemeClr val="bg1"/>
              </a:solidFill>
            </a:rPr>
            <a:t>DASHBOARD</a:t>
          </a:r>
        </a:p>
      </xdr:txBody>
    </xdr:sp>
    <xdr:clientData/>
  </xdr:twoCellAnchor>
  <xdr:twoCellAnchor editAs="oneCell">
    <xdr:from>
      <xdr:col>10</xdr:col>
      <xdr:colOff>171450</xdr:colOff>
      <xdr:row>5</xdr:row>
      <xdr:rowOff>133957</xdr:rowOff>
    </xdr:from>
    <xdr:to>
      <xdr:col>13</xdr:col>
      <xdr:colOff>361725</xdr:colOff>
      <xdr:row>7</xdr:row>
      <xdr:rowOff>205132</xdr:rowOff>
    </xdr:to>
    <xdr:sp macro="" textlink="">
      <xdr:nvSpPr>
        <xdr:cNvPr id="5" name="Rectangle: Rounded Corners 4">
          <a:hlinkClick xmlns:r="http://schemas.openxmlformats.org/officeDocument/2006/relationships" r:id="rId12" tooltip="Settings"/>
          <a:extLst>
            <a:ext uri="{FF2B5EF4-FFF2-40B4-BE49-F238E27FC236}">
              <a16:creationId xmlns:a16="http://schemas.microsoft.com/office/drawing/2014/main" id="{61BA4AB5-C953-4413-AC73-35DE752277C8}"/>
            </a:ext>
          </a:extLst>
        </xdr:cNvPr>
        <xdr:cNvSpPr>
          <a:spLocks/>
        </xdr:cNvSpPr>
      </xdr:nvSpPr>
      <xdr:spPr>
        <a:xfrm>
          <a:off x="6467475" y="886432"/>
          <a:ext cx="1800000" cy="576000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solidFill>
                <a:schemeClr val="bg1"/>
              </a:solidFill>
            </a:rPr>
            <a:t>SETTINGS</a:t>
          </a:r>
        </a:p>
      </xdr:txBody>
    </xdr:sp>
    <xdr:clientData/>
  </xdr:twoCellAnchor>
  <xdr:oneCellAnchor>
    <xdr:from>
      <xdr:col>11</xdr:col>
      <xdr:colOff>620475</xdr:colOff>
      <xdr:row>8</xdr:row>
      <xdr:rowOff>54315</xdr:rowOff>
    </xdr:from>
    <xdr:ext cx="540000" cy="360000"/>
    <xdr:sp macro="" textlink="">
      <xdr:nvSpPr>
        <xdr:cNvPr id="14" name="Left Arrow 1">
          <a:extLst>
            <a:ext uri="{FF2B5EF4-FFF2-40B4-BE49-F238E27FC236}">
              <a16:creationId xmlns:a16="http://schemas.microsoft.com/office/drawing/2014/main" id="{52415543-365B-4510-9060-0C11FCF6528D}"/>
            </a:ext>
          </a:extLst>
        </xdr:cNvPr>
        <xdr:cNvSpPr/>
      </xdr:nvSpPr>
      <xdr:spPr>
        <a:xfrm rot="16200000">
          <a:off x="7187475" y="1469265"/>
          <a:ext cx="360000" cy="540000"/>
        </a:xfrm>
        <a:prstGeom prst="leftArrow">
          <a:avLst/>
        </a:prstGeom>
        <a:solidFill>
          <a:srgbClr val="E2EFD9"/>
        </a:solidFill>
        <a:ln>
          <a:solidFill>
            <a:schemeClr val="accent4">
              <a:lumMod val="60000"/>
              <a:lumOff val="4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>
          <a:noAutofit/>
        </a:bodyPr>
        <a:lstStyle/>
        <a:p>
          <a:pPr algn="ctr"/>
          <a:endParaRPr lang="tr-TR" sz="900"/>
        </a:p>
      </xdr:txBody>
    </xdr:sp>
    <xdr:clientData fPrintsWithSheet="0"/>
  </xdr:oneCellAnchor>
  <xdr:oneCellAnchor>
    <xdr:from>
      <xdr:col>11</xdr:col>
      <xdr:colOff>620475</xdr:colOff>
      <xdr:row>14</xdr:row>
      <xdr:rowOff>2881</xdr:rowOff>
    </xdr:from>
    <xdr:ext cx="540000" cy="360000"/>
    <xdr:sp macro="" textlink="">
      <xdr:nvSpPr>
        <xdr:cNvPr id="15" name="Left Arrow 1">
          <a:extLst>
            <a:ext uri="{FF2B5EF4-FFF2-40B4-BE49-F238E27FC236}">
              <a16:creationId xmlns:a16="http://schemas.microsoft.com/office/drawing/2014/main" id="{A65A4B44-A990-4F99-9D7B-A27CE34206E2}"/>
            </a:ext>
          </a:extLst>
        </xdr:cNvPr>
        <xdr:cNvSpPr/>
      </xdr:nvSpPr>
      <xdr:spPr>
        <a:xfrm rot="16200000">
          <a:off x="7187475" y="2598931"/>
          <a:ext cx="360000" cy="540000"/>
        </a:xfrm>
        <a:prstGeom prst="leftArrow">
          <a:avLst/>
        </a:prstGeom>
        <a:solidFill>
          <a:srgbClr val="E2EFD9"/>
        </a:solidFill>
        <a:ln>
          <a:solidFill>
            <a:schemeClr val="accent4">
              <a:lumMod val="60000"/>
              <a:lumOff val="4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>
          <a:noAutofit/>
        </a:bodyPr>
        <a:lstStyle/>
        <a:p>
          <a:pPr algn="ctr"/>
          <a:endParaRPr lang="tr-TR" sz="900"/>
        </a:p>
      </xdr:txBody>
    </xdr:sp>
    <xdr:clientData fPrintsWithSheet="0"/>
  </xdr:oneCellAnchor>
  <xdr:oneCellAnchor>
    <xdr:from>
      <xdr:col>11</xdr:col>
      <xdr:colOff>620475</xdr:colOff>
      <xdr:row>19</xdr:row>
      <xdr:rowOff>180047</xdr:rowOff>
    </xdr:from>
    <xdr:ext cx="540000" cy="360000"/>
    <xdr:sp macro="" textlink="">
      <xdr:nvSpPr>
        <xdr:cNvPr id="16" name="Left Arrow 1">
          <a:extLst>
            <a:ext uri="{FF2B5EF4-FFF2-40B4-BE49-F238E27FC236}">
              <a16:creationId xmlns:a16="http://schemas.microsoft.com/office/drawing/2014/main" id="{B8FEFF81-6935-4D31-9F9D-08672F252DD1}"/>
            </a:ext>
          </a:extLst>
        </xdr:cNvPr>
        <xdr:cNvSpPr/>
      </xdr:nvSpPr>
      <xdr:spPr>
        <a:xfrm rot="16200000">
          <a:off x="7187475" y="3728597"/>
          <a:ext cx="360000" cy="540000"/>
        </a:xfrm>
        <a:prstGeom prst="leftArrow">
          <a:avLst/>
        </a:prstGeom>
        <a:solidFill>
          <a:srgbClr val="E2EFD9"/>
        </a:solidFill>
        <a:ln>
          <a:solidFill>
            <a:schemeClr val="accent4">
              <a:lumMod val="60000"/>
              <a:lumOff val="4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>
          <a:noAutofit/>
        </a:bodyPr>
        <a:lstStyle/>
        <a:p>
          <a:pPr algn="ctr"/>
          <a:endParaRPr lang="tr-TR" sz="900"/>
        </a:p>
      </xdr:txBody>
    </xdr:sp>
    <xdr:clientData fPrintsWithSheet="0"/>
  </xdr:oneCellAnchor>
  <xdr:oneCellAnchor>
    <xdr:from>
      <xdr:col>11</xdr:col>
      <xdr:colOff>620475</xdr:colOff>
      <xdr:row>25</xdr:row>
      <xdr:rowOff>166713</xdr:rowOff>
    </xdr:from>
    <xdr:ext cx="540000" cy="360000"/>
    <xdr:sp macro="" textlink="">
      <xdr:nvSpPr>
        <xdr:cNvPr id="20" name="Left Arrow 1">
          <a:extLst>
            <a:ext uri="{FF2B5EF4-FFF2-40B4-BE49-F238E27FC236}">
              <a16:creationId xmlns:a16="http://schemas.microsoft.com/office/drawing/2014/main" id="{C55332B7-C317-4EE1-8F5F-132DAEE10DCC}"/>
            </a:ext>
          </a:extLst>
        </xdr:cNvPr>
        <xdr:cNvSpPr/>
      </xdr:nvSpPr>
      <xdr:spPr>
        <a:xfrm rot="16200000">
          <a:off x="7187475" y="4858263"/>
          <a:ext cx="360000" cy="540000"/>
        </a:xfrm>
        <a:prstGeom prst="leftArrow">
          <a:avLst/>
        </a:prstGeom>
        <a:solidFill>
          <a:srgbClr val="E2EFD9"/>
        </a:solidFill>
        <a:ln>
          <a:solidFill>
            <a:schemeClr val="accent4">
              <a:lumMod val="60000"/>
              <a:lumOff val="4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>
          <a:noAutofit/>
        </a:bodyPr>
        <a:lstStyle/>
        <a:p>
          <a:pPr algn="ctr"/>
          <a:endParaRPr lang="tr-TR" sz="900"/>
        </a:p>
      </xdr:txBody>
    </xdr:sp>
    <xdr:clientData fPrintsWithSheet="0"/>
  </xdr:oneCellAnchor>
  <xdr:oneCellAnchor>
    <xdr:from>
      <xdr:col>15</xdr:col>
      <xdr:colOff>19052</xdr:colOff>
      <xdr:row>1</xdr:row>
      <xdr:rowOff>104775</xdr:rowOff>
    </xdr:from>
    <xdr:ext cx="1014221" cy="291600"/>
    <xdr:pic>
      <xdr:nvPicPr>
        <xdr:cNvPr id="1024" name="mpkLogo">
          <a:hlinkClick xmlns:a="http://schemas.openxmlformats.org/drawingml/2006/main" xmlns:r="http://schemas.openxmlformats.org/officeDocument/2006/relationships" r:id="rId16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5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146095</xdr:colOff>
      <xdr:row>1</xdr:row>
      <xdr:rowOff>19050</xdr:rowOff>
    </xdr:from>
    <xdr:to>
      <xdr:col>13</xdr:col>
      <xdr:colOff>8995</xdr:colOff>
      <xdr:row>2</xdr:row>
      <xdr:rowOff>221400</xdr:rowOff>
    </xdr:to>
    <xdr:grpSp>
      <xdr:nvGrpSpPr>
        <xdr:cNvPr id="46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5462A731-39C1-4AE6-A327-3D362429DB11}"/>
            </a:ext>
          </a:extLst>
        </xdr:cNvPr>
        <xdr:cNvGrpSpPr/>
      </xdr:nvGrpSpPr>
      <xdr:grpSpPr>
        <a:xfrm>
          <a:off x="11214145" y="104775"/>
          <a:ext cx="1044000" cy="450000"/>
          <a:chOff x="6972831" y="127063"/>
          <a:chExt cx="1044000" cy="450000"/>
        </a:xfrm>
      </xdr:grpSpPr>
      <xdr:sp macro="" textlink="">
        <xdr:nvSpPr>
          <xdr:cNvPr id="47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A0A51D62-DBE1-C55C-D80B-843B7461847A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8" name="Picture 47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514FA9CF-969A-D527-F447-9174F10A8A36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</xdr:col>
      <xdr:colOff>61200</xdr:colOff>
      <xdr:row>1</xdr:row>
      <xdr:rowOff>60225</xdr:rowOff>
    </xdr:from>
    <xdr:ext cx="432000" cy="432000"/>
    <xdr:pic>
      <xdr:nvPicPr>
        <xdr:cNvPr id="10" name="mainicon">
          <a:extLst>
            <a:ext uri="{FF2B5EF4-FFF2-40B4-BE49-F238E27FC236}">
              <a16:creationId xmlns:a16="http://schemas.microsoft.com/office/drawing/2014/main" id="{D05AB39C-335E-4E24-B5D4-650A83AE5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08850" y="145950"/>
          <a:ext cx="432000" cy="432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oneCellAnchor>
  <xdr:twoCellAnchor editAs="oneCell">
    <xdr:from>
      <xdr:col>3</xdr:col>
      <xdr:colOff>2245442</xdr:colOff>
      <xdr:row>1</xdr:row>
      <xdr:rowOff>123824</xdr:rowOff>
    </xdr:from>
    <xdr:to>
      <xdr:col>4</xdr:col>
      <xdr:colOff>405467</xdr:colOff>
      <xdr:row>2</xdr:row>
      <xdr:rowOff>182174</xdr:rowOff>
    </xdr:to>
    <xdr:sp macro="" textlink="">
      <xdr:nvSpPr>
        <xdr:cNvPr id="18" name="Rectangle: Rounded Corners 17">
          <a:hlinkClick xmlns:r="http://schemas.openxmlformats.org/officeDocument/2006/relationships" r:id="rId5" tooltip="Raw Materials"/>
          <a:extLst>
            <a:ext uri="{FF2B5EF4-FFF2-40B4-BE49-F238E27FC236}">
              <a16:creationId xmlns:a16="http://schemas.microsoft.com/office/drawing/2014/main" id="{B2C0B8FA-D10D-4580-AA58-19324AADC562}"/>
            </a:ext>
          </a:extLst>
        </xdr:cNvPr>
        <xdr:cNvSpPr>
          <a:spLocks noChangeAspect="1"/>
        </xdr:cNvSpPr>
      </xdr:nvSpPr>
      <xdr:spPr>
        <a:xfrm>
          <a:off x="4179017" y="209549"/>
          <a:ext cx="1008000" cy="306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chemeClr val="bg1"/>
              </a:solidFill>
            </a:rPr>
            <a:t>RAW MATERIALS</a:t>
          </a:r>
          <a:endParaRPr lang="tr-TR" sz="1050" b="1">
            <a:solidFill>
              <a:schemeClr val="bg1"/>
            </a:solidFill>
          </a:endParaRPr>
        </a:p>
      </xdr:txBody>
    </xdr:sp>
    <xdr:clientData fPrintsWithSheet="0"/>
  </xdr:twoCellAnchor>
  <xdr:twoCellAnchor editAs="oneCell">
    <xdr:from>
      <xdr:col>4</xdr:col>
      <xdr:colOff>633708</xdr:colOff>
      <xdr:row>1</xdr:row>
      <xdr:rowOff>123824</xdr:rowOff>
    </xdr:from>
    <xdr:to>
      <xdr:col>5</xdr:col>
      <xdr:colOff>260583</xdr:colOff>
      <xdr:row>2</xdr:row>
      <xdr:rowOff>182174</xdr:rowOff>
    </xdr:to>
    <xdr:sp macro="" textlink="">
      <xdr:nvSpPr>
        <xdr:cNvPr id="19" name="Rectangle: Rounded Corners 18">
          <a:hlinkClick xmlns:r="http://schemas.openxmlformats.org/officeDocument/2006/relationships" r:id="rId6" tooltip="Price Calculator"/>
          <a:extLst>
            <a:ext uri="{FF2B5EF4-FFF2-40B4-BE49-F238E27FC236}">
              <a16:creationId xmlns:a16="http://schemas.microsoft.com/office/drawing/2014/main" id="{C42B8735-5225-4A00-A4A9-4E90A9BD26D7}"/>
            </a:ext>
          </a:extLst>
        </xdr:cNvPr>
        <xdr:cNvSpPr>
          <a:spLocks noChangeAspect="1"/>
        </xdr:cNvSpPr>
      </xdr:nvSpPr>
      <xdr:spPr>
        <a:xfrm>
          <a:off x="5415258" y="209549"/>
          <a:ext cx="1008000" cy="306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rgbClr val="1F4E78"/>
              </a:solidFill>
            </a:rPr>
            <a:t>CALCULATOR</a:t>
          </a:r>
          <a:endParaRPr lang="tr-TR" sz="1050" b="1">
            <a:solidFill>
              <a:srgbClr val="1F4E78"/>
            </a:solidFill>
          </a:endParaRPr>
        </a:p>
      </xdr:txBody>
    </xdr:sp>
    <xdr:clientData fPrintsWithSheet="0"/>
  </xdr:twoCellAnchor>
  <xdr:twoCellAnchor editAs="oneCell">
    <xdr:from>
      <xdr:col>5</xdr:col>
      <xdr:colOff>488824</xdr:colOff>
      <xdr:row>1</xdr:row>
      <xdr:rowOff>123825</xdr:rowOff>
    </xdr:from>
    <xdr:to>
      <xdr:col>6</xdr:col>
      <xdr:colOff>344299</xdr:colOff>
      <xdr:row>2</xdr:row>
      <xdr:rowOff>182175</xdr:rowOff>
    </xdr:to>
    <xdr:sp macro="" textlink="">
      <xdr:nvSpPr>
        <xdr:cNvPr id="20" name="Rectangle: Rounded Corners 19">
          <a:hlinkClick xmlns:r="http://schemas.openxmlformats.org/officeDocument/2006/relationships" r:id="rId7" tooltip="Database"/>
          <a:extLst>
            <a:ext uri="{FF2B5EF4-FFF2-40B4-BE49-F238E27FC236}">
              <a16:creationId xmlns:a16="http://schemas.microsoft.com/office/drawing/2014/main" id="{FAF04EDD-D727-4C84-AD70-327B45E8714A}"/>
            </a:ext>
          </a:extLst>
        </xdr:cNvPr>
        <xdr:cNvSpPr>
          <a:spLocks noChangeAspect="1"/>
        </xdr:cNvSpPr>
      </xdr:nvSpPr>
      <xdr:spPr>
        <a:xfrm>
          <a:off x="6651499" y="209550"/>
          <a:ext cx="1008000" cy="306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rgbClr val="1F4E78"/>
              </a:solidFill>
            </a:rPr>
            <a:t>DATABASE</a:t>
          </a:r>
          <a:endParaRPr lang="tr-TR" sz="1050" b="1">
            <a:solidFill>
              <a:srgbClr val="1F4E78"/>
            </a:solidFill>
          </a:endParaRPr>
        </a:p>
      </xdr:txBody>
    </xdr:sp>
    <xdr:clientData fPrintsWithSheet="0"/>
  </xdr:twoCellAnchor>
  <xdr:twoCellAnchor editAs="oneCell">
    <xdr:from>
      <xdr:col>6</xdr:col>
      <xdr:colOff>572540</xdr:colOff>
      <xdr:row>1</xdr:row>
      <xdr:rowOff>123825</xdr:rowOff>
    </xdr:from>
    <xdr:to>
      <xdr:col>7</xdr:col>
      <xdr:colOff>428015</xdr:colOff>
      <xdr:row>2</xdr:row>
      <xdr:rowOff>182175</xdr:rowOff>
    </xdr:to>
    <xdr:sp macro="" textlink="">
      <xdr:nvSpPr>
        <xdr:cNvPr id="21" name="Rectangle: Rounded Corners 20">
          <a:hlinkClick xmlns:r="http://schemas.openxmlformats.org/officeDocument/2006/relationships" r:id="rId8" tooltip="Dashboard"/>
          <a:extLst>
            <a:ext uri="{FF2B5EF4-FFF2-40B4-BE49-F238E27FC236}">
              <a16:creationId xmlns:a16="http://schemas.microsoft.com/office/drawing/2014/main" id="{260DA8AC-B26F-4F5D-871A-EA0B5EE0012A}"/>
            </a:ext>
          </a:extLst>
        </xdr:cNvPr>
        <xdr:cNvSpPr>
          <a:spLocks noChangeAspect="1"/>
        </xdr:cNvSpPr>
      </xdr:nvSpPr>
      <xdr:spPr>
        <a:xfrm>
          <a:off x="7887740" y="209550"/>
          <a:ext cx="1008000" cy="306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rgbClr val="1F4E78"/>
              </a:solidFill>
            </a:rPr>
            <a:t>DASHBOARD</a:t>
          </a:r>
          <a:endParaRPr lang="tr-TR" sz="1050" b="1">
            <a:solidFill>
              <a:srgbClr val="1F4E78"/>
            </a:solidFill>
          </a:endParaRPr>
        </a:p>
      </xdr:txBody>
    </xdr:sp>
    <xdr:clientData fPrintsWithSheet="0"/>
  </xdr:twoCellAnchor>
  <xdr:oneCellAnchor>
    <xdr:from>
      <xdr:col>7</xdr:col>
      <xdr:colOff>895352</xdr:colOff>
      <xdr:row>1</xdr:row>
      <xdr:rowOff>104775</xdr:rowOff>
    </xdr:from>
    <xdr:ext cx="1014221" cy="291600"/>
    <xdr:pic>
      <xdr:nvPicPr>
        <xdr:cNvPr id="1048" name="mpkLogo">
          <a:hlinkClick xmlns:a="http://schemas.openxmlformats.org/drawingml/2006/main" xmlns:r="http://schemas.openxmlformats.org/officeDocument/2006/relationships" r:id="rId14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3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523875</xdr:colOff>
      <xdr:row>13</xdr:row>
      <xdr:rowOff>0</xdr:rowOff>
    </xdr:from>
    <xdr:to>
      <xdr:col>5</xdr:col>
      <xdr:colOff>1704975</xdr:colOff>
      <xdr:row>14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6C6B96E7-1FF8-3691-5083-801AA43EEDC9}"/>
            </a:ext>
          </a:extLst>
        </xdr:cNvPr>
        <xdr:cNvSpPr/>
      </xdr:nvSpPr>
      <xdr:spPr>
        <a:xfrm>
          <a:off x="7867650" y="2295525"/>
          <a:ext cx="1181100" cy="266700"/>
        </a:xfrm>
        <a:prstGeom prst="rect">
          <a:avLst/>
        </a:prstGeom>
        <a:solidFill>
          <a:srgbClr val="D9E2EC"/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100" b="1">
              <a:solidFill>
                <a:srgbClr val="1F4E78"/>
              </a:solidFill>
            </a:rPr>
            <a:t>Calculation</a:t>
          </a:r>
          <a:r>
            <a:rPr lang="tr-TR" sz="1100" b="1" baseline="0">
              <a:solidFill>
                <a:srgbClr val="1F4E78"/>
              </a:solidFill>
            </a:rPr>
            <a:t> Type: </a:t>
          </a:r>
          <a:endParaRPr lang="tr-TR" sz="1100" b="1">
            <a:solidFill>
              <a:srgbClr val="1F4E78"/>
            </a:solidFill>
          </a:endParaRPr>
        </a:p>
      </xdr:txBody>
    </xdr:sp>
    <xdr:clientData/>
  </xdr:twoCellAnchor>
  <xdr:twoCellAnchor editAs="oneCell">
    <xdr:from>
      <xdr:col>4</xdr:col>
      <xdr:colOff>981076</xdr:colOff>
      <xdr:row>9</xdr:row>
      <xdr:rowOff>28575</xdr:rowOff>
    </xdr:from>
    <xdr:to>
      <xdr:col>5</xdr:col>
      <xdr:colOff>1426576</xdr:colOff>
      <xdr:row>10</xdr:row>
      <xdr:rowOff>2250</xdr:rowOff>
    </xdr:to>
    <xdr:sp macro="" textlink="">
      <xdr:nvSpPr>
        <xdr:cNvPr id="12" name="Rectangle 11">
          <a:hlinkClick xmlns:r="http://schemas.openxmlformats.org/officeDocument/2006/relationships" r:id="rId2" tooltip="Price Calculator"/>
          <a:extLst>
            <a:ext uri="{FF2B5EF4-FFF2-40B4-BE49-F238E27FC236}">
              <a16:creationId xmlns:a16="http://schemas.microsoft.com/office/drawing/2014/main" id="{7D292BA0-835C-9AFD-59B8-1DE49FB77438}"/>
            </a:ext>
          </a:extLst>
        </xdr:cNvPr>
        <xdr:cNvSpPr>
          <a:spLocks noChangeAspect="1"/>
        </xdr:cNvSpPr>
      </xdr:nvSpPr>
      <xdr:spPr>
        <a:xfrm>
          <a:off x="6610351" y="1600200"/>
          <a:ext cx="2160000" cy="288000"/>
        </a:xfrm>
        <a:prstGeom prst="rect">
          <a:avLst/>
        </a:prstGeom>
        <a:solidFill>
          <a:srgbClr val="70AD47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100" b="1">
              <a:solidFill>
                <a:schemeClr val="bg1"/>
              </a:solidFill>
            </a:rPr>
            <a:t>Price Calculator</a:t>
          </a:r>
        </a:p>
      </xdr:txBody>
    </xdr:sp>
    <xdr:clientData/>
  </xdr:twoCellAnchor>
  <xdr:twoCellAnchor editAs="oneCell">
    <xdr:from>
      <xdr:col>2</xdr:col>
      <xdr:colOff>1</xdr:colOff>
      <xdr:row>9</xdr:row>
      <xdr:rowOff>28575</xdr:rowOff>
    </xdr:from>
    <xdr:to>
      <xdr:col>2</xdr:col>
      <xdr:colOff>1440001</xdr:colOff>
      <xdr:row>10</xdr:row>
      <xdr:rowOff>2250</xdr:rowOff>
    </xdr:to>
    <xdr:sp macro="" textlink="">
      <xdr:nvSpPr>
        <xdr:cNvPr id="13" name="Rectangle 12">
          <a:hlinkClick xmlns:r="http://schemas.openxmlformats.org/officeDocument/2006/relationships" r:id="rId3" tooltip="Material Costs"/>
          <a:extLst>
            <a:ext uri="{FF2B5EF4-FFF2-40B4-BE49-F238E27FC236}">
              <a16:creationId xmlns:a16="http://schemas.microsoft.com/office/drawing/2014/main" id="{810C4E0E-D1D2-4A9A-A3C6-5DC20B9F5006}"/>
            </a:ext>
          </a:extLst>
        </xdr:cNvPr>
        <xdr:cNvSpPr>
          <a:spLocks noChangeAspect="1"/>
        </xdr:cNvSpPr>
      </xdr:nvSpPr>
      <xdr:spPr>
        <a:xfrm>
          <a:off x="428626" y="1600200"/>
          <a:ext cx="1440000" cy="288000"/>
        </a:xfrm>
        <a:prstGeom prst="rect">
          <a:avLst/>
        </a:prstGeom>
        <a:solidFill>
          <a:srgbClr val="70AD47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100" b="1"/>
            <a:t>1. Material</a:t>
          </a:r>
          <a:r>
            <a:rPr lang="tr-TR" sz="1100" b="1" baseline="0"/>
            <a:t> Costs</a:t>
          </a:r>
          <a:endParaRPr lang="tr-TR" sz="1100" b="1"/>
        </a:p>
      </xdr:txBody>
    </xdr:sp>
    <xdr:clientData/>
  </xdr:twoCellAnchor>
  <xdr:twoCellAnchor editAs="oneCell">
    <xdr:from>
      <xdr:col>2</xdr:col>
      <xdr:colOff>1545432</xdr:colOff>
      <xdr:row>9</xdr:row>
      <xdr:rowOff>28575</xdr:rowOff>
    </xdr:from>
    <xdr:to>
      <xdr:col>2</xdr:col>
      <xdr:colOff>2985432</xdr:colOff>
      <xdr:row>10</xdr:row>
      <xdr:rowOff>2250</xdr:rowOff>
    </xdr:to>
    <xdr:sp macro="" textlink="">
      <xdr:nvSpPr>
        <xdr:cNvPr id="21" name="Rectangle 20">
          <a:hlinkClick xmlns:r="http://schemas.openxmlformats.org/officeDocument/2006/relationships" r:id="rId4" tooltip="Labor Costs"/>
          <a:extLst>
            <a:ext uri="{FF2B5EF4-FFF2-40B4-BE49-F238E27FC236}">
              <a16:creationId xmlns:a16="http://schemas.microsoft.com/office/drawing/2014/main" id="{1010FE2F-E6B4-4E08-8295-7777404295A0}"/>
            </a:ext>
          </a:extLst>
        </xdr:cNvPr>
        <xdr:cNvSpPr>
          <a:spLocks noChangeAspect="1"/>
        </xdr:cNvSpPr>
      </xdr:nvSpPr>
      <xdr:spPr>
        <a:xfrm>
          <a:off x="1974057" y="1600200"/>
          <a:ext cx="1440000" cy="288000"/>
        </a:xfrm>
        <a:prstGeom prst="rect">
          <a:avLst/>
        </a:prstGeom>
        <a:solidFill>
          <a:srgbClr val="70AD47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100" b="1"/>
            <a:t>2. Labor Costs</a:t>
          </a:r>
        </a:p>
      </xdr:txBody>
    </xdr:sp>
    <xdr:clientData/>
  </xdr:twoCellAnchor>
  <xdr:twoCellAnchor editAs="oneCell">
    <xdr:from>
      <xdr:col>2</xdr:col>
      <xdr:colOff>3090863</xdr:colOff>
      <xdr:row>9</xdr:row>
      <xdr:rowOff>28575</xdr:rowOff>
    </xdr:from>
    <xdr:to>
      <xdr:col>3</xdr:col>
      <xdr:colOff>1044713</xdr:colOff>
      <xdr:row>10</xdr:row>
      <xdr:rowOff>2250</xdr:rowOff>
    </xdr:to>
    <xdr:sp macro="" textlink="">
      <xdr:nvSpPr>
        <xdr:cNvPr id="22" name="Rectangle 21">
          <a:hlinkClick xmlns:r="http://schemas.openxmlformats.org/officeDocument/2006/relationships" r:id="rId5" tooltip="Shipping Costs"/>
          <a:extLst>
            <a:ext uri="{FF2B5EF4-FFF2-40B4-BE49-F238E27FC236}">
              <a16:creationId xmlns:a16="http://schemas.microsoft.com/office/drawing/2014/main" id="{59E4E8E1-9926-472A-83FC-5F1F82C5C0A4}"/>
            </a:ext>
          </a:extLst>
        </xdr:cNvPr>
        <xdr:cNvSpPr>
          <a:spLocks noChangeAspect="1"/>
        </xdr:cNvSpPr>
      </xdr:nvSpPr>
      <xdr:spPr>
        <a:xfrm>
          <a:off x="3519488" y="1600200"/>
          <a:ext cx="1440000" cy="288000"/>
        </a:xfrm>
        <a:prstGeom prst="rect">
          <a:avLst/>
        </a:prstGeom>
        <a:solidFill>
          <a:srgbClr val="70AD47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100" b="1"/>
            <a:t>3. Shipping Costs</a:t>
          </a:r>
        </a:p>
      </xdr:txBody>
    </xdr:sp>
    <xdr:clientData/>
  </xdr:twoCellAnchor>
  <xdr:twoCellAnchor editAs="oneCell">
    <xdr:from>
      <xdr:col>3</xdr:col>
      <xdr:colOff>1150144</xdr:colOff>
      <xdr:row>9</xdr:row>
      <xdr:rowOff>28575</xdr:rowOff>
    </xdr:from>
    <xdr:to>
      <xdr:col>4</xdr:col>
      <xdr:colOff>875644</xdr:colOff>
      <xdr:row>10</xdr:row>
      <xdr:rowOff>2250</xdr:rowOff>
    </xdr:to>
    <xdr:sp macro="" textlink="">
      <xdr:nvSpPr>
        <xdr:cNvPr id="23" name="Rectangle 22">
          <a:hlinkClick xmlns:r="http://schemas.openxmlformats.org/officeDocument/2006/relationships" r:id="rId6" tooltip="Fixed/Other Costs"/>
          <a:extLst>
            <a:ext uri="{FF2B5EF4-FFF2-40B4-BE49-F238E27FC236}">
              <a16:creationId xmlns:a16="http://schemas.microsoft.com/office/drawing/2014/main" id="{8E1AC300-E4B2-4E87-8788-20F8B8532782}"/>
            </a:ext>
          </a:extLst>
        </xdr:cNvPr>
        <xdr:cNvSpPr>
          <a:spLocks noChangeAspect="1"/>
        </xdr:cNvSpPr>
      </xdr:nvSpPr>
      <xdr:spPr>
        <a:xfrm>
          <a:off x="5064919" y="1600200"/>
          <a:ext cx="1440000" cy="288000"/>
        </a:xfrm>
        <a:prstGeom prst="rect">
          <a:avLst/>
        </a:prstGeom>
        <a:solidFill>
          <a:srgbClr val="70AD47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100" b="1"/>
            <a:t>4. Fixed/Other Costs</a:t>
          </a:r>
        </a:p>
      </xdr:txBody>
    </xdr:sp>
    <xdr:clientData/>
  </xdr:twoCellAnchor>
  <xdr:twoCellAnchor editAs="oneCell">
    <xdr:from>
      <xdr:col>5</xdr:col>
      <xdr:colOff>533400</xdr:colOff>
      <xdr:row>16</xdr:row>
      <xdr:rowOff>89361</xdr:rowOff>
    </xdr:from>
    <xdr:to>
      <xdr:col>6</xdr:col>
      <xdr:colOff>78900</xdr:colOff>
      <xdr:row>18</xdr:row>
      <xdr:rowOff>186861</xdr:rowOff>
    </xdr:to>
    <xdr:sp macro="[0]!saveDb" textlink="">
      <xdr:nvSpPr>
        <xdr:cNvPr id="24" name="Rectangle: Rounded Corners 23">
          <a:extLst>
            <a:ext uri="{FF2B5EF4-FFF2-40B4-BE49-F238E27FC236}">
              <a16:creationId xmlns:a16="http://schemas.microsoft.com/office/drawing/2014/main" id="{7328720F-D264-CF64-238A-63FB1BF74AE3}"/>
            </a:ext>
          </a:extLst>
        </xdr:cNvPr>
        <xdr:cNvSpPr>
          <a:spLocks noChangeAspect="1"/>
        </xdr:cNvSpPr>
      </xdr:nvSpPr>
      <xdr:spPr>
        <a:xfrm>
          <a:off x="7877175" y="2994486"/>
          <a:ext cx="1260000" cy="63090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200" b="1"/>
            <a:t>SAVE</a:t>
          </a:r>
          <a:br>
            <a:rPr lang="tr-TR" sz="1200" b="1"/>
          </a:br>
          <a:r>
            <a:rPr lang="en-US" sz="1200" b="1" baseline="0"/>
            <a:t>PRODUCT</a:t>
          </a:r>
          <a:endParaRPr lang="tr-TR" sz="1200" b="1"/>
        </a:p>
      </xdr:txBody>
    </xdr:sp>
    <xdr:clientData/>
  </xdr:twoCellAnchor>
  <xdr:twoCellAnchor editAs="oneCell">
    <xdr:from>
      <xdr:col>6</xdr:col>
      <xdr:colOff>454500</xdr:colOff>
      <xdr:row>16</xdr:row>
      <xdr:rowOff>84599</xdr:rowOff>
    </xdr:from>
    <xdr:to>
      <xdr:col>7</xdr:col>
      <xdr:colOff>0</xdr:colOff>
      <xdr:row>18</xdr:row>
      <xdr:rowOff>191624</xdr:rowOff>
    </xdr:to>
    <xdr:sp macro="[0]!ClearPriceCalculator" textlink="">
      <xdr:nvSpPr>
        <xdr:cNvPr id="25" name="Rectangle: Rounded Corners 24">
          <a:extLst>
            <a:ext uri="{FF2B5EF4-FFF2-40B4-BE49-F238E27FC236}">
              <a16:creationId xmlns:a16="http://schemas.microsoft.com/office/drawing/2014/main" id="{3FA13186-6DF0-464C-86F8-B3C419518F6B}"/>
            </a:ext>
          </a:extLst>
        </xdr:cNvPr>
        <xdr:cNvSpPr>
          <a:spLocks noChangeAspect="1"/>
        </xdr:cNvSpPr>
      </xdr:nvSpPr>
      <xdr:spPr>
        <a:xfrm>
          <a:off x="9512775" y="2989724"/>
          <a:ext cx="1260000" cy="6404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200" b="1">
              <a:solidFill>
                <a:schemeClr val="bg1"/>
              </a:solidFill>
            </a:rPr>
            <a:t>CLEAR</a:t>
          </a:r>
          <a:br>
            <a:rPr lang="tr-TR" sz="1200" b="1">
              <a:solidFill>
                <a:schemeClr val="bg1"/>
              </a:solidFill>
            </a:rPr>
          </a:br>
          <a:r>
            <a:rPr lang="tr-TR" sz="1200" b="1">
              <a:solidFill>
                <a:schemeClr val="bg1"/>
              </a:solidFill>
            </a:rPr>
            <a:t>FORM</a:t>
          </a:r>
        </a:p>
      </xdr:txBody>
    </xdr:sp>
    <xdr:clientData/>
  </xdr:twoCellAnchor>
  <xdr:twoCellAnchor editAs="oneCell">
    <xdr:from>
      <xdr:col>5</xdr:col>
      <xdr:colOff>533400</xdr:colOff>
      <xdr:row>25</xdr:row>
      <xdr:rowOff>85724</xdr:rowOff>
    </xdr:from>
    <xdr:to>
      <xdr:col>6</xdr:col>
      <xdr:colOff>78900</xdr:colOff>
      <xdr:row>28</xdr:row>
      <xdr:rowOff>106124</xdr:rowOff>
    </xdr:to>
    <xdr:sp macro="[0]!reviseButtonCall.reviseButtonCall" textlink="">
      <xdr:nvSpPr>
        <xdr:cNvPr id="26" name="Rectangle: Rounded Corners 25">
          <a:extLst>
            <a:ext uri="{FF2B5EF4-FFF2-40B4-BE49-F238E27FC236}">
              <a16:creationId xmlns:a16="http://schemas.microsoft.com/office/drawing/2014/main" id="{85842FB0-C81B-407B-A744-924E4AAC2B7B}"/>
            </a:ext>
          </a:extLst>
        </xdr:cNvPr>
        <xdr:cNvSpPr>
          <a:spLocks noChangeAspect="1"/>
        </xdr:cNvSpPr>
      </xdr:nvSpPr>
      <xdr:spPr>
        <a:xfrm>
          <a:off x="7877175" y="5010149"/>
          <a:ext cx="1260000" cy="630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200" b="1"/>
            <a:t>CALL PRODUCT FROM</a:t>
          </a:r>
          <a:r>
            <a:rPr lang="en-US" sz="1200" b="1" baseline="0"/>
            <a:t> D</a:t>
          </a:r>
          <a:r>
            <a:rPr lang="tr-TR" sz="1200" b="1" baseline="0"/>
            <a:t>ATA</a:t>
          </a:r>
          <a:r>
            <a:rPr lang="en-US" sz="1200" b="1" baseline="0"/>
            <a:t>B</a:t>
          </a:r>
          <a:r>
            <a:rPr lang="tr-TR" sz="1200" b="1" baseline="0"/>
            <a:t>ASE</a:t>
          </a:r>
          <a:endParaRPr lang="tr-TR" sz="1200" b="1"/>
        </a:p>
      </xdr:txBody>
    </xdr:sp>
    <xdr:clientData/>
  </xdr:twoCellAnchor>
  <xdr:twoCellAnchor editAs="oneCell">
    <xdr:from>
      <xdr:col>3</xdr:col>
      <xdr:colOff>264241</xdr:colOff>
      <xdr:row>1</xdr:row>
      <xdr:rowOff>123825</xdr:rowOff>
    </xdr:from>
    <xdr:to>
      <xdr:col>3</xdr:col>
      <xdr:colOff>1272241</xdr:colOff>
      <xdr:row>2</xdr:row>
      <xdr:rowOff>182175</xdr:rowOff>
    </xdr:to>
    <xdr:sp macro="" textlink="">
      <xdr:nvSpPr>
        <xdr:cNvPr id="35" name="Rectangle: Rounded Corners 34">
          <a:hlinkClick xmlns:r="http://schemas.openxmlformats.org/officeDocument/2006/relationships" r:id="rId9" tooltip="Raw Materials"/>
          <a:extLst>
            <a:ext uri="{FF2B5EF4-FFF2-40B4-BE49-F238E27FC236}">
              <a16:creationId xmlns:a16="http://schemas.microsoft.com/office/drawing/2014/main" id="{8BAFB5D0-6E02-4559-AE18-21E2DA2284F1}"/>
            </a:ext>
          </a:extLst>
        </xdr:cNvPr>
        <xdr:cNvSpPr>
          <a:spLocks noChangeAspect="1"/>
        </xdr:cNvSpPr>
      </xdr:nvSpPr>
      <xdr:spPr>
        <a:xfrm>
          <a:off x="4179016" y="209550"/>
          <a:ext cx="1008000" cy="306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rgbClr val="1F4E78"/>
              </a:solidFill>
            </a:rPr>
            <a:t>RAW MATERIALS</a:t>
          </a:r>
          <a:endParaRPr lang="tr-TR" sz="1050" b="1">
            <a:solidFill>
              <a:srgbClr val="1F4E78"/>
            </a:solidFill>
          </a:endParaRPr>
        </a:p>
      </xdr:txBody>
    </xdr:sp>
    <xdr:clientData fPrintsWithSheet="0"/>
  </xdr:twoCellAnchor>
  <xdr:twoCellAnchor editAs="oneCell">
    <xdr:from>
      <xdr:col>3</xdr:col>
      <xdr:colOff>1500482</xdr:colOff>
      <xdr:row>1</xdr:row>
      <xdr:rowOff>123825</xdr:rowOff>
    </xdr:from>
    <xdr:to>
      <xdr:col>4</xdr:col>
      <xdr:colOff>793982</xdr:colOff>
      <xdr:row>2</xdr:row>
      <xdr:rowOff>182175</xdr:rowOff>
    </xdr:to>
    <xdr:sp macro="" textlink="">
      <xdr:nvSpPr>
        <xdr:cNvPr id="36" name="Rectangle: Rounded Corners 35">
          <a:hlinkClick xmlns:r="http://schemas.openxmlformats.org/officeDocument/2006/relationships" r:id="rId2" tooltip="Price Calculator"/>
          <a:extLst>
            <a:ext uri="{FF2B5EF4-FFF2-40B4-BE49-F238E27FC236}">
              <a16:creationId xmlns:a16="http://schemas.microsoft.com/office/drawing/2014/main" id="{F423F91D-9EC3-4AC5-84E0-FC4030344AC0}"/>
            </a:ext>
          </a:extLst>
        </xdr:cNvPr>
        <xdr:cNvSpPr>
          <a:spLocks noChangeAspect="1"/>
        </xdr:cNvSpPr>
      </xdr:nvSpPr>
      <xdr:spPr>
        <a:xfrm>
          <a:off x="5415257" y="209550"/>
          <a:ext cx="1008000" cy="306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chemeClr val="bg1"/>
              </a:solidFill>
            </a:rPr>
            <a:t>CALCULATOR</a:t>
          </a:r>
          <a:endParaRPr lang="tr-TR" sz="1050" b="1">
            <a:solidFill>
              <a:schemeClr val="bg1"/>
            </a:solidFill>
          </a:endParaRPr>
        </a:p>
      </xdr:txBody>
    </xdr:sp>
    <xdr:clientData fPrintsWithSheet="0"/>
  </xdr:twoCellAnchor>
  <xdr:twoCellAnchor editAs="oneCell">
    <xdr:from>
      <xdr:col>4</xdr:col>
      <xdr:colOff>1022223</xdr:colOff>
      <xdr:row>1</xdr:row>
      <xdr:rowOff>123825</xdr:rowOff>
    </xdr:from>
    <xdr:to>
      <xdr:col>5</xdr:col>
      <xdr:colOff>315723</xdr:colOff>
      <xdr:row>2</xdr:row>
      <xdr:rowOff>182175</xdr:rowOff>
    </xdr:to>
    <xdr:sp macro="" textlink="">
      <xdr:nvSpPr>
        <xdr:cNvPr id="37" name="Rectangle: Rounded Corners 36">
          <a:hlinkClick xmlns:r="http://schemas.openxmlformats.org/officeDocument/2006/relationships" r:id="rId10" tooltip="Database"/>
          <a:extLst>
            <a:ext uri="{FF2B5EF4-FFF2-40B4-BE49-F238E27FC236}">
              <a16:creationId xmlns:a16="http://schemas.microsoft.com/office/drawing/2014/main" id="{5FBE2AA0-ED6D-4EC8-9874-0E2790A027D1}"/>
            </a:ext>
          </a:extLst>
        </xdr:cNvPr>
        <xdr:cNvSpPr>
          <a:spLocks noChangeAspect="1"/>
        </xdr:cNvSpPr>
      </xdr:nvSpPr>
      <xdr:spPr>
        <a:xfrm>
          <a:off x="6651498" y="209550"/>
          <a:ext cx="1008000" cy="306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rgbClr val="1F4E78"/>
              </a:solidFill>
            </a:rPr>
            <a:t>DATABASE</a:t>
          </a:r>
        </a:p>
      </xdr:txBody>
    </xdr:sp>
    <xdr:clientData fPrintsWithSheet="0"/>
  </xdr:twoCellAnchor>
  <xdr:twoCellAnchor editAs="oneCell">
    <xdr:from>
      <xdr:col>5</xdr:col>
      <xdr:colOff>543964</xdr:colOff>
      <xdr:row>1</xdr:row>
      <xdr:rowOff>123825</xdr:rowOff>
    </xdr:from>
    <xdr:to>
      <xdr:col>5</xdr:col>
      <xdr:colOff>1551964</xdr:colOff>
      <xdr:row>2</xdr:row>
      <xdr:rowOff>182175</xdr:rowOff>
    </xdr:to>
    <xdr:sp macro="" textlink="">
      <xdr:nvSpPr>
        <xdr:cNvPr id="38" name="Rectangle: Rounded Corners 37">
          <a:hlinkClick xmlns:r="http://schemas.openxmlformats.org/officeDocument/2006/relationships" r:id="rId11" tooltip="Dashboard"/>
          <a:extLst>
            <a:ext uri="{FF2B5EF4-FFF2-40B4-BE49-F238E27FC236}">
              <a16:creationId xmlns:a16="http://schemas.microsoft.com/office/drawing/2014/main" id="{726859B4-309A-4497-9053-5C5E88F872DF}"/>
            </a:ext>
          </a:extLst>
        </xdr:cNvPr>
        <xdr:cNvSpPr>
          <a:spLocks noChangeAspect="1"/>
        </xdr:cNvSpPr>
      </xdr:nvSpPr>
      <xdr:spPr>
        <a:xfrm>
          <a:off x="7887739" y="209550"/>
          <a:ext cx="1008000" cy="306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rgbClr val="1F4E78"/>
              </a:solidFill>
            </a:rPr>
            <a:t>DASHBOARD</a:t>
          </a:r>
          <a:endParaRPr lang="tr-TR" sz="1050" b="1">
            <a:solidFill>
              <a:srgbClr val="1F4E78"/>
            </a:solidFill>
          </a:endParaRPr>
        </a:p>
      </xdr:txBody>
    </xdr:sp>
    <xdr:clientData fPrintsWithSheet="0"/>
  </xdr:twoCellAnchor>
  <xdr:twoCellAnchor editAs="oneCell">
    <xdr:from>
      <xdr:col>9</xdr:col>
      <xdr:colOff>146095</xdr:colOff>
      <xdr:row>1</xdr:row>
      <xdr:rowOff>19050</xdr:rowOff>
    </xdr:from>
    <xdr:to>
      <xdr:col>11</xdr:col>
      <xdr:colOff>8995</xdr:colOff>
      <xdr:row>2</xdr:row>
      <xdr:rowOff>221400</xdr:rowOff>
    </xdr:to>
    <xdr:grpSp>
      <xdr:nvGrpSpPr>
        <xdr:cNvPr id="42" name="backtomenu">
          <a:hlinkClick xmlns:r="http://schemas.openxmlformats.org/officeDocument/2006/relationships" r:id="rId12" tooltip="Go to"/>
          <a:extLst>
            <a:ext uri="{FF2B5EF4-FFF2-40B4-BE49-F238E27FC236}">
              <a16:creationId xmlns:a16="http://schemas.microsoft.com/office/drawing/2014/main" id="{8901C577-CC10-4223-B0C4-EA467CF9810F}"/>
            </a:ext>
          </a:extLst>
        </xdr:cNvPr>
        <xdr:cNvGrpSpPr/>
      </xdr:nvGrpSpPr>
      <xdr:grpSpPr>
        <a:xfrm>
          <a:off x="11214145" y="104775"/>
          <a:ext cx="1044000" cy="450000"/>
          <a:chOff x="6972831" y="127063"/>
          <a:chExt cx="1044000" cy="450000"/>
        </a:xfrm>
      </xdr:grpSpPr>
      <xdr:sp macro="" textlink="">
        <xdr:nvSpPr>
          <xdr:cNvPr id="43" name="Rounded Rectangle 2">
            <a:hlinkClick xmlns:r="http://schemas.openxmlformats.org/officeDocument/2006/relationships" r:id="rId12" tooltip="Go to"/>
            <a:extLst>
              <a:ext uri="{FF2B5EF4-FFF2-40B4-BE49-F238E27FC236}">
                <a16:creationId xmlns:a16="http://schemas.microsoft.com/office/drawing/2014/main" id="{338C96F9-AF6D-C867-193B-8261FA997FCD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4" name="Picture 43" descr="http://swiss-delicious.com/images/1024/icons/back.png">
            <a:hlinkClick xmlns:r="http://schemas.openxmlformats.org/officeDocument/2006/relationships" r:id="rId12" tooltip="Go to"/>
            <a:extLst>
              <a:ext uri="{FF2B5EF4-FFF2-40B4-BE49-F238E27FC236}">
                <a16:creationId xmlns:a16="http://schemas.microsoft.com/office/drawing/2014/main" id="{B7930750-1912-189B-FE02-8299C73503EA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5</xdr:col>
      <xdr:colOff>523875</xdr:colOff>
      <xdr:row>22</xdr:row>
      <xdr:rowOff>0</xdr:rowOff>
    </xdr:from>
    <xdr:to>
      <xdr:col>5</xdr:col>
      <xdr:colOff>1704975</xdr:colOff>
      <xdr:row>23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2A3C8EE-F4CC-4519-AF4C-3774C3CAAD8F}"/>
            </a:ext>
          </a:extLst>
        </xdr:cNvPr>
        <xdr:cNvSpPr>
          <a:spLocks noChangeAspect="1"/>
        </xdr:cNvSpPr>
      </xdr:nvSpPr>
      <xdr:spPr>
        <a:xfrm>
          <a:off x="7867650" y="4314825"/>
          <a:ext cx="1181100" cy="266700"/>
        </a:xfrm>
        <a:prstGeom prst="rect">
          <a:avLst/>
        </a:prstGeom>
        <a:solidFill>
          <a:srgbClr val="D9E2EC"/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100" b="1">
              <a:solidFill>
                <a:srgbClr val="1F4E78"/>
              </a:solidFill>
            </a:rPr>
            <a:t>Select Product:</a:t>
          </a:r>
          <a:endParaRPr lang="tr-TR" sz="1100" b="1">
            <a:solidFill>
              <a:srgbClr val="1F4E78"/>
            </a:solidFill>
          </a:endParaRPr>
        </a:p>
      </xdr:txBody>
    </xdr:sp>
    <xdr:clientData/>
  </xdr:twoCellAnchor>
  <xdr:oneCellAnchor>
    <xdr:from>
      <xdr:col>1</xdr:col>
      <xdr:colOff>61200</xdr:colOff>
      <xdr:row>1</xdr:row>
      <xdr:rowOff>60225</xdr:rowOff>
    </xdr:from>
    <xdr:ext cx="432000" cy="432000"/>
    <xdr:pic>
      <xdr:nvPicPr>
        <xdr:cNvPr id="15" name="mainicon">
          <a:extLst>
            <a:ext uri="{FF2B5EF4-FFF2-40B4-BE49-F238E27FC236}">
              <a16:creationId xmlns:a16="http://schemas.microsoft.com/office/drawing/2014/main" id="{044E3444-7662-41FA-A39C-8017F8FD05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08850" y="145950"/>
          <a:ext cx="432000" cy="432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oneCellAnchor>
  <xdr:twoCellAnchor editAs="oneCell">
    <xdr:from>
      <xdr:col>5</xdr:col>
      <xdr:colOff>1485900</xdr:colOff>
      <xdr:row>9</xdr:row>
      <xdr:rowOff>66674</xdr:rowOff>
    </xdr:from>
    <xdr:to>
      <xdr:col>6</xdr:col>
      <xdr:colOff>19050</xdr:colOff>
      <xdr:row>9</xdr:row>
      <xdr:rowOff>273049</xdr:rowOff>
    </xdr:to>
    <xdr:sp macro="" textlink="">
      <xdr:nvSpPr>
        <xdr:cNvPr id="2" name="Left Arrow 1">
          <a:extLst>
            <a:ext uri="{FF2B5EF4-FFF2-40B4-BE49-F238E27FC236}">
              <a16:creationId xmlns:a16="http://schemas.microsoft.com/office/drawing/2014/main" id="{6AF35470-523A-4C4D-82DE-1C497C92C491}"/>
            </a:ext>
          </a:extLst>
        </xdr:cNvPr>
        <xdr:cNvSpPr>
          <a:spLocks/>
        </xdr:cNvSpPr>
      </xdr:nvSpPr>
      <xdr:spPr>
        <a:xfrm>
          <a:off x="8829675" y="1666874"/>
          <a:ext cx="247650" cy="206375"/>
        </a:xfrm>
        <a:prstGeom prst="leftArrow">
          <a:avLst/>
        </a:prstGeom>
        <a:solidFill>
          <a:srgbClr val="C00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endParaRPr lang="tr-TR" sz="1100"/>
        </a:p>
      </xdr:txBody>
    </xdr:sp>
    <xdr:clientData/>
  </xdr:twoCellAnchor>
  <xdr:twoCellAnchor editAs="oneCell">
    <xdr:from>
      <xdr:col>6</xdr:col>
      <xdr:colOff>454500</xdr:colOff>
      <xdr:row>25</xdr:row>
      <xdr:rowOff>85724</xdr:rowOff>
    </xdr:from>
    <xdr:to>
      <xdr:col>7</xdr:col>
      <xdr:colOff>0</xdr:colOff>
      <xdr:row>28</xdr:row>
      <xdr:rowOff>106124</xdr:rowOff>
    </xdr:to>
    <xdr:sp macro="[0]!deleteProduct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A4B600BA-9ABE-43C9-8C8A-93E329CDAE4C}"/>
            </a:ext>
          </a:extLst>
        </xdr:cNvPr>
        <xdr:cNvSpPr>
          <a:spLocks/>
        </xdr:cNvSpPr>
      </xdr:nvSpPr>
      <xdr:spPr>
        <a:xfrm>
          <a:off x="9512775" y="5010149"/>
          <a:ext cx="1260000" cy="6300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200" b="1"/>
            <a:t>DELETE </a:t>
          </a:r>
        </a:p>
        <a:p>
          <a:pPr algn="ctr"/>
          <a:r>
            <a:rPr lang="en-US" sz="1200" b="1"/>
            <a:t>PRODUCT</a:t>
          </a:r>
        </a:p>
      </xdr:txBody>
    </xdr:sp>
    <xdr:clientData/>
  </xdr:twoCellAnchor>
  <xdr:oneCellAnchor>
    <xdr:from>
      <xdr:col>6</xdr:col>
      <xdr:colOff>304801</xdr:colOff>
      <xdr:row>1</xdr:row>
      <xdr:rowOff>104775</xdr:rowOff>
    </xdr:from>
    <xdr:ext cx="1014221" cy="291600"/>
    <xdr:pic>
      <xdr:nvPicPr>
        <xdr:cNvPr id="1044" name="mpkLogo">
          <a:hlinkClick xmlns:a="http://schemas.openxmlformats.org/drawingml/2006/main" xmlns:r="http://schemas.openxmlformats.org/officeDocument/2006/relationships" r:id="rId1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146095</xdr:colOff>
      <xdr:row>1</xdr:row>
      <xdr:rowOff>19050</xdr:rowOff>
    </xdr:from>
    <xdr:to>
      <xdr:col>26</xdr:col>
      <xdr:colOff>8995</xdr:colOff>
      <xdr:row>2</xdr:row>
      <xdr:rowOff>221400</xdr:rowOff>
    </xdr:to>
    <xdr:grpSp>
      <xdr:nvGrpSpPr>
        <xdr:cNvPr id="40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5B638460-C197-4524-8B79-5373CBD6744E}"/>
            </a:ext>
          </a:extLst>
        </xdr:cNvPr>
        <xdr:cNvGrpSpPr/>
      </xdr:nvGrpSpPr>
      <xdr:grpSpPr>
        <a:xfrm>
          <a:off x="15767095" y="104775"/>
          <a:ext cx="1044000" cy="450000"/>
          <a:chOff x="6972831" y="127063"/>
          <a:chExt cx="1044000" cy="450000"/>
        </a:xfrm>
      </xdr:grpSpPr>
      <xdr:sp macro="" textlink="">
        <xdr:nvSpPr>
          <xdr:cNvPr id="41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97C49CC8-5414-C463-F813-2C9B4E0FAE82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2" name="Picture 41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4AD61C5F-822A-870F-E70A-BC5EE07474B1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absolute">
    <xdr:from>
      <xdr:col>16</xdr:col>
      <xdr:colOff>285750</xdr:colOff>
      <xdr:row>1</xdr:row>
      <xdr:rowOff>166688</xdr:rowOff>
    </xdr:from>
    <xdr:to>
      <xdr:col>17</xdr:col>
      <xdr:colOff>142875</xdr:colOff>
      <xdr:row>2</xdr:row>
      <xdr:rowOff>147638</xdr:rowOff>
    </xdr:to>
    <xdr:sp macro="[0]!showhideCol" textlink="hideShow">
      <xdr:nvSpPr>
        <xdr:cNvPr id="9" name="Rectangle: Rounded Corners 8">
          <a:extLst>
            <a:ext uri="{FF2B5EF4-FFF2-40B4-BE49-F238E27FC236}">
              <a16:creationId xmlns:a16="http://schemas.microsoft.com/office/drawing/2014/main" id="{4EBDF45B-1D9A-43FB-BFF9-987550397DB5}"/>
            </a:ext>
          </a:extLst>
        </xdr:cNvPr>
        <xdr:cNvSpPr>
          <a:spLocks noChangeAspect="1"/>
        </xdr:cNvSpPr>
      </xdr:nvSpPr>
      <xdr:spPr>
        <a:xfrm>
          <a:off x="9324975" y="252413"/>
          <a:ext cx="904875" cy="2286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fld id="{A1FA80C7-F101-4CB6-8BF9-4F51DA306521}" type="TxLink">
            <a:rPr lang="en-US" sz="1000" b="1" i="0" u="none" strike="noStrike">
              <a:solidFill>
                <a:sysClr val="windowText" lastClr="000000"/>
              </a:solidFill>
              <a:latin typeface="Arial"/>
              <a:ea typeface="Calibri"/>
              <a:cs typeface="Arial"/>
            </a:rPr>
            <a:pPr algn="ctr"/>
            <a:t>Show Details</a:t>
          </a:fld>
          <a:endParaRPr lang="en-US" sz="800" b="1">
            <a:solidFill>
              <a:sysClr val="windowText" lastClr="000000"/>
            </a:solidFill>
          </a:endParaRPr>
        </a:p>
      </xdr:txBody>
    </xdr:sp>
    <xdr:clientData fPrintsWithSheet="0"/>
  </xdr:twoCellAnchor>
  <xdr:oneCellAnchor>
    <xdr:from>
      <xdr:col>1</xdr:col>
      <xdr:colOff>61200</xdr:colOff>
      <xdr:row>1</xdr:row>
      <xdr:rowOff>60225</xdr:rowOff>
    </xdr:from>
    <xdr:ext cx="432000" cy="432000"/>
    <xdr:pic>
      <xdr:nvPicPr>
        <xdr:cNvPr id="21" name="mainicon">
          <a:extLst>
            <a:ext uri="{FF2B5EF4-FFF2-40B4-BE49-F238E27FC236}">
              <a16:creationId xmlns:a16="http://schemas.microsoft.com/office/drawing/2014/main" id="{A4D19325-65EA-4CE4-9D31-FC979DB86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08850" y="145950"/>
          <a:ext cx="432000" cy="432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oneCellAnchor>
  <xdr:twoCellAnchor editAs="absolute">
    <xdr:from>
      <xdr:col>9</xdr:col>
      <xdr:colOff>607142</xdr:colOff>
      <xdr:row>1</xdr:row>
      <xdr:rowOff>123825</xdr:rowOff>
    </xdr:from>
    <xdr:to>
      <xdr:col>10</xdr:col>
      <xdr:colOff>767417</xdr:colOff>
      <xdr:row>2</xdr:row>
      <xdr:rowOff>182175</xdr:rowOff>
    </xdr:to>
    <xdr:sp macro="" textlink="">
      <xdr:nvSpPr>
        <xdr:cNvPr id="26" name="Rectangle: Rounded Corners 25">
          <a:hlinkClick xmlns:r="http://schemas.openxmlformats.org/officeDocument/2006/relationships" r:id="rId5" tooltip="Raw Materials"/>
          <a:extLst>
            <a:ext uri="{FF2B5EF4-FFF2-40B4-BE49-F238E27FC236}">
              <a16:creationId xmlns:a16="http://schemas.microsoft.com/office/drawing/2014/main" id="{C6E65FC9-43C6-4EA1-A95D-361EEC4C0B74}"/>
            </a:ext>
          </a:extLst>
        </xdr:cNvPr>
        <xdr:cNvSpPr>
          <a:spLocks noChangeAspect="1"/>
        </xdr:cNvSpPr>
      </xdr:nvSpPr>
      <xdr:spPr>
        <a:xfrm>
          <a:off x="4179017" y="209550"/>
          <a:ext cx="1008000" cy="306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rgbClr val="1F4E78"/>
              </a:solidFill>
            </a:rPr>
            <a:t>RAW MATERIALS</a:t>
          </a:r>
          <a:endParaRPr lang="tr-TR" sz="1050" b="1">
            <a:solidFill>
              <a:srgbClr val="1F4E78"/>
            </a:solidFill>
          </a:endParaRPr>
        </a:p>
      </xdr:txBody>
    </xdr:sp>
    <xdr:clientData fPrintsWithSheet="0"/>
  </xdr:twoCellAnchor>
  <xdr:twoCellAnchor editAs="absolute">
    <xdr:from>
      <xdr:col>11</xdr:col>
      <xdr:colOff>147933</xdr:colOff>
      <xdr:row>1</xdr:row>
      <xdr:rowOff>123825</xdr:rowOff>
    </xdr:from>
    <xdr:to>
      <xdr:col>12</xdr:col>
      <xdr:colOff>308208</xdr:colOff>
      <xdr:row>2</xdr:row>
      <xdr:rowOff>182175</xdr:rowOff>
    </xdr:to>
    <xdr:sp macro="" textlink="">
      <xdr:nvSpPr>
        <xdr:cNvPr id="27" name="Rectangle: Rounded Corners 26">
          <a:hlinkClick xmlns:r="http://schemas.openxmlformats.org/officeDocument/2006/relationships" r:id="rId6" tooltip="Price Calculator"/>
          <a:extLst>
            <a:ext uri="{FF2B5EF4-FFF2-40B4-BE49-F238E27FC236}">
              <a16:creationId xmlns:a16="http://schemas.microsoft.com/office/drawing/2014/main" id="{E5CE0BF5-86A5-4E7E-80FD-EE72C74F7F5D}"/>
            </a:ext>
          </a:extLst>
        </xdr:cNvPr>
        <xdr:cNvSpPr>
          <a:spLocks noChangeAspect="1"/>
        </xdr:cNvSpPr>
      </xdr:nvSpPr>
      <xdr:spPr>
        <a:xfrm>
          <a:off x="5415258" y="209550"/>
          <a:ext cx="1008000" cy="306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rgbClr val="1F4E78"/>
              </a:solidFill>
            </a:rPr>
            <a:t>CALCULATOR</a:t>
          </a:r>
          <a:endParaRPr lang="tr-TR" sz="1050" b="1">
            <a:solidFill>
              <a:srgbClr val="1F4E78"/>
            </a:solidFill>
          </a:endParaRPr>
        </a:p>
      </xdr:txBody>
    </xdr:sp>
    <xdr:clientData fPrintsWithSheet="0"/>
  </xdr:twoCellAnchor>
  <xdr:twoCellAnchor editAs="absolute">
    <xdr:from>
      <xdr:col>12</xdr:col>
      <xdr:colOff>536449</xdr:colOff>
      <xdr:row>1</xdr:row>
      <xdr:rowOff>123825</xdr:rowOff>
    </xdr:from>
    <xdr:to>
      <xdr:col>13</xdr:col>
      <xdr:colOff>696724</xdr:colOff>
      <xdr:row>2</xdr:row>
      <xdr:rowOff>182175</xdr:rowOff>
    </xdr:to>
    <xdr:sp macro="" textlink="">
      <xdr:nvSpPr>
        <xdr:cNvPr id="28" name="Rectangle: Rounded Corners 27">
          <a:hlinkClick xmlns:r="http://schemas.openxmlformats.org/officeDocument/2006/relationships" r:id="rId7" tooltip="Database"/>
          <a:extLst>
            <a:ext uri="{FF2B5EF4-FFF2-40B4-BE49-F238E27FC236}">
              <a16:creationId xmlns:a16="http://schemas.microsoft.com/office/drawing/2014/main" id="{DB56A0FC-2C1B-44B7-8CC2-B5F437A814C1}"/>
            </a:ext>
          </a:extLst>
        </xdr:cNvPr>
        <xdr:cNvSpPr>
          <a:spLocks noChangeAspect="1"/>
        </xdr:cNvSpPr>
      </xdr:nvSpPr>
      <xdr:spPr>
        <a:xfrm>
          <a:off x="6651499" y="209550"/>
          <a:ext cx="1008000" cy="306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chemeClr val="bg1"/>
              </a:solidFill>
            </a:rPr>
            <a:t>DATABASE</a:t>
          </a:r>
          <a:endParaRPr lang="tr-TR" sz="1050" b="1">
            <a:solidFill>
              <a:schemeClr val="bg1"/>
            </a:solidFill>
          </a:endParaRPr>
        </a:p>
      </xdr:txBody>
    </xdr:sp>
    <xdr:clientData fPrintsWithSheet="0"/>
  </xdr:twoCellAnchor>
  <xdr:twoCellAnchor editAs="absolute">
    <xdr:from>
      <xdr:col>14</xdr:col>
      <xdr:colOff>77240</xdr:colOff>
      <xdr:row>1</xdr:row>
      <xdr:rowOff>123825</xdr:rowOff>
    </xdr:from>
    <xdr:to>
      <xdr:col>15</xdr:col>
      <xdr:colOff>37490</xdr:colOff>
      <xdr:row>2</xdr:row>
      <xdr:rowOff>182175</xdr:rowOff>
    </xdr:to>
    <xdr:sp macro="" textlink="">
      <xdr:nvSpPr>
        <xdr:cNvPr id="29" name="Rectangle: Rounded Corners 28">
          <a:hlinkClick xmlns:r="http://schemas.openxmlformats.org/officeDocument/2006/relationships" r:id="rId8" tooltip="Dashboard"/>
          <a:extLst>
            <a:ext uri="{FF2B5EF4-FFF2-40B4-BE49-F238E27FC236}">
              <a16:creationId xmlns:a16="http://schemas.microsoft.com/office/drawing/2014/main" id="{224163DA-0063-4FDC-897F-ADCF7B1D8DFD}"/>
            </a:ext>
          </a:extLst>
        </xdr:cNvPr>
        <xdr:cNvSpPr>
          <a:spLocks noChangeAspect="1"/>
        </xdr:cNvSpPr>
      </xdr:nvSpPr>
      <xdr:spPr>
        <a:xfrm>
          <a:off x="7887740" y="209550"/>
          <a:ext cx="1008000" cy="306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rgbClr val="1F4E78"/>
              </a:solidFill>
            </a:rPr>
            <a:t>DASHBOARD</a:t>
          </a:r>
          <a:endParaRPr lang="tr-TR" sz="1050" b="1">
            <a:solidFill>
              <a:srgbClr val="1F4E78"/>
            </a:solidFill>
          </a:endParaRPr>
        </a:p>
      </xdr:txBody>
    </xdr:sp>
    <xdr:clientData fPrintsWithSheet="0"/>
  </xdr:twoCellAnchor>
  <xdr:twoCellAnchor editAs="absolute">
    <xdr:from>
      <xdr:col>17</xdr:col>
      <xdr:colOff>609600</xdr:colOff>
      <xdr:row>1</xdr:row>
      <xdr:rowOff>78225</xdr:rowOff>
    </xdr:from>
    <xdr:to>
      <xdr:col>18</xdr:col>
      <xdr:colOff>569850</xdr:colOff>
      <xdr:row>2</xdr:row>
      <xdr:rowOff>226575</xdr:rowOff>
    </xdr:to>
    <xdr:sp macro="[0]!cleanTemplat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CA4B791-8FBB-4975-8C55-C6372EAC330B}"/>
            </a:ext>
          </a:extLst>
        </xdr:cNvPr>
        <xdr:cNvSpPr>
          <a:spLocks noChangeAspect="1"/>
        </xdr:cNvSpPr>
      </xdr:nvSpPr>
      <xdr:spPr>
        <a:xfrm>
          <a:off x="10696575" y="163950"/>
          <a:ext cx="1008000" cy="3960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/>
            <a:t>DELETE ALL</a:t>
          </a:r>
        </a:p>
        <a:p>
          <a:pPr algn="ctr"/>
          <a:r>
            <a:rPr lang="en-US" sz="1050" b="1"/>
            <a:t>PRODUCTS</a:t>
          </a:r>
        </a:p>
      </xdr:txBody>
    </xdr:sp>
    <xdr:clientData fPrintsWithSheet="0"/>
  </xdr:twoCellAnchor>
  <xdr:oneCellAnchor>
    <xdr:from>
      <xdr:col>20</xdr:col>
      <xdr:colOff>685802</xdr:colOff>
      <xdr:row>1</xdr:row>
      <xdr:rowOff>104775</xdr:rowOff>
    </xdr:from>
    <xdr:ext cx="1014221" cy="291600"/>
    <xdr:pic>
      <xdr:nvPicPr>
        <xdr:cNvPr id="1042" name="mpkLogo">
          <a:hlinkClick xmlns:a="http://schemas.openxmlformats.org/drawingml/2006/main" xmlns:r="http://schemas.openxmlformats.org/officeDocument/2006/relationships" r:id="rId14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3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5</xdr:row>
      <xdr:rowOff>123824</xdr:rowOff>
    </xdr:from>
    <xdr:to>
      <xdr:col>13</xdr:col>
      <xdr:colOff>0</xdr:colOff>
      <xdr:row>18</xdr:row>
      <xdr:rowOff>28576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C1CECF52-4C22-6776-8063-40B18C52CD6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1</xdr:colOff>
      <xdr:row>19</xdr:row>
      <xdr:rowOff>1</xdr:rowOff>
    </xdr:from>
    <xdr:to>
      <xdr:col>6</xdr:col>
      <xdr:colOff>9976</xdr:colOff>
      <xdr:row>34</xdr:row>
      <xdr:rowOff>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83985EBB-ACBF-8D92-F319-4F2FFADDAA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7</xdr:col>
      <xdr:colOff>0</xdr:colOff>
      <xdr:row>19</xdr:row>
      <xdr:rowOff>1</xdr:rowOff>
    </xdr:from>
    <xdr:to>
      <xdr:col>13</xdr:col>
      <xdr:colOff>0</xdr:colOff>
      <xdr:row>34</xdr:row>
      <xdr:rowOff>1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1" name="Chart 20">
              <a:extLst>
                <a:ext uri="{FF2B5EF4-FFF2-40B4-BE49-F238E27FC236}">
                  <a16:creationId xmlns:a16="http://schemas.microsoft.com/office/drawing/2014/main" id="{05E4F344-9F80-50D1-11AF-7410194451A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86425" y="3686176"/>
              <a:ext cx="508635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r-TR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146095</xdr:colOff>
      <xdr:row>1</xdr:row>
      <xdr:rowOff>19050</xdr:rowOff>
    </xdr:from>
    <xdr:to>
      <xdr:col>17</xdr:col>
      <xdr:colOff>8995</xdr:colOff>
      <xdr:row>2</xdr:row>
      <xdr:rowOff>221400</xdr:rowOff>
    </xdr:to>
    <xdr:grpSp>
      <xdr:nvGrpSpPr>
        <xdr:cNvPr id="33" name="backtomenu">
          <a:hlinkClick xmlns:r="http://schemas.openxmlformats.org/officeDocument/2006/relationships" r:id="rId5" tooltip="Go to"/>
          <a:extLst>
            <a:ext uri="{FF2B5EF4-FFF2-40B4-BE49-F238E27FC236}">
              <a16:creationId xmlns:a16="http://schemas.microsoft.com/office/drawing/2014/main" id="{1E22C229-24AB-402F-B1CA-210A9BF46A75}"/>
            </a:ext>
          </a:extLst>
        </xdr:cNvPr>
        <xdr:cNvGrpSpPr/>
      </xdr:nvGrpSpPr>
      <xdr:grpSpPr>
        <a:xfrm>
          <a:off x="11214145" y="104775"/>
          <a:ext cx="1044000" cy="450000"/>
          <a:chOff x="6972831" y="127063"/>
          <a:chExt cx="1044000" cy="450000"/>
        </a:xfrm>
      </xdr:grpSpPr>
      <xdr:sp macro="" textlink="">
        <xdr:nvSpPr>
          <xdr:cNvPr id="34" name="Rounded Rectangle 2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52729391-65E2-EEDA-0BF3-D2D98522D65A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35" name="Picture 34" descr="http://swiss-delicious.com/images/1024/icons/back.png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5E580FAC-3470-2AFC-F221-6C7BBF4D33AA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</xdr:col>
      <xdr:colOff>61200</xdr:colOff>
      <xdr:row>1</xdr:row>
      <xdr:rowOff>60225</xdr:rowOff>
    </xdr:from>
    <xdr:ext cx="432000" cy="432000"/>
    <xdr:pic>
      <xdr:nvPicPr>
        <xdr:cNvPr id="10" name="mainicon">
          <a:extLst>
            <a:ext uri="{FF2B5EF4-FFF2-40B4-BE49-F238E27FC236}">
              <a16:creationId xmlns:a16="http://schemas.microsoft.com/office/drawing/2014/main" id="{AD4291E0-E31F-4171-ACBE-15052A4EF6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08850" y="145950"/>
          <a:ext cx="432000" cy="432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oneCellAnchor>
  <xdr:twoCellAnchor editAs="oneCell">
    <xdr:from>
      <xdr:col>4</xdr:col>
      <xdr:colOff>1207217</xdr:colOff>
      <xdr:row>1</xdr:row>
      <xdr:rowOff>123825</xdr:rowOff>
    </xdr:from>
    <xdr:to>
      <xdr:col>5</xdr:col>
      <xdr:colOff>167342</xdr:colOff>
      <xdr:row>2</xdr:row>
      <xdr:rowOff>182175</xdr:rowOff>
    </xdr:to>
    <xdr:sp macro="" textlink="">
      <xdr:nvSpPr>
        <xdr:cNvPr id="13" name="Rectangle: Rounded Corners 12">
          <a:hlinkClick xmlns:r="http://schemas.openxmlformats.org/officeDocument/2006/relationships" r:id="rId8" tooltip="Raw Materials"/>
          <a:extLst>
            <a:ext uri="{FF2B5EF4-FFF2-40B4-BE49-F238E27FC236}">
              <a16:creationId xmlns:a16="http://schemas.microsoft.com/office/drawing/2014/main" id="{E0DC8D70-EFEA-48B9-8703-F45B4F90C649}"/>
            </a:ext>
          </a:extLst>
        </xdr:cNvPr>
        <xdr:cNvSpPr>
          <a:spLocks noChangeAspect="1"/>
        </xdr:cNvSpPr>
      </xdr:nvSpPr>
      <xdr:spPr>
        <a:xfrm>
          <a:off x="4179017" y="209550"/>
          <a:ext cx="1008000" cy="306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rgbClr val="1F4E78"/>
              </a:solidFill>
            </a:rPr>
            <a:t>RAW MATERIALS</a:t>
          </a:r>
          <a:endParaRPr lang="tr-TR" sz="1050" b="1">
            <a:solidFill>
              <a:srgbClr val="1F4E78"/>
            </a:solidFill>
          </a:endParaRPr>
        </a:p>
      </xdr:txBody>
    </xdr:sp>
    <xdr:clientData fPrintsWithSheet="0"/>
  </xdr:twoCellAnchor>
  <xdr:twoCellAnchor editAs="oneCell">
    <xdr:from>
      <xdr:col>5</xdr:col>
      <xdr:colOff>395583</xdr:colOff>
      <xdr:row>1</xdr:row>
      <xdr:rowOff>123825</xdr:rowOff>
    </xdr:from>
    <xdr:to>
      <xdr:col>7</xdr:col>
      <xdr:colOff>736833</xdr:colOff>
      <xdr:row>2</xdr:row>
      <xdr:rowOff>182175</xdr:rowOff>
    </xdr:to>
    <xdr:sp macro="" textlink="">
      <xdr:nvSpPr>
        <xdr:cNvPr id="14" name="Rectangle: Rounded Corners 13">
          <a:hlinkClick xmlns:r="http://schemas.openxmlformats.org/officeDocument/2006/relationships" r:id="rId9" tooltip="Price Calculator"/>
          <a:extLst>
            <a:ext uri="{FF2B5EF4-FFF2-40B4-BE49-F238E27FC236}">
              <a16:creationId xmlns:a16="http://schemas.microsoft.com/office/drawing/2014/main" id="{CD772FFF-F6D3-4116-BE5E-63ECE2FA85B7}"/>
            </a:ext>
          </a:extLst>
        </xdr:cNvPr>
        <xdr:cNvSpPr>
          <a:spLocks noChangeAspect="1"/>
        </xdr:cNvSpPr>
      </xdr:nvSpPr>
      <xdr:spPr>
        <a:xfrm>
          <a:off x="5415258" y="209550"/>
          <a:ext cx="1008000" cy="306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rgbClr val="1F4E78"/>
              </a:solidFill>
            </a:rPr>
            <a:t>CALCULATOR</a:t>
          </a:r>
          <a:endParaRPr lang="tr-TR" sz="1050" b="1">
            <a:solidFill>
              <a:srgbClr val="1F4E78"/>
            </a:solidFill>
          </a:endParaRPr>
        </a:p>
      </xdr:txBody>
    </xdr:sp>
    <xdr:clientData fPrintsWithSheet="0"/>
  </xdr:twoCellAnchor>
  <xdr:twoCellAnchor editAs="oneCell">
    <xdr:from>
      <xdr:col>8</xdr:col>
      <xdr:colOff>117349</xdr:colOff>
      <xdr:row>1</xdr:row>
      <xdr:rowOff>123825</xdr:rowOff>
    </xdr:from>
    <xdr:to>
      <xdr:col>9</xdr:col>
      <xdr:colOff>277624</xdr:colOff>
      <xdr:row>2</xdr:row>
      <xdr:rowOff>182175</xdr:rowOff>
    </xdr:to>
    <xdr:sp macro="" textlink="">
      <xdr:nvSpPr>
        <xdr:cNvPr id="15" name="Rectangle: Rounded Corners 14">
          <a:hlinkClick xmlns:r="http://schemas.openxmlformats.org/officeDocument/2006/relationships" r:id="rId10" tooltip="Database"/>
          <a:extLst>
            <a:ext uri="{FF2B5EF4-FFF2-40B4-BE49-F238E27FC236}">
              <a16:creationId xmlns:a16="http://schemas.microsoft.com/office/drawing/2014/main" id="{D84AAA65-EBE0-4599-B2D7-81417A2871E3}"/>
            </a:ext>
          </a:extLst>
        </xdr:cNvPr>
        <xdr:cNvSpPr>
          <a:spLocks noChangeAspect="1"/>
        </xdr:cNvSpPr>
      </xdr:nvSpPr>
      <xdr:spPr>
        <a:xfrm>
          <a:off x="6651499" y="209550"/>
          <a:ext cx="1008000" cy="306000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rgbClr val="1F4E78"/>
              </a:solidFill>
            </a:rPr>
            <a:t>DATABASE</a:t>
          </a:r>
          <a:endParaRPr lang="tr-TR" sz="1050" b="1">
            <a:solidFill>
              <a:srgbClr val="1F4E78"/>
            </a:solidFill>
          </a:endParaRPr>
        </a:p>
      </xdr:txBody>
    </xdr:sp>
    <xdr:clientData fPrintsWithSheet="0"/>
  </xdr:twoCellAnchor>
  <xdr:twoCellAnchor editAs="oneCell">
    <xdr:from>
      <xdr:col>9</xdr:col>
      <xdr:colOff>505865</xdr:colOff>
      <xdr:row>1</xdr:row>
      <xdr:rowOff>123825</xdr:rowOff>
    </xdr:from>
    <xdr:to>
      <xdr:col>10</xdr:col>
      <xdr:colOff>666140</xdr:colOff>
      <xdr:row>2</xdr:row>
      <xdr:rowOff>182175</xdr:rowOff>
    </xdr:to>
    <xdr:sp macro="" textlink="">
      <xdr:nvSpPr>
        <xdr:cNvPr id="16" name="Rectangle: Rounded Corners 15">
          <a:hlinkClick xmlns:r="http://schemas.openxmlformats.org/officeDocument/2006/relationships" r:id="rId11" tooltip="Dashboard"/>
          <a:extLst>
            <a:ext uri="{FF2B5EF4-FFF2-40B4-BE49-F238E27FC236}">
              <a16:creationId xmlns:a16="http://schemas.microsoft.com/office/drawing/2014/main" id="{6FB5252E-41EF-4F8B-A3CE-BC2211D1F5D6}"/>
            </a:ext>
          </a:extLst>
        </xdr:cNvPr>
        <xdr:cNvSpPr>
          <a:spLocks noChangeAspect="1"/>
        </xdr:cNvSpPr>
      </xdr:nvSpPr>
      <xdr:spPr>
        <a:xfrm>
          <a:off x="7887740" y="209550"/>
          <a:ext cx="1008000" cy="306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n-US" sz="1050" b="1" baseline="0">
              <a:solidFill>
                <a:schemeClr val="bg1"/>
              </a:solidFill>
            </a:rPr>
            <a:t>DASHBOARD</a:t>
          </a:r>
          <a:endParaRPr lang="tr-TR" sz="1050" b="1">
            <a:solidFill>
              <a:schemeClr val="bg1"/>
            </a:solidFill>
          </a:endParaRPr>
        </a:p>
      </xdr:txBody>
    </xdr:sp>
    <xdr:clientData fPrintsWithSheet="0"/>
  </xdr:twoCellAnchor>
  <xdr:oneCellAnchor>
    <xdr:from>
      <xdr:col>11</xdr:col>
      <xdr:colOff>285752</xdr:colOff>
      <xdr:row>1</xdr:row>
      <xdr:rowOff>104775</xdr:rowOff>
    </xdr:from>
    <xdr:ext cx="1014221" cy="291600"/>
    <xdr:pic>
      <xdr:nvPicPr>
        <xdr:cNvPr id="1035" name="mpkLogo">
          <a:hlinkClick xmlns:a="http://schemas.openxmlformats.org/drawingml/2006/main" xmlns:r="http://schemas.openxmlformats.org/officeDocument/2006/relationships" r:id="rId17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6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/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2" name="backtomenu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6F3041CE-00BC-4D0E-9D76-9E47DDFADAF2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3" name="Rounded Rectangle 2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FF3E0989-B4F9-2E1C-53A3-9D7DB84AB307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" name="Picture 3" descr="http://swiss-delicious.com/images/1024/icons/back.png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D68BA2D4-2B2F-F758-FE71-B84790AE5736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8AE11-8671-455B-97FD-0382138B811A}">
  <sheetPr codeName="Sheet1">
    <pageSetUpPr autoPageBreaks="0" fitToPage="1"/>
  </sheetPr>
  <dimension ref="A1:W34"/>
  <sheetViews>
    <sheetView showGridLines="0" showRowColHeaders="0" tabSelected="1" zoomScaleNormal="100" zoomScaleSheetLayoutView="85" workbookViewId="0">
      <pane ySplit="4" topLeftCell="A5" activePane="bottomLeft" state="frozen"/>
      <selection activeCell="N8" sqref="N8"/>
      <selection pane="bottomLeft" activeCell="A5" sqref="A5"/>
    </sheetView>
  </sheetViews>
  <sheetFormatPr defaultColWidth="8.85546875" defaultRowHeight="15" x14ac:dyDescent="0.25"/>
  <cols>
    <col min="1" max="1" width="3.7109375" style="110" customWidth="1"/>
    <col min="2" max="2" width="2.7109375" style="110" customWidth="1"/>
    <col min="3" max="3" width="12.7109375" style="110" customWidth="1"/>
    <col min="4" max="4" width="2.7109375" style="110" customWidth="1"/>
    <col min="5" max="5" width="20.7109375" style="110" customWidth="1"/>
    <col min="6" max="6" width="15.7109375" style="110" customWidth="1"/>
    <col min="7" max="7" width="9.7109375" style="110" customWidth="1"/>
    <col min="8" max="8" width="2.7109375" style="110" customWidth="1"/>
    <col min="9" max="9" width="21.140625" style="110" customWidth="1"/>
    <col min="10" max="11" width="2.7109375" style="110" customWidth="1"/>
    <col min="12" max="17" width="10.7109375" style="110" customWidth="1"/>
    <col min="18" max="18" width="2.7109375" style="110" customWidth="1"/>
    <col min="19" max="19" width="1.7109375" style="110" customWidth="1"/>
    <col min="20" max="16384" width="8.85546875" style="110"/>
  </cols>
  <sheetData>
    <row r="1" spans="1:19" s="114" customFormat="1" ht="6.75" customHeight="1" x14ac:dyDescent="0.25">
      <c r="B1" s="119"/>
      <c r="C1" s="119"/>
      <c r="F1" s="120"/>
      <c r="G1" s="120"/>
      <c r="H1" s="120"/>
      <c r="I1" s="120"/>
      <c r="J1" s="120"/>
      <c r="K1" s="120"/>
    </row>
    <row r="2" spans="1:19" s="121" customFormat="1" ht="20.100000000000001" customHeight="1" x14ac:dyDescent="0.25">
      <c r="B2" s="122"/>
      <c r="C2" s="123" t="s">
        <v>247</v>
      </c>
      <c r="D2" s="124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6"/>
      <c r="P2" s="126"/>
      <c r="Q2" s="126"/>
      <c r="R2" s="125"/>
      <c r="S2" s="127"/>
    </row>
    <row r="3" spans="1:19" s="128" customFormat="1" ht="24" customHeight="1" x14ac:dyDescent="0.25">
      <c r="B3" s="129"/>
      <c r="C3" s="130" t="s">
        <v>15</v>
      </c>
      <c r="D3" s="131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3"/>
      <c r="P3" s="133"/>
      <c r="Q3" s="133"/>
      <c r="R3" s="132"/>
      <c r="S3" s="134"/>
    </row>
    <row r="4" spans="1:19" ht="4.9000000000000004" customHeight="1" x14ac:dyDescent="0.25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ht="5.0999999999999996" customHeight="1" x14ac:dyDescent="0.25">
      <c r="A5" s="135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ht="24.95" customHeight="1" thickBot="1" x14ac:dyDescent="0.3">
      <c r="B6" s="136"/>
      <c r="C6" s="137"/>
      <c r="D6" s="138"/>
      <c r="E6" s="139" t="s">
        <v>18</v>
      </c>
      <c r="F6" s="139"/>
      <c r="G6" s="139"/>
      <c r="H6" s="138"/>
      <c r="I6" s="138"/>
      <c r="J6" s="140"/>
      <c r="K6" s="136"/>
      <c r="L6" s="141"/>
      <c r="M6" s="141"/>
      <c r="N6" s="141"/>
      <c r="O6" s="141"/>
      <c r="P6" s="141"/>
      <c r="Q6" s="141"/>
      <c r="R6" s="142"/>
    </row>
    <row r="7" spans="1:19" x14ac:dyDescent="0.25">
      <c r="B7" s="116"/>
      <c r="C7" s="115"/>
      <c r="D7" s="143"/>
      <c r="E7" s="143"/>
      <c r="F7" s="115"/>
      <c r="G7" s="115"/>
      <c r="H7" s="115"/>
      <c r="I7" s="115"/>
      <c r="J7" s="115"/>
      <c r="K7" s="116"/>
      <c r="L7" s="115"/>
      <c r="M7" s="115"/>
      <c r="N7" s="115"/>
      <c r="O7" s="115"/>
      <c r="P7" s="115"/>
      <c r="Q7" s="115"/>
      <c r="R7" s="117"/>
    </row>
    <row r="8" spans="1:19" ht="20.100000000000001" customHeight="1" x14ac:dyDescent="0.25">
      <c r="B8" s="116"/>
      <c r="C8" s="115"/>
      <c r="D8" s="115"/>
      <c r="E8" s="358" t="s">
        <v>285</v>
      </c>
      <c r="F8" s="359"/>
      <c r="G8" s="360"/>
      <c r="H8" s="115"/>
      <c r="I8" s="144"/>
      <c r="J8" s="115"/>
      <c r="K8" s="116"/>
      <c r="L8" s="115"/>
      <c r="M8" s="115"/>
      <c r="N8" s="115"/>
      <c r="O8" s="115"/>
      <c r="P8" s="115"/>
      <c r="Q8" s="115"/>
      <c r="R8" s="117"/>
    </row>
    <row r="9" spans="1:19" ht="18" customHeight="1" x14ac:dyDescent="0.25">
      <c r="B9" s="116"/>
      <c r="C9" s="361" t="s">
        <v>19</v>
      </c>
      <c r="D9" s="145"/>
      <c r="E9" s="361" t="s">
        <v>20</v>
      </c>
      <c r="F9" s="361" t="s">
        <v>145</v>
      </c>
      <c r="G9" s="361" t="s">
        <v>21</v>
      </c>
      <c r="H9" s="145"/>
      <c r="I9" s="361" t="s">
        <v>304</v>
      </c>
      <c r="J9" s="115"/>
      <c r="K9" s="116"/>
      <c r="L9" s="115"/>
      <c r="M9" s="115"/>
      <c r="N9" s="115"/>
      <c r="O9" s="115"/>
      <c r="P9" s="115"/>
      <c r="Q9" s="115"/>
      <c r="R9" s="117"/>
    </row>
    <row r="10" spans="1:19" x14ac:dyDescent="0.25">
      <c r="B10" s="116"/>
      <c r="C10" s="209" t="s">
        <v>243</v>
      </c>
      <c r="D10" s="115"/>
      <c r="E10" s="230" t="s">
        <v>248</v>
      </c>
      <c r="F10" s="149" t="s">
        <v>303</v>
      </c>
      <c r="G10" s="148">
        <v>5</v>
      </c>
      <c r="H10" s="115"/>
      <c r="I10" s="230" t="s">
        <v>250</v>
      </c>
      <c r="J10" s="115"/>
      <c r="K10" s="116"/>
      <c r="L10" s="115"/>
      <c r="M10" s="115"/>
      <c r="N10" s="115"/>
      <c r="O10" s="115"/>
      <c r="P10" s="115"/>
      <c r="Q10" s="115"/>
      <c r="R10" s="117"/>
    </row>
    <row r="11" spans="1:19" x14ac:dyDescent="0.25">
      <c r="B11" s="116"/>
      <c r="C11" s="209" t="s">
        <v>244</v>
      </c>
      <c r="D11" s="115"/>
      <c r="E11" s="230" t="s">
        <v>255</v>
      </c>
      <c r="F11" s="149" t="s">
        <v>146</v>
      </c>
      <c r="G11" s="148">
        <v>1</v>
      </c>
      <c r="H11" s="115"/>
      <c r="I11" s="230" t="s">
        <v>251</v>
      </c>
      <c r="J11" s="115"/>
      <c r="K11" s="116"/>
      <c r="L11" s="115"/>
      <c r="M11" s="115"/>
      <c r="N11" s="115"/>
      <c r="O11" s="115"/>
      <c r="P11" s="115"/>
      <c r="Q11" s="115"/>
      <c r="R11" s="117"/>
    </row>
    <row r="12" spans="1:19" x14ac:dyDescent="0.25">
      <c r="B12" s="116"/>
      <c r="C12" s="209" t="s">
        <v>268</v>
      </c>
      <c r="D12" s="115"/>
      <c r="E12" s="230" t="s">
        <v>263</v>
      </c>
      <c r="F12" s="148" t="s">
        <v>146</v>
      </c>
      <c r="G12" s="148">
        <v>3</v>
      </c>
      <c r="H12" s="115"/>
      <c r="I12" s="230" t="s">
        <v>264</v>
      </c>
      <c r="J12" s="115"/>
      <c r="K12" s="116"/>
      <c r="L12" s="115"/>
      <c r="M12" s="115"/>
      <c r="N12" s="115"/>
      <c r="O12" s="115"/>
      <c r="P12" s="115"/>
      <c r="Q12" s="115"/>
      <c r="R12" s="117"/>
    </row>
    <row r="13" spans="1:19" x14ac:dyDescent="0.25">
      <c r="B13" s="116"/>
      <c r="C13" s="209" t="s">
        <v>249</v>
      </c>
      <c r="D13" s="115"/>
      <c r="E13" s="357"/>
      <c r="F13" s="148"/>
      <c r="G13" s="148"/>
      <c r="H13" s="115"/>
      <c r="I13" s="357"/>
      <c r="J13" s="115"/>
      <c r="K13" s="116"/>
      <c r="L13" s="115"/>
      <c r="M13" s="115"/>
      <c r="N13" s="115"/>
      <c r="O13" s="115"/>
      <c r="P13" s="115"/>
      <c r="Q13" s="115"/>
      <c r="R13" s="117"/>
    </row>
    <row r="14" spans="1:19" x14ac:dyDescent="0.25">
      <c r="B14" s="116"/>
      <c r="C14" s="148"/>
      <c r="D14" s="115"/>
      <c r="E14" s="357"/>
      <c r="F14" s="148"/>
      <c r="G14" s="148"/>
      <c r="H14" s="115"/>
      <c r="I14" s="357"/>
      <c r="J14" s="115"/>
      <c r="K14" s="116"/>
      <c r="L14" s="115"/>
      <c r="M14" s="115"/>
      <c r="N14" s="115"/>
      <c r="O14" s="115"/>
      <c r="P14" s="115"/>
      <c r="Q14" s="115"/>
      <c r="R14" s="117"/>
    </row>
    <row r="15" spans="1:19" x14ac:dyDescent="0.25">
      <c r="B15" s="116"/>
      <c r="C15" s="148"/>
      <c r="D15" s="115"/>
      <c r="E15" s="357"/>
      <c r="F15" s="148"/>
      <c r="G15" s="148"/>
      <c r="H15" s="115"/>
      <c r="I15" s="357"/>
      <c r="J15" s="115"/>
      <c r="K15" s="116"/>
      <c r="L15" s="115"/>
      <c r="M15" s="115"/>
      <c r="N15" s="115"/>
      <c r="O15" s="115"/>
      <c r="P15" s="115"/>
      <c r="Q15" s="115"/>
      <c r="R15" s="117"/>
    </row>
    <row r="16" spans="1:19" x14ac:dyDescent="0.25">
      <c r="B16" s="116"/>
      <c r="C16" s="148"/>
      <c r="D16" s="115"/>
      <c r="E16" s="357"/>
      <c r="F16" s="148"/>
      <c r="G16" s="148"/>
      <c r="H16" s="115"/>
      <c r="I16" s="357"/>
      <c r="J16" s="115"/>
      <c r="K16" s="116"/>
      <c r="L16" s="115"/>
      <c r="M16" s="115"/>
      <c r="N16" s="115"/>
      <c r="O16" s="115"/>
      <c r="P16" s="115"/>
      <c r="Q16" s="115"/>
      <c r="R16" s="117"/>
    </row>
    <row r="17" spans="2:23" x14ac:dyDescent="0.25">
      <c r="B17" s="116"/>
      <c r="C17" s="148"/>
      <c r="D17" s="115"/>
      <c r="E17" s="364"/>
      <c r="F17" s="148"/>
      <c r="G17" s="148"/>
      <c r="H17" s="115"/>
      <c r="I17" s="364"/>
      <c r="J17" s="115"/>
      <c r="K17" s="116"/>
      <c r="L17" s="115"/>
      <c r="M17" s="115"/>
      <c r="N17" s="115"/>
      <c r="O17" s="115"/>
      <c r="P17" s="115"/>
      <c r="Q17" s="115"/>
      <c r="R17" s="117"/>
    </row>
    <row r="18" spans="2:23" x14ac:dyDescent="0.25">
      <c r="B18" s="116"/>
      <c r="C18" s="148"/>
      <c r="D18" s="115"/>
      <c r="E18" s="357"/>
      <c r="F18" s="148"/>
      <c r="G18" s="148"/>
      <c r="H18" s="115"/>
      <c r="I18" s="357"/>
      <c r="J18" s="115"/>
      <c r="K18" s="116"/>
      <c r="L18" s="115"/>
      <c r="M18" s="115"/>
      <c r="N18" s="115"/>
      <c r="O18" s="115"/>
      <c r="P18" s="115"/>
      <c r="Q18" s="115"/>
      <c r="R18" s="117"/>
    </row>
    <row r="19" spans="2:23" x14ac:dyDescent="0.25">
      <c r="B19" s="116"/>
      <c r="C19" s="148"/>
      <c r="D19" s="115"/>
      <c r="E19" s="230"/>
      <c r="F19" s="148"/>
      <c r="G19" s="148"/>
      <c r="H19" s="115"/>
      <c r="I19" s="357"/>
      <c r="J19" s="115"/>
      <c r="K19" s="116"/>
      <c r="L19" s="115"/>
      <c r="M19" s="115"/>
      <c r="N19" s="115"/>
      <c r="O19" s="115"/>
      <c r="P19" s="115"/>
      <c r="Q19" s="115"/>
      <c r="R19" s="117"/>
    </row>
    <row r="20" spans="2:23" x14ac:dyDescent="0.25">
      <c r="B20" s="116"/>
      <c r="C20" s="148"/>
      <c r="D20" s="115"/>
      <c r="E20" s="357"/>
      <c r="F20" s="148"/>
      <c r="G20" s="148"/>
      <c r="H20" s="115"/>
      <c r="I20" s="357"/>
      <c r="J20" s="115"/>
      <c r="K20" s="116"/>
      <c r="L20" s="115"/>
      <c r="M20" s="115"/>
      <c r="N20" s="115"/>
      <c r="O20" s="115"/>
      <c r="P20" s="115"/>
      <c r="Q20" s="115"/>
      <c r="R20" s="117"/>
    </row>
    <row r="21" spans="2:23" x14ac:dyDescent="0.25">
      <c r="B21" s="116"/>
      <c r="C21" s="148"/>
      <c r="D21" s="115"/>
      <c r="E21" s="364"/>
      <c r="F21" s="148"/>
      <c r="G21" s="148"/>
      <c r="H21" s="115"/>
      <c r="I21" s="357"/>
      <c r="J21" s="115"/>
      <c r="K21" s="116"/>
      <c r="L21" s="115"/>
      <c r="M21" s="115"/>
      <c r="N21" s="115"/>
      <c r="O21" s="115"/>
      <c r="P21" s="115"/>
      <c r="Q21" s="115"/>
      <c r="R21" s="117"/>
    </row>
    <row r="22" spans="2:23" x14ac:dyDescent="0.25">
      <c r="B22" s="116"/>
      <c r="C22" s="372"/>
      <c r="D22" s="115"/>
      <c r="E22" s="357"/>
      <c r="F22" s="148"/>
      <c r="G22" s="148"/>
      <c r="H22" s="115"/>
      <c r="I22" s="357"/>
      <c r="J22" s="115"/>
      <c r="K22" s="116"/>
      <c r="L22" s="115"/>
      <c r="M22" s="115"/>
      <c r="N22" s="115"/>
      <c r="O22" s="115"/>
      <c r="P22" s="115"/>
      <c r="Q22" s="115"/>
      <c r="R22" s="117"/>
    </row>
    <row r="23" spans="2:23" x14ac:dyDescent="0.25">
      <c r="B23" s="116"/>
      <c r="C23" s="148"/>
      <c r="D23" s="115"/>
      <c r="E23" s="357"/>
      <c r="F23" s="148"/>
      <c r="G23" s="148"/>
      <c r="H23" s="115"/>
      <c r="I23" s="357"/>
      <c r="J23" s="115"/>
      <c r="K23" s="116"/>
      <c r="L23" s="115"/>
      <c r="M23" s="115"/>
      <c r="N23" s="115"/>
      <c r="O23" s="115"/>
      <c r="P23" s="115"/>
      <c r="Q23" s="115"/>
      <c r="R23" s="117"/>
    </row>
    <row r="24" spans="2:23" x14ac:dyDescent="0.25">
      <c r="B24" s="116"/>
      <c r="C24" s="148"/>
      <c r="D24" s="115"/>
      <c r="E24" s="357"/>
      <c r="F24" s="148"/>
      <c r="G24" s="148"/>
      <c r="H24" s="115"/>
      <c r="I24" s="357"/>
      <c r="J24" s="115"/>
      <c r="K24" s="116"/>
      <c r="L24" s="115"/>
      <c r="M24" s="115"/>
      <c r="N24" s="115"/>
      <c r="O24" s="115"/>
      <c r="P24" s="115"/>
      <c r="Q24" s="115"/>
      <c r="R24" s="117"/>
    </row>
    <row r="25" spans="2:23" x14ac:dyDescent="0.25">
      <c r="B25" s="116"/>
      <c r="C25" s="372"/>
      <c r="D25" s="115"/>
      <c r="E25" s="357"/>
      <c r="F25" s="148"/>
      <c r="G25" s="148"/>
      <c r="H25" s="115"/>
      <c r="I25" s="357"/>
      <c r="J25" s="115"/>
      <c r="K25" s="116"/>
      <c r="L25" s="115"/>
      <c r="M25" s="115"/>
      <c r="N25" s="115"/>
      <c r="O25" s="115"/>
      <c r="P25" s="115"/>
      <c r="Q25" s="115"/>
      <c r="R25" s="117"/>
    </row>
    <row r="26" spans="2:23" x14ac:dyDescent="0.25">
      <c r="B26" s="116"/>
      <c r="C26" s="148"/>
      <c r="D26" s="115"/>
      <c r="E26" s="357"/>
      <c r="F26" s="148"/>
      <c r="G26" s="148"/>
      <c r="H26" s="115"/>
      <c r="I26" s="357"/>
      <c r="J26" s="115"/>
      <c r="K26" s="116"/>
      <c r="L26" s="115"/>
      <c r="M26" s="115"/>
      <c r="N26" s="115"/>
      <c r="O26" s="115"/>
      <c r="P26" s="115"/>
      <c r="Q26" s="115"/>
      <c r="R26" s="117"/>
    </row>
    <row r="27" spans="2:23" x14ac:dyDescent="0.25">
      <c r="B27" s="116"/>
      <c r="C27" s="148"/>
      <c r="D27" s="115"/>
      <c r="E27" s="357"/>
      <c r="F27" s="148"/>
      <c r="G27" s="148"/>
      <c r="H27" s="115"/>
      <c r="I27" s="357"/>
      <c r="J27" s="115"/>
      <c r="K27" s="116"/>
      <c r="L27" s="115"/>
      <c r="M27" s="115"/>
      <c r="N27" s="115"/>
      <c r="O27" s="115"/>
      <c r="P27" s="115"/>
      <c r="Q27" s="115"/>
      <c r="R27" s="117"/>
    </row>
    <row r="28" spans="2:23" x14ac:dyDescent="0.25">
      <c r="B28" s="116"/>
      <c r="C28" s="148"/>
      <c r="D28" s="115"/>
      <c r="E28" s="357"/>
      <c r="F28" s="148"/>
      <c r="G28" s="148"/>
      <c r="H28" s="115"/>
      <c r="I28" s="357"/>
      <c r="J28" s="115"/>
      <c r="K28" s="116"/>
      <c r="L28" s="115"/>
      <c r="M28" s="115"/>
      <c r="N28" s="115"/>
      <c r="O28" s="115"/>
      <c r="P28" s="115"/>
      <c r="Q28" s="115"/>
      <c r="R28" s="117"/>
    </row>
    <row r="29" spans="2:23" x14ac:dyDescent="0.25">
      <c r="B29" s="116"/>
      <c r="C29" s="148"/>
      <c r="D29" s="115"/>
      <c r="E29" s="357"/>
      <c r="F29" s="148"/>
      <c r="G29" s="148"/>
      <c r="H29" s="115"/>
      <c r="I29" s="357"/>
      <c r="J29" s="115"/>
      <c r="K29" s="116"/>
      <c r="L29" s="115"/>
      <c r="M29" s="115"/>
      <c r="N29" s="115"/>
      <c r="O29" s="115"/>
      <c r="P29" s="115"/>
      <c r="Q29" s="115"/>
      <c r="R29" s="117"/>
      <c r="W29" s="118"/>
    </row>
    <row r="30" spans="2:23" ht="9.9499999999999993" customHeight="1" x14ac:dyDescent="0.25">
      <c r="B30" s="116"/>
      <c r="C30" s="115"/>
      <c r="D30" s="115"/>
      <c r="E30" s="115"/>
      <c r="F30" s="115"/>
      <c r="G30" s="115"/>
      <c r="H30" s="115"/>
      <c r="I30" s="115"/>
      <c r="J30" s="115"/>
      <c r="K30" s="116"/>
      <c r="L30" s="115"/>
      <c r="M30" s="115"/>
      <c r="N30" s="115"/>
      <c r="O30" s="115"/>
      <c r="P30" s="115"/>
      <c r="Q30" s="115"/>
      <c r="R30" s="117"/>
      <c r="W30" s="118"/>
    </row>
    <row r="31" spans="2:23" ht="18" customHeight="1" x14ac:dyDescent="0.25">
      <c r="B31" s="116"/>
      <c r="C31" s="115"/>
      <c r="D31" s="115"/>
      <c r="E31" s="361" t="s">
        <v>22</v>
      </c>
      <c r="F31" s="209" t="s">
        <v>252</v>
      </c>
      <c r="G31" s="115"/>
      <c r="H31" s="115"/>
      <c r="I31" s="115"/>
      <c r="J31" s="115"/>
      <c r="K31" s="116"/>
      <c r="L31" s="115"/>
      <c r="M31" s="115"/>
      <c r="N31" s="115"/>
      <c r="O31" s="115"/>
      <c r="P31" s="115"/>
      <c r="Q31" s="115"/>
      <c r="R31" s="117"/>
    </row>
    <row r="32" spans="2:23" x14ac:dyDescent="0.25">
      <c r="B32" s="107"/>
      <c r="C32" s="108"/>
      <c r="D32" s="108"/>
      <c r="E32" s="108"/>
      <c r="F32" s="108"/>
      <c r="G32" s="108"/>
      <c r="H32" s="108"/>
      <c r="I32" s="108"/>
      <c r="J32" s="108"/>
      <c r="K32" s="107"/>
      <c r="L32" s="108"/>
      <c r="M32" s="108"/>
      <c r="N32" s="108"/>
      <c r="O32" s="108"/>
      <c r="P32" s="108"/>
      <c r="Q32" s="108"/>
      <c r="R32" s="109"/>
    </row>
    <row r="33" spans="2:18" ht="7.15" customHeight="1" x14ac:dyDescent="0.25"/>
    <row r="34" spans="2:18" s="114" customFormat="1" ht="22.9" customHeight="1" x14ac:dyDescent="0.25">
      <c r="B34" s="111"/>
      <c r="C34" s="111"/>
      <c r="D34" s="111"/>
      <c r="E34" s="112"/>
      <c r="F34" s="113"/>
      <c r="G34" s="113"/>
      <c r="H34" s="113"/>
      <c r="I34" s="113"/>
      <c r="J34" s="113"/>
      <c r="K34" s="113"/>
      <c r="L34" s="111"/>
      <c r="M34" s="111"/>
      <c r="N34" s="111"/>
      <c r="O34" s="111"/>
      <c r="P34" s="111"/>
      <c r="Q34" s="111"/>
      <c r="R34" s="111"/>
    </row>
  </sheetData>
  <sheetProtection algorithmName="SHA-512" hashValue="nW6ZMUBkDfp3yekD0yhniTdBOUfRO+/xqgtkduVxaN+qTo7wR7NHrI3S2R18fNHPjj6BGvzEHNmrPq+LuAvU3Q==" saltValue="EMYAZ5KVEzcmyElI/SMErQ==" spinCount="100000" sheet="1" objects="1" scenarios="1"/>
  <phoneticPr fontId="25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8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2000B78-5153-4A5F-B0FB-8BD9968EBA9B}">
          <x14:formula1>
            <xm:f>Calc!$C$11:$C$12</xm:f>
          </x14:formula1>
          <xm:sqref>F10:F29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86799-5E5D-4F97-AE01-508ED00E218F}">
  <sheetPr codeName="Sheet2">
    <pageSetUpPr autoPageBreaks="0" fitToPage="1"/>
  </sheetPr>
  <dimension ref="A1:K210"/>
  <sheetViews>
    <sheetView showGridLines="0" showRowColHeaders="0" zoomScaleNormal="100" zoomScaleSheetLayoutView="85" workbookViewId="0">
      <pane ySplit="4" topLeftCell="A5" activePane="bottomLeft" state="frozen"/>
      <selection activeCell="N8" sqref="N8"/>
      <selection pane="bottomLeft" activeCell="A5" sqref="A5"/>
    </sheetView>
  </sheetViews>
  <sheetFormatPr defaultColWidth="8.85546875" defaultRowHeight="15" x14ac:dyDescent="0.25"/>
  <cols>
    <col min="1" max="1" width="3.7109375" style="110" customWidth="1"/>
    <col min="2" max="2" width="2.7109375" style="110" customWidth="1"/>
    <col min="3" max="3" width="22.5703125" style="110" customWidth="1"/>
    <col min="4" max="4" width="42.7109375" style="110" customWidth="1"/>
    <col min="5" max="5" width="20.7109375" style="110" customWidth="1"/>
    <col min="6" max="9" width="17.28515625" style="110" customWidth="1"/>
    <col min="10" max="10" width="2.7109375" style="110" customWidth="1"/>
    <col min="11" max="11" width="1.7109375" style="110" customWidth="1"/>
    <col min="12" max="16384" width="8.85546875" style="110"/>
  </cols>
  <sheetData>
    <row r="1" spans="1:11" s="114" customFormat="1" ht="6.75" customHeight="1" x14ac:dyDescent="0.25">
      <c r="B1" s="119"/>
      <c r="E1" s="120"/>
      <c r="F1" s="120"/>
      <c r="G1" s="120"/>
    </row>
    <row r="2" spans="1:11" s="121" customFormat="1" ht="20.100000000000001" customHeight="1" x14ac:dyDescent="0.25">
      <c r="B2" s="122"/>
      <c r="C2" s="123" t="s">
        <v>247</v>
      </c>
      <c r="D2" s="125"/>
      <c r="E2" s="125"/>
      <c r="F2" s="125"/>
      <c r="G2" s="125"/>
      <c r="H2" s="125"/>
      <c r="I2" s="125"/>
      <c r="J2" s="125"/>
      <c r="K2" s="127"/>
    </row>
    <row r="3" spans="1:11" s="255" customFormat="1" ht="24" customHeight="1" x14ac:dyDescent="0.25">
      <c r="B3" s="256"/>
      <c r="C3" s="257" t="s">
        <v>305</v>
      </c>
      <c r="D3" s="258"/>
      <c r="E3" s="258"/>
      <c r="F3" s="258"/>
      <c r="G3" s="258"/>
      <c r="H3" s="258"/>
      <c r="I3" s="258"/>
      <c r="J3" s="258"/>
      <c r="K3" s="259"/>
    </row>
    <row r="4" spans="1:11" ht="4.9000000000000004" customHeight="1" x14ac:dyDescent="0.25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</row>
    <row r="5" spans="1:11" ht="4.9000000000000004" customHeight="1" x14ac:dyDescent="0.25">
      <c r="A5" s="135"/>
      <c r="B5" s="135"/>
      <c r="C5" s="135"/>
      <c r="D5" s="135"/>
      <c r="E5" s="135"/>
      <c r="F5" s="135"/>
      <c r="G5" s="135"/>
      <c r="H5" s="135"/>
      <c r="I5" s="135"/>
      <c r="J5" s="135"/>
      <c r="K5" s="135"/>
    </row>
    <row r="6" spans="1:11" ht="13.5" customHeight="1" x14ac:dyDescent="0.25">
      <c r="A6" s="135"/>
      <c r="B6" s="136"/>
      <c r="C6" s="141"/>
      <c r="D6" s="141"/>
      <c r="E6" s="141"/>
      <c r="F6" s="141"/>
      <c r="G6" s="141"/>
      <c r="H6" s="141"/>
      <c r="I6" s="141"/>
      <c r="J6" s="142"/>
      <c r="K6" s="135"/>
    </row>
    <row r="7" spans="1:11" ht="34.5" customHeight="1" x14ac:dyDescent="0.25">
      <c r="B7" s="116"/>
      <c r="C7" s="39" t="s">
        <v>62</v>
      </c>
      <c r="D7" s="39" t="s">
        <v>4</v>
      </c>
      <c r="E7" s="39" t="s">
        <v>1</v>
      </c>
      <c r="F7" s="39" t="str">
        <f>"Total Cost " &amp; "(" &amp; currency &amp; ")"</f>
        <v>Total Cost ($)</v>
      </c>
      <c r="G7" s="39" t="s">
        <v>3</v>
      </c>
      <c r="H7" s="362" t="s">
        <v>2</v>
      </c>
      <c r="I7" s="39" t="str">
        <f>"Unit Cost " &amp; "(" &amp; currency &amp; ")"</f>
        <v>Unit Cost ($)</v>
      </c>
      <c r="J7" s="117"/>
    </row>
    <row r="8" spans="1:11" x14ac:dyDescent="0.25">
      <c r="B8" s="116"/>
      <c r="C8" s="230" t="s">
        <v>253</v>
      </c>
      <c r="D8" s="210" t="s">
        <v>257</v>
      </c>
      <c r="E8" s="147" t="s">
        <v>251</v>
      </c>
      <c r="F8" s="318">
        <v>2190</v>
      </c>
      <c r="G8" s="147" t="s">
        <v>243</v>
      </c>
      <c r="H8" s="323">
        <v>50</v>
      </c>
      <c r="I8" s="363">
        <f>IFERROR(IF(LEN($C8&gt;0),$F8/$H8,""),"")</f>
        <v>43.8</v>
      </c>
      <c r="J8" s="117"/>
    </row>
    <row r="9" spans="1:11" x14ac:dyDescent="0.25">
      <c r="B9" s="116"/>
      <c r="C9" s="231" t="s">
        <v>254</v>
      </c>
      <c r="D9" s="217" t="s">
        <v>258</v>
      </c>
      <c r="E9" s="147" t="s">
        <v>250</v>
      </c>
      <c r="F9" s="318">
        <v>1750</v>
      </c>
      <c r="G9" s="147" t="s">
        <v>244</v>
      </c>
      <c r="H9" s="323">
        <v>30</v>
      </c>
      <c r="I9" s="157">
        <f t="shared" ref="I9:I27" si="0">IFERROR(IF(LEN($C9&gt;0),$F9/$H9,""),"")</f>
        <v>58.333333333333336</v>
      </c>
      <c r="J9" s="117"/>
    </row>
    <row r="10" spans="1:11" x14ac:dyDescent="0.25">
      <c r="B10" s="116"/>
      <c r="C10" s="230" t="s">
        <v>261</v>
      </c>
      <c r="D10" s="210" t="s">
        <v>259</v>
      </c>
      <c r="E10" s="147" t="s">
        <v>251</v>
      </c>
      <c r="F10" s="318">
        <v>1600</v>
      </c>
      <c r="G10" s="147" t="s">
        <v>249</v>
      </c>
      <c r="H10" s="323">
        <v>16</v>
      </c>
      <c r="I10" s="157">
        <f t="shared" si="0"/>
        <v>100</v>
      </c>
      <c r="J10" s="117"/>
    </row>
    <row r="11" spans="1:11" x14ac:dyDescent="0.25">
      <c r="B11" s="116"/>
      <c r="C11" s="231" t="s">
        <v>262</v>
      </c>
      <c r="D11" s="217" t="s">
        <v>260</v>
      </c>
      <c r="E11" s="147" t="s">
        <v>264</v>
      </c>
      <c r="F11" s="318">
        <v>1340</v>
      </c>
      <c r="G11" s="147" t="s">
        <v>244</v>
      </c>
      <c r="H11" s="323">
        <v>21</v>
      </c>
      <c r="I11" s="157">
        <f t="shared" si="0"/>
        <v>63.80952380952381</v>
      </c>
      <c r="J11" s="117"/>
    </row>
    <row r="12" spans="1:11" x14ac:dyDescent="0.25">
      <c r="B12" s="116"/>
      <c r="C12" s="230" t="s">
        <v>274</v>
      </c>
      <c r="D12" s="210" t="s">
        <v>273</v>
      </c>
      <c r="E12" s="147" t="s">
        <v>250</v>
      </c>
      <c r="F12" s="318">
        <v>2500</v>
      </c>
      <c r="G12" s="147" t="s">
        <v>243</v>
      </c>
      <c r="H12" s="323">
        <v>10</v>
      </c>
      <c r="I12" s="157">
        <f t="shared" si="0"/>
        <v>250</v>
      </c>
      <c r="J12" s="117"/>
    </row>
    <row r="13" spans="1:11" x14ac:dyDescent="0.25">
      <c r="B13" s="116"/>
      <c r="C13" s="231" t="s">
        <v>276</v>
      </c>
      <c r="D13" s="217" t="s">
        <v>275</v>
      </c>
      <c r="E13" s="147" t="s">
        <v>251</v>
      </c>
      <c r="F13" s="318">
        <v>1800</v>
      </c>
      <c r="G13" s="147" t="s">
        <v>249</v>
      </c>
      <c r="H13" s="323">
        <v>15</v>
      </c>
      <c r="I13" s="157">
        <f t="shared" si="0"/>
        <v>120</v>
      </c>
      <c r="J13" s="117"/>
    </row>
    <row r="14" spans="1:11" x14ac:dyDescent="0.25">
      <c r="B14" s="116"/>
      <c r="C14" s="230" t="s">
        <v>278</v>
      </c>
      <c r="D14" s="210" t="s">
        <v>277</v>
      </c>
      <c r="E14" s="147" t="s">
        <v>251</v>
      </c>
      <c r="F14" s="318">
        <v>1550</v>
      </c>
      <c r="G14" s="147" t="s">
        <v>244</v>
      </c>
      <c r="H14" s="323">
        <v>10</v>
      </c>
      <c r="I14" s="157">
        <f t="shared" si="0"/>
        <v>155</v>
      </c>
      <c r="J14" s="117"/>
    </row>
    <row r="15" spans="1:11" x14ac:dyDescent="0.25">
      <c r="B15" s="116"/>
      <c r="C15" s="233"/>
      <c r="D15" s="217"/>
      <c r="E15" s="147"/>
      <c r="F15" s="318"/>
      <c r="G15" s="147"/>
      <c r="H15" s="323"/>
      <c r="I15" s="157" t="str">
        <f t="shared" si="0"/>
        <v/>
      </c>
      <c r="J15" s="117"/>
    </row>
    <row r="16" spans="1:11" x14ac:dyDescent="0.25">
      <c r="B16" s="116"/>
      <c r="C16" s="232"/>
      <c r="D16" s="210"/>
      <c r="E16" s="147"/>
      <c r="F16" s="318"/>
      <c r="G16" s="147"/>
      <c r="H16" s="323"/>
      <c r="I16" s="157" t="str">
        <f t="shared" si="0"/>
        <v/>
      </c>
      <c r="J16" s="117"/>
    </row>
    <row r="17" spans="2:10" x14ac:dyDescent="0.25">
      <c r="B17" s="116"/>
      <c r="C17" s="233"/>
      <c r="D17" s="217"/>
      <c r="E17" s="147"/>
      <c r="F17" s="318"/>
      <c r="G17" s="147"/>
      <c r="H17" s="323"/>
      <c r="I17" s="157" t="str">
        <f t="shared" si="0"/>
        <v/>
      </c>
      <c r="J17" s="117"/>
    </row>
    <row r="18" spans="2:10" x14ac:dyDescent="0.25">
      <c r="B18" s="116"/>
      <c r="C18" s="232"/>
      <c r="D18" s="210"/>
      <c r="E18" s="147"/>
      <c r="F18" s="318"/>
      <c r="G18" s="147"/>
      <c r="H18" s="323"/>
      <c r="I18" s="157" t="str">
        <f t="shared" si="0"/>
        <v/>
      </c>
      <c r="J18" s="117"/>
    </row>
    <row r="19" spans="2:10" x14ac:dyDescent="0.25">
      <c r="B19" s="116"/>
      <c r="C19" s="233"/>
      <c r="D19" s="217"/>
      <c r="E19" s="147"/>
      <c r="F19" s="318"/>
      <c r="G19" s="147"/>
      <c r="H19" s="323"/>
      <c r="I19" s="157" t="str">
        <f t="shared" si="0"/>
        <v/>
      </c>
      <c r="J19" s="117"/>
    </row>
    <row r="20" spans="2:10" x14ac:dyDescent="0.25">
      <c r="B20" s="116"/>
      <c r="C20" s="232"/>
      <c r="D20" s="210"/>
      <c r="E20" s="147"/>
      <c r="F20" s="318"/>
      <c r="G20" s="147"/>
      <c r="H20" s="323"/>
      <c r="I20" s="157" t="str">
        <f t="shared" si="0"/>
        <v/>
      </c>
      <c r="J20" s="117"/>
    </row>
    <row r="21" spans="2:10" x14ac:dyDescent="0.25">
      <c r="B21" s="116"/>
      <c r="C21" s="233"/>
      <c r="D21" s="217"/>
      <c r="E21" s="147"/>
      <c r="F21" s="318"/>
      <c r="G21" s="147"/>
      <c r="H21" s="323"/>
      <c r="I21" s="157" t="str">
        <f t="shared" si="0"/>
        <v/>
      </c>
      <c r="J21" s="117"/>
    </row>
    <row r="22" spans="2:10" x14ac:dyDescent="0.25">
      <c r="B22" s="116"/>
      <c r="C22" s="232"/>
      <c r="D22" s="210"/>
      <c r="E22" s="147"/>
      <c r="F22" s="318"/>
      <c r="G22" s="147"/>
      <c r="H22" s="323"/>
      <c r="I22" s="157" t="str">
        <f t="shared" si="0"/>
        <v/>
      </c>
      <c r="J22" s="117"/>
    </row>
    <row r="23" spans="2:10" x14ac:dyDescent="0.25">
      <c r="B23" s="116"/>
      <c r="C23" s="233"/>
      <c r="D23" s="217"/>
      <c r="E23" s="147"/>
      <c r="F23" s="318"/>
      <c r="G23" s="147"/>
      <c r="H23" s="323"/>
      <c r="I23" s="157" t="str">
        <f t="shared" si="0"/>
        <v/>
      </c>
      <c r="J23" s="117"/>
    </row>
    <row r="24" spans="2:10" x14ac:dyDescent="0.25">
      <c r="B24" s="116"/>
      <c r="C24" s="232"/>
      <c r="D24" s="210"/>
      <c r="E24" s="147"/>
      <c r="F24" s="318"/>
      <c r="G24" s="147"/>
      <c r="H24" s="323"/>
      <c r="I24" s="157" t="str">
        <f t="shared" si="0"/>
        <v/>
      </c>
      <c r="J24" s="117"/>
    </row>
    <row r="25" spans="2:10" x14ac:dyDescent="0.25">
      <c r="B25" s="116"/>
      <c r="C25" s="233"/>
      <c r="D25" s="379"/>
      <c r="E25" s="147"/>
      <c r="F25" s="318"/>
      <c r="G25" s="147"/>
      <c r="H25" s="323"/>
      <c r="I25" s="157" t="str">
        <f t="shared" si="0"/>
        <v/>
      </c>
      <c r="J25" s="117"/>
    </row>
    <row r="26" spans="2:10" x14ac:dyDescent="0.25">
      <c r="B26" s="116"/>
      <c r="C26" s="232"/>
      <c r="D26" s="210"/>
      <c r="E26" s="147"/>
      <c r="F26" s="318"/>
      <c r="G26" s="147"/>
      <c r="H26" s="323"/>
      <c r="I26" s="157" t="str">
        <f t="shared" si="0"/>
        <v/>
      </c>
      <c r="J26" s="117"/>
    </row>
    <row r="27" spans="2:10" x14ac:dyDescent="0.25">
      <c r="B27" s="116"/>
      <c r="C27" s="393"/>
      <c r="D27" s="394"/>
      <c r="E27" s="395"/>
      <c r="F27" s="396"/>
      <c r="G27" s="395"/>
      <c r="H27" s="397"/>
      <c r="I27" s="398" t="str">
        <f t="shared" si="0"/>
        <v/>
      </c>
      <c r="J27" s="117"/>
    </row>
    <row r="28" spans="2:10" x14ac:dyDescent="0.25">
      <c r="B28" s="116"/>
      <c r="C28" s="404"/>
      <c r="D28" s="405"/>
      <c r="E28" s="406"/>
      <c r="F28" s="407"/>
      <c r="G28" s="406"/>
      <c r="H28" s="408"/>
      <c r="I28" s="399"/>
      <c r="J28" s="117"/>
    </row>
    <row r="29" spans="2:10" x14ac:dyDescent="0.25">
      <c r="B29" s="116"/>
      <c r="C29" s="404"/>
      <c r="D29" s="405"/>
      <c r="E29" s="406"/>
      <c r="F29" s="407"/>
      <c r="G29" s="406"/>
      <c r="H29" s="408"/>
      <c r="I29" s="399"/>
      <c r="J29" s="117"/>
    </row>
    <row r="30" spans="2:10" x14ac:dyDescent="0.25">
      <c r="B30" s="116"/>
      <c r="C30" s="404"/>
      <c r="D30" s="405"/>
      <c r="E30" s="406"/>
      <c r="F30" s="407"/>
      <c r="G30" s="406"/>
      <c r="H30" s="408"/>
      <c r="I30" s="399"/>
      <c r="J30" s="117"/>
    </row>
    <row r="31" spans="2:10" x14ac:dyDescent="0.25">
      <c r="B31" s="116"/>
      <c r="C31" s="404"/>
      <c r="D31" s="405"/>
      <c r="E31" s="406"/>
      <c r="F31" s="407"/>
      <c r="G31" s="406"/>
      <c r="H31" s="408"/>
      <c r="I31" s="399"/>
      <c r="J31" s="117"/>
    </row>
    <row r="32" spans="2:10" x14ac:dyDescent="0.25">
      <c r="B32" s="116"/>
      <c r="C32" s="404"/>
      <c r="D32" s="405"/>
      <c r="E32" s="406"/>
      <c r="F32" s="407"/>
      <c r="G32" s="406"/>
      <c r="H32" s="408"/>
      <c r="I32" s="399"/>
      <c r="J32" s="117"/>
    </row>
    <row r="33" spans="2:10" x14ac:dyDescent="0.25">
      <c r="B33" s="116"/>
      <c r="C33" s="404"/>
      <c r="D33" s="405"/>
      <c r="E33" s="406"/>
      <c r="F33" s="407"/>
      <c r="G33" s="406"/>
      <c r="H33" s="408"/>
      <c r="I33" s="399"/>
      <c r="J33" s="117"/>
    </row>
    <row r="34" spans="2:10" x14ac:dyDescent="0.25">
      <c r="B34" s="116"/>
      <c r="C34" s="404"/>
      <c r="D34" s="405"/>
      <c r="E34" s="406"/>
      <c r="F34" s="407"/>
      <c r="G34" s="406"/>
      <c r="H34" s="408"/>
      <c r="I34" s="399"/>
      <c r="J34" s="117"/>
    </row>
    <row r="35" spans="2:10" x14ac:dyDescent="0.25">
      <c r="B35" s="116"/>
      <c r="C35" s="404"/>
      <c r="D35" s="405"/>
      <c r="E35" s="406"/>
      <c r="F35" s="407"/>
      <c r="G35" s="406"/>
      <c r="H35" s="408"/>
      <c r="I35" s="399"/>
      <c r="J35" s="117"/>
    </row>
    <row r="36" spans="2:10" x14ac:dyDescent="0.25">
      <c r="B36" s="116"/>
      <c r="C36" s="404"/>
      <c r="D36" s="405"/>
      <c r="E36" s="406"/>
      <c r="F36" s="407"/>
      <c r="G36" s="406"/>
      <c r="H36" s="408"/>
      <c r="I36" s="399"/>
      <c r="J36" s="117"/>
    </row>
    <row r="37" spans="2:10" x14ac:dyDescent="0.25">
      <c r="B37" s="116"/>
      <c r="C37" s="404"/>
      <c r="D37" s="405"/>
      <c r="E37" s="406"/>
      <c r="F37" s="407"/>
      <c r="G37" s="406"/>
      <c r="H37" s="408"/>
      <c r="I37" s="399"/>
      <c r="J37" s="117"/>
    </row>
    <row r="38" spans="2:10" x14ac:dyDescent="0.25">
      <c r="B38" s="116"/>
      <c r="C38" s="404"/>
      <c r="D38" s="405"/>
      <c r="E38" s="406"/>
      <c r="F38" s="407"/>
      <c r="G38" s="406"/>
      <c r="H38" s="408"/>
      <c r="I38" s="399"/>
      <c r="J38" s="117"/>
    </row>
    <row r="39" spans="2:10" x14ac:dyDescent="0.25">
      <c r="B39" s="116"/>
      <c r="C39" s="404"/>
      <c r="D39" s="405"/>
      <c r="E39" s="406"/>
      <c r="F39" s="407"/>
      <c r="G39" s="406"/>
      <c r="H39" s="408"/>
      <c r="I39" s="399"/>
      <c r="J39" s="117"/>
    </row>
    <row r="40" spans="2:10" x14ac:dyDescent="0.25">
      <c r="B40" s="116"/>
      <c r="C40" s="404"/>
      <c r="D40" s="405"/>
      <c r="E40" s="406"/>
      <c r="F40" s="407"/>
      <c r="G40" s="406"/>
      <c r="H40" s="408"/>
      <c r="I40" s="399"/>
      <c r="J40" s="117"/>
    </row>
    <row r="41" spans="2:10" x14ac:dyDescent="0.25">
      <c r="B41" s="116"/>
      <c r="C41" s="404"/>
      <c r="D41" s="405"/>
      <c r="E41" s="406"/>
      <c r="F41" s="407"/>
      <c r="G41" s="406"/>
      <c r="H41" s="408"/>
      <c r="I41" s="399"/>
      <c r="J41" s="117"/>
    </row>
    <row r="42" spans="2:10" x14ac:dyDescent="0.25">
      <c r="B42" s="116"/>
      <c r="C42" s="404"/>
      <c r="D42" s="405"/>
      <c r="E42" s="406"/>
      <c r="F42" s="407"/>
      <c r="G42" s="406"/>
      <c r="H42" s="408"/>
      <c r="I42" s="399"/>
      <c r="J42" s="117"/>
    </row>
    <row r="43" spans="2:10" x14ac:dyDescent="0.25">
      <c r="B43" s="116"/>
      <c r="C43" s="404"/>
      <c r="D43" s="405"/>
      <c r="E43" s="406"/>
      <c r="F43" s="407"/>
      <c r="G43" s="406"/>
      <c r="H43" s="408"/>
      <c r="I43" s="399"/>
      <c r="J43" s="117"/>
    </row>
    <row r="44" spans="2:10" x14ac:dyDescent="0.25">
      <c r="B44" s="116"/>
      <c r="C44" s="404"/>
      <c r="D44" s="405"/>
      <c r="E44" s="406"/>
      <c r="F44" s="407"/>
      <c r="G44" s="406"/>
      <c r="H44" s="408"/>
      <c r="I44" s="399"/>
      <c r="J44" s="117"/>
    </row>
    <row r="45" spans="2:10" x14ac:dyDescent="0.25">
      <c r="B45" s="116"/>
      <c r="C45" s="404"/>
      <c r="D45" s="405"/>
      <c r="E45" s="406"/>
      <c r="F45" s="407"/>
      <c r="G45" s="406"/>
      <c r="H45" s="408"/>
      <c r="I45" s="399"/>
      <c r="J45" s="117"/>
    </row>
    <row r="46" spans="2:10" x14ac:dyDescent="0.25">
      <c r="B46" s="116"/>
      <c r="C46" s="404"/>
      <c r="D46" s="405"/>
      <c r="E46" s="406"/>
      <c r="F46" s="407"/>
      <c r="G46" s="406"/>
      <c r="H46" s="408"/>
      <c r="I46" s="399"/>
      <c r="J46" s="117"/>
    </row>
    <row r="47" spans="2:10" x14ac:dyDescent="0.25">
      <c r="B47" s="116"/>
      <c r="C47" s="404"/>
      <c r="D47" s="405"/>
      <c r="E47" s="406"/>
      <c r="F47" s="407"/>
      <c r="G47" s="406"/>
      <c r="H47" s="408"/>
      <c r="I47" s="399"/>
      <c r="J47" s="117"/>
    </row>
    <row r="48" spans="2:10" x14ac:dyDescent="0.25">
      <c r="B48" s="116"/>
      <c r="C48" s="404"/>
      <c r="D48" s="405"/>
      <c r="E48" s="406"/>
      <c r="F48" s="407"/>
      <c r="G48" s="406"/>
      <c r="H48" s="408"/>
      <c r="I48" s="399"/>
      <c r="J48" s="117"/>
    </row>
    <row r="49" spans="2:10" x14ac:dyDescent="0.25">
      <c r="B49" s="116"/>
      <c r="C49" s="404"/>
      <c r="D49" s="405"/>
      <c r="E49" s="406"/>
      <c r="F49" s="407"/>
      <c r="G49" s="406"/>
      <c r="H49" s="408"/>
      <c r="I49" s="399"/>
      <c r="J49" s="117"/>
    </row>
    <row r="50" spans="2:10" x14ac:dyDescent="0.25">
      <c r="B50" s="116"/>
      <c r="C50" s="404"/>
      <c r="D50" s="405"/>
      <c r="E50" s="406"/>
      <c r="F50" s="407"/>
      <c r="G50" s="406"/>
      <c r="H50" s="408"/>
      <c r="I50" s="399"/>
      <c r="J50" s="117"/>
    </row>
    <row r="51" spans="2:10" x14ac:dyDescent="0.25">
      <c r="B51" s="116"/>
      <c r="C51" s="404"/>
      <c r="D51" s="405"/>
      <c r="E51" s="406"/>
      <c r="F51" s="407"/>
      <c r="G51" s="406"/>
      <c r="H51" s="408"/>
      <c r="I51" s="399"/>
      <c r="J51" s="117"/>
    </row>
    <row r="52" spans="2:10" x14ac:dyDescent="0.25">
      <c r="B52" s="116"/>
      <c r="C52" s="404"/>
      <c r="D52" s="405"/>
      <c r="E52" s="406"/>
      <c r="F52" s="407"/>
      <c r="G52" s="406"/>
      <c r="H52" s="408"/>
      <c r="I52" s="399"/>
      <c r="J52" s="117"/>
    </row>
    <row r="53" spans="2:10" x14ac:dyDescent="0.25">
      <c r="B53" s="116"/>
      <c r="C53" s="404"/>
      <c r="D53" s="405"/>
      <c r="E53" s="406"/>
      <c r="F53" s="407"/>
      <c r="G53" s="406"/>
      <c r="H53" s="408"/>
      <c r="I53" s="399"/>
      <c r="J53" s="117"/>
    </row>
    <row r="54" spans="2:10" x14ac:dyDescent="0.25">
      <c r="B54" s="116"/>
      <c r="C54" s="404"/>
      <c r="D54" s="405"/>
      <c r="E54" s="406"/>
      <c r="F54" s="407"/>
      <c r="G54" s="406"/>
      <c r="H54" s="408"/>
      <c r="I54" s="399"/>
      <c r="J54" s="117"/>
    </row>
    <row r="55" spans="2:10" x14ac:dyDescent="0.25">
      <c r="B55" s="116"/>
      <c r="C55" s="404"/>
      <c r="D55" s="405"/>
      <c r="E55" s="406"/>
      <c r="F55" s="407"/>
      <c r="G55" s="406"/>
      <c r="H55" s="408"/>
      <c r="I55" s="399"/>
      <c r="J55" s="117"/>
    </row>
    <row r="56" spans="2:10" x14ac:dyDescent="0.25">
      <c r="B56" s="116"/>
      <c r="C56" s="404"/>
      <c r="D56" s="405"/>
      <c r="E56" s="406"/>
      <c r="F56" s="407"/>
      <c r="G56" s="406"/>
      <c r="H56" s="408"/>
      <c r="I56" s="399"/>
      <c r="J56" s="117"/>
    </row>
    <row r="57" spans="2:10" x14ac:dyDescent="0.25">
      <c r="B57" s="116"/>
      <c r="C57" s="404"/>
      <c r="D57" s="405"/>
      <c r="E57" s="406"/>
      <c r="F57" s="407"/>
      <c r="G57" s="406"/>
      <c r="H57" s="408"/>
      <c r="I57" s="399"/>
      <c r="J57" s="117"/>
    </row>
    <row r="58" spans="2:10" x14ac:dyDescent="0.25">
      <c r="B58" s="116"/>
      <c r="C58" s="404"/>
      <c r="D58" s="405"/>
      <c r="E58" s="406"/>
      <c r="F58" s="407"/>
      <c r="G58" s="406"/>
      <c r="H58" s="408"/>
      <c r="I58" s="399"/>
      <c r="J58" s="117"/>
    </row>
    <row r="59" spans="2:10" x14ac:dyDescent="0.25">
      <c r="B59" s="116"/>
      <c r="C59" s="404"/>
      <c r="D59" s="405"/>
      <c r="E59" s="406"/>
      <c r="F59" s="407"/>
      <c r="G59" s="406"/>
      <c r="H59" s="408"/>
      <c r="I59" s="399"/>
      <c r="J59" s="117"/>
    </row>
    <row r="60" spans="2:10" x14ac:dyDescent="0.25">
      <c r="B60" s="116"/>
      <c r="C60" s="404"/>
      <c r="D60" s="405"/>
      <c r="E60" s="406"/>
      <c r="F60" s="407"/>
      <c r="G60" s="406"/>
      <c r="H60" s="408"/>
      <c r="I60" s="399"/>
      <c r="J60" s="117"/>
    </row>
    <row r="61" spans="2:10" x14ac:dyDescent="0.25">
      <c r="B61" s="116"/>
      <c r="C61" s="404"/>
      <c r="D61" s="405"/>
      <c r="E61" s="406"/>
      <c r="F61" s="407"/>
      <c r="G61" s="406"/>
      <c r="H61" s="408"/>
      <c r="I61" s="399"/>
      <c r="J61" s="117"/>
    </row>
    <row r="62" spans="2:10" x14ac:dyDescent="0.25">
      <c r="B62" s="116"/>
      <c r="C62" s="404"/>
      <c r="D62" s="405"/>
      <c r="E62" s="406"/>
      <c r="F62" s="407"/>
      <c r="G62" s="406"/>
      <c r="H62" s="408"/>
      <c r="I62" s="399"/>
      <c r="J62" s="117"/>
    </row>
    <row r="63" spans="2:10" x14ac:dyDescent="0.25">
      <c r="B63" s="116"/>
      <c r="C63" s="404"/>
      <c r="D63" s="405"/>
      <c r="E63" s="406"/>
      <c r="F63" s="407"/>
      <c r="G63" s="406"/>
      <c r="H63" s="408"/>
      <c r="I63" s="399"/>
      <c r="J63" s="117"/>
    </row>
    <row r="64" spans="2:10" x14ac:dyDescent="0.25">
      <c r="B64" s="116"/>
      <c r="C64" s="404"/>
      <c r="D64" s="405"/>
      <c r="E64" s="406"/>
      <c r="F64" s="407"/>
      <c r="G64" s="406"/>
      <c r="H64" s="408"/>
      <c r="I64" s="399"/>
      <c r="J64" s="117"/>
    </row>
    <row r="65" spans="2:10" x14ac:dyDescent="0.25">
      <c r="B65" s="116"/>
      <c r="C65" s="404"/>
      <c r="D65" s="405"/>
      <c r="E65" s="406"/>
      <c r="F65" s="407"/>
      <c r="G65" s="406"/>
      <c r="H65" s="408"/>
      <c r="I65" s="399"/>
      <c r="J65" s="117"/>
    </row>
    <row r="66" spans="2:10" x14ac:dyDescent="0.25">
      <c r="B66" s="116"/>
      <c r="C66" s="404"/>
      <c r="D66" s="405"/>
      <c r="E66" s="406"/>
      <c r="F66" s="407"/>
      <c r="G66" s="406"/>
      <c r="H66" s="408"/>
      <c r="I66" s="399"/>
      <c r="J66" s="117"/>
    </row>
    <row r="67" spans="2:10" x14ac:dyDescent="0.25">
      <c r="B67" s="116"/>
      <c r="C67" s="404"/>
      <c r="D67" s="405"/>
      <c r="E67" s="406"/>
      <c r="F67" s="407"/>
      <c r="G67" s="406"/>
      <c r="H67" s="408"/>
      <c r="I67" s="399"/>
      <c r="J67" s="117"/>
    </row>
    <row r="68" spans="2:10" x14ac:dyDescent="0.25">
      <c r="B68" s="116"/>
      <c r="C68" s="404"/>
      <c r="D68" s="405"/>
      <c r="E68" s="406"/>
      <c r="F68" s="407"/>
      <c r="G68" s="406"/>
      <c r="H68" s="408"/>
      <c r="I68" s="399"/>
      <c r="J68" s="117"/>
    </row>
    <row r="69" spans="2:10" x14ac:dyDescent="0.25">
      <c r="B69" s="116"/>
      <c r="C69" s="404"/>
      <c r="D69" s="405"/>
      <c r="E69" s="406"/>
      <c r="F69" s="407"/>
      <c r="G69" s="406"/>
      <c r="H69" s="408"/>
      <c r="I69" s="399"/>
      <c r="J69" s="117"/>
    </row>
    <row r="70" spans="2:10" x14ac:dyDescent="0.25">
      <c r="B70" s="116"/>
      <c r="C70" s="404"/>
      <c r="D70" s="405"/>
      <c r="E70" s="406"/>
      <c r="F70" s="407"/>
      <c r="G70" s="406"/>
      <c r="H70" s="408"/>
      <c r="I70" s="399"/>
      <c r="J70" s="117"/>
    </row>
    <row r="71" spans="2:10" x14ac:dyDescent="0.25">
      <c r="B71" s="116"/>
      <c r="C71" s="404"/>
      <c r="D71" s="405"/>
      <c r="E71" s="406"/>
      <c r="F71" s="407"/>
      <c r="G71" s="406"/>
      <c r="H71" s="408"/>
      <c r="I71" s="399"/>
      <c r="J71" s="117"/>
    </row>
    <row r="72" spans="2:10" x14ac:dyDescent="0.25">
      <c r="B72" s="116"/>
      <c r="C72" s="404"/>
      <c r="D72" s="405"/>
      <c r="E72" s="406"/>
      <c r="F72" s="407"/>
      <c r="G72" s="406"/>
      <c r="H72" s="408"/>
      <c r="I72" s="399"/>
      <c r="J72" s="117"/>
    </row>
    <row r="73" spans="2:10" x14ac:dyDescent="0.25">
      <c r="B73" s="116"/>
      <c r="C73" s="404"/>
      <c r="D73" s="405"/>
      <c r="E73" s="406"/>
      <c r="F73" s="407"/>
      <c r="G73" s="406"/>
      <c r="H73" s="408"/>
      <c r="I73" s="399"/>
      <c r="J73" s="117"/>
    </row>
    <row r="74" spans="2:10" x14ac:dyDescent="0.25">
      <c r="B74" s="116"/>
      <c r="C74" s="404"/>
      <c r="D74" s="405"/>
      <c r="E74" s="406"/>
      <c r="F74" s="407"/>
      <c r="G74" s="406"/>
      <c r="H74" s="408"/>
      <c r="I74" s="399"/>
      <c r="J74" s="117"/>
    </row>
    <row r="75" spans="2:10" x14ac:dyDescent="0.25">
      <c r="B75" s="116"/>
      <c r="C75" s="404"/>
      <c r="D75" s="405"/>
      <c r="E75" s="406"/>
      <c r="F75" s="407"/>
      <c r="G75" s="406"/>
      <c r="H75" s="408"/>
      <c r="I75" s="399"/>
      <c r="J75" s="117"/>
    </row>
    <row r="76" spans="2:10" x14ac:dyDescent="0.25">
      <c r="B76" s="116"/>
      <c r="C76" s="404"/>
      <c r="D76" s="405"/>
      <c r="E76" s="406"/>
      <c r="F76" s="407"/>
      <c r="G76" s="406"/>
      <c r="H76" s="408"/>
      <c r="I76" s="399"/>
      <c r="J76" s="117"/>
    </row>
    <row r="77" spans="2:10" x14ac:dyDescent="0.25">
      <c r="B77" s="116"/>
      <c r="C77" s="404"/>
      <c r="D77" s="405"/>
      <c r="E77" s="406"/>
      <c r="F77" s="407"/>
      <c r="G77" s="406"/>
      <c r="H77" s="408"/>
      <c r="I77" s="399"/>
      <c r="J77" s="117"/>
    </row>
    <row r="78" spans="2:10" x14ac:dyDescent="0.25">
      <c r="B78" s="116"/>
      <c r="C78" s="404"/>
      <c r="D78" s="405"/>
      <c r="E78" s="406"/>
      <c r="F78" s="407"/>
      <c r="G78" s="406"/>
      <c r="H78" s="408"/>
      <c r="I78" s="399"/>
      <c r="J78" s="117"/>
    </row>
    <row r="79" spans="2:10" x14ac:dyDescent="0.25">
      <c r="B79" s="116"/>
      <c r="C79" s="404"/>
      <c r="D79" s="405"/>
      <c r="E79" s="406"/>
      <c r="F79" s="407"/>
      <c r="G79" s="406"/>
      <c r="H79" s="408"/>
      <c r="I79" s="399"/>
      <c r="J79" s="117"/>
    </row>
    <row r="80" spans="2:10" x14ac:dyDescent="0.25">
      <c r="B80" s="116"/>
      <c r="C80" s="404"/>
      <c r="D80" s="405"/>
      <c r="E80" s="406"/>
      <c r="F80" s="407"/>
      <c r="G80" s="406"/>
      <c r="H80" s="408"/>
      <c r="I80" s="399"/>
      <c r="J80" s="117"/>
    </row>
    <row r="81" spans="2:10" x14ac:dyDescent="0.25">
      <c r="B81" s="116"/>
      <c r="C81" s="404"/>
      <c r="D81" s="405"/>
      <c r="E81" s="406"/>
      <c r="F81" s="407"/>
      <c r="G81" s="406"/>
      <c r="H81" s="408"/>
      <c r="I81" s="399"/>
      <c r="J81" s="117"/>
    </row>
    <row r="82" spans="2:10" x14ac:dyDescent="0.25">
      <c r="B82" s="116"/>
      <c r="C82" s="404"/>
      <c r="D82" s="405"/>
      <c r="E82" s="406"/>
      <c r="F82" s="407"/>
      <c r="G82" s="406"/>
      <c r="H82" s="408"/>
      <c r="I82" s="399"/>
      <c r="J82" s="117"/>
    </row>
    <row r="83" spans="2:10" x14ac:dyDescent="0.25">
      <c r="B83" s="116"/>
      <c r="C83" s="404"/>
      <c r="D83" s="405"/>
      <c r="E83" s="406"/>
      <c r="F83" s="407"/>
      <c r="G83" s="406"/>
      <c r="H83" s="408"/>
      <c r="I83" s="399"/>
      <c r="J83" s="117"/>
    </row>
    <row r="84" spans="2:10" x14ac:dyDescent="0.25">
      <c r="B84" s="116"/>
      <c r="C84" s="404"/>
      <c r="D84" s="405"/>
      <c r="E84" s="406"/>
      <c r="F84" s="407"/>
      <c r="G84" s="406"/>
      <c r="H84" s="408"/>
      <c r="I84" s="399"/>
      <c r="J84" s="117"/>
    </row>
    <row r="85" spans="2:10" x14ac:dyDescent="0.25">
      <c r="B85" s="116"/>
      <c r="C85" s="404"/>
      <c r="D85" s="405"/>
      <c r="E85" s="406"/>
      <c r="F85" s="407"/>
      <c r="G85" s="406"/>
      <c r="H85" s="408"/>
      <c r="I85" s="399"/>
      <c r="J85" s="117"/>
    </row>
    <row r="86" spans="2:10" x14ac:dyDescent="0.25">
      <c r="B86" s="116"/>
      <c r="C86" s="404"/>
      <c r="D86" s="405"/>
      <c r="E86" s="406"/>
      <c r="F86" s="407"/>
      <c r="G86" s="406"/>
      <c r="H86" s="408"/>
      <c r="I86" s="399"/>
      <c r="J86" s="117"/>
    </row>
    <row r="87" spans="2:10" x14ac:dyDescent="0.25">
      <c r="B87" s="116"/>
      <c r="C87" s="404"/>
      <c r="D87" s="405"/>
      <c r="E87" s="406"/>
      <c r="F87" s="407"/>
      <c r="G87" s="406"/>
      <c r="H87" s="408"/>
      <c r="I87" s="399"/>
      <c r="J87" s="117"/>
    </row>
    <row r="88" spans="2:10" x14ac:dyDescent="0.25">
      <c r="B88" s="116"/>
      <c r="C88" s="404"/>
      <c r="D88" s="405"/>
      <c r="E88" s="406"/>
      <c r="F88" s="407"/>
      <c r="G88" s="406"/>
      <c r="H88" s="408"/>
      <c r="I88" s="399"/>
      <c r="J88" s="117"/>
    </row>
    <row r="89" spans="2:10" x14ac:dyDescent="0.25">
      <c r="B89" s="116"/>
      <c r="C89" s="404"/>
      <c r="D89" s="405"/>
      <c r="E89" s="406"/>
      <c r="F89" s="407"/>
      <c r="G89" s="406"/>
      <c r="H89" s="408"/>
      <c r="I89" s="399"/>
      <c r="J89" s="117"/>
    </row>
    <row r="90" spans="2:10" x14ac:dyDescent="0.25">
      <c r="B90" s="116"/>
      <c r="C90" s="404"/>
      <c r="D90" s="405"/>
      <c r="E90" s="406"/>
      <c r="F90" s="407"/>
      <c r="G90" s="406"/>
      <c r="H90" s="408"/>
      <c r="I90" s="399"/>
      <c r="J90" s="117"/>
    </row>
    <row r="91" spans="2:10" x14ac:dyDescent="0.25">
      <c r="B91" s="116"/>
      <c r="C91" s="404"/>
      <c r="D91" s="405"/>
      <c r="E91" s="406"/>
      <c r="F91" s="407"/>
      <c r="G91" s="406"/>
      <c r="H91" s="408"/>
      <c r="I91" s="399"/>
      <c r="J91" s="117"/>
    </row>
    <row r="92" spans="2:10" x14ac:dyDescent="0.25">
      <c r="B92" s="116"/>
      <c r="C92" s="404"/>
      <c r="D92" s="405"/>
      <c r="E92" s="406"/>
      <c r="F92" s="407"/>
      <c r="G92" s="406"/>
      <c r="H92" s="408"/>
      <c r="I92" s="399"/>
      <c r="J92" s="117"/>
    </row>
    <row r="93" spans="2:10" x14ac:dyDescent="0.25">
      <c r="B93" s="116"/>
      <c r="C93" s="404"/>
      <c r="D93" s="405"/>
      <c r="E93" s="406"/>
      <c r="F93" s="407"/>
      <c r="G93" s="406"/>
      <c r="H93" s="408"/>
      <c r="I93" s="399"/>
      <c r="J93" s="117"/>
    </row>
    <row r="94" spans="2:10" x14ac:dyDescent="0.25">
      <c r="B94" s="116"/>
      <c r="C94" s="404"/>
      <c r="D94" s="405"/>
      <c r="E94" s="406"/>
      <c r="F94" s="407"/>
      <c r="G94" s="406"/>
      <c r="H94" s="408"/>
      <c r="I94" s="399"/>
      <c r="J94" s="117"/>
    </row>
    <row r="95" spans="2:10" x14ac:dyDescent="0.25">
      <c r="B95" s="116"/>
      <c r="C95" s="404"/>
      <c r="D95" s="405"/>
      <c r="E95" s="406"/>
      <c r="F95" s="407"/>
      <c r="G95" s="406"/>
      <c r="H95" s="408"/>
      <c r="I95" s="399"/>
      <c r="J95" s="117"/>
    </row>
    <row r="96" spans="2:10" x14ac:dyDescent="0.25">
      <c r="B96" s="116"/>
      <c r="C96" s="404"/>
      <c r="D96" s="405"/>
      <c r="E96" s="406"/>
      <c r="F96" s="407"/>
      <c r="G96" s="406"/>
      <c r="H96" s="408"/>
      <c r="I96" s="399"/>
      <c r="J96" s="117"/>
    </row>
    <row r="97" spans="2:10" x14ac:dyDescent="0.25">
      <c r="B97" s="116"/>
      <c r="C97" s="404"/>
      <c r="D97" s="405"/>
      <c r="E97" s="406"/>
      <c r="F97" s="407"/>
      <c r="G97" s="406"/>
      <c r="H97" s="408"/>
      <c r="I97" s="399"/>
      <c r="J97" s="117"/>
    </row>
    <row r="98" spans="2:10" x14ac:dyDescent="0.25">
      <c r="B98" s="116"/>
      <c r="C98" s="404"/>
      <c r="D98" s="405"/>
      <c r="E98" s="406"/>
      <c r="F98" s="407"/>
      <c r="G98" s="406"/>
      <c r="H98" s="408"/>
      <c r="I98" s="399"/>
      <c r="J98" s="117"/>
    </row>
    <row r="99" spans="2:10" x14ac:dyDescent="0.25">
      <c r="B99" s="116"/>
      <c r="C99" s="404"/>
      <c r="D99" s="405"/>
      <c r="E99" s="406"/>
      <c r="F99" s="407"/>
      <c r="G99" s="406"/>
      <c r="H99" s="408"/>
      <c r="I99" s="399"/>
      <c r="J99" s="117"/>
    </row>
    <row r="100" spans="2:10" x14ac:dyDescent="0.25">
      <c r="B100" s="116"/>
      <c r="C100" s="404"/>
      <c r="D100" s="405"/>
      <c r="E100" s="406"/>
      <c r="F100" s="407"/>
      <c r="G100" s="406"/>
      <c r="H100" s="408"/>
      <c r="I100" s="399"/>
      <c r="J100" s="117"/>
    </row>
    <row r="101" spans="2:10" x14ac:dyDescent="0.25">
      <c r="B101" s="116"/>
      <c r="C101" s="404"/>
      <c r="D101" s="405"/>
      <c r="E101" s="406"/>
      <c r="F101" s="407"/>
      <c r="G101" s="406"/>
      <c r="H101" s="408"/>
      <c r="I101" s="399"/>
      <c r="J101" s="117"/>
    </row>
    <row r="102" spans="2:10" x14ac:dyDescent="0.25">
      <c r="B102" s="116"/>
      <c r="C102" s="404"/>
      <c r="D102" s="405"/>
      <c r="E102" s="406"/>
      <c r="F102" s="407"/>
      <c r="G102" s="406"/>
      <c r="H102" s="408"/>
      <c r="I102" s="399"/>
      <c r="J102" s="117"/>
    </row>
    <row r="103" spans="2:10" x14ac:dyDescent="0.25">
      <c r="B103" s="116"/>
      <c r="C103" s="404"/>
      <c r="D103" s="405"/>
      <c r="E103" s="406"/>
      <c r="F103" s="407"/>
      <c r="G103" s="406"/>
      <c r="H103" s="408"/>
      <c r="I103" s="399"/>
      <c r="J103" s="117"/>
    </row>
    <row r="104" spans="2:10" x14ac:dyDescent="0.25">
      <c r="B104" s="116"/>
      <c r="C104" s="404"/>
      <c r="D104" s="405"/>
      <c r="E104" s="406"/>
      <c r="F104" s="407"/>
      <c r="G104" s="406"/>
      <c r="H104" s="408"/>
      <c r="I104" s="399"/>
      <c r="J104" s="117"/>
    </row>
    <row r="105" spans="2:10" x14ac:dyDescent="0.25">
      <c r="B105" s="116"/>
      <c r="C105" s="404"/>
      <c r="D105" s="405"/>
      <c r="E105" s="406"/>
      <c r="F105" s="407"/>
      <c r="G105" s="406"/>
      <c r="H105" s="408"/>
      <c r="I105" s="399"/>
      <c r="J105" s="117"/>
    </row>
    <row r="106" spans="2:10" x14ac:dyDescent="0.25">
      <c r="B106" s="116"/>
      <c r="C106" s="404"/>
      <c r="D106" s="405"/>
      <c r="E106" s="406"/>
      <c r="F106" s="407"/>
      <c r="G106" s="406"/>
      <c r="H106" s="408"/>
      <c r="I106" s="399"/>
      <c r="J106" s="117"/>
    </row>
    <row r="107" spans="2:10" x14ac:dyDescent="0.25">
      <c r="B107" s="116"/>
      <c r="C107" s="404"/>
      <c r="D107" s="405"/>
      <c r="E107" s="406"/>
      <c r="F107" s="407"/>
      <c r="G107" s="406"/>
      <c r="H107" s="408"/>
      <c r="I107" s="399"/>
      <c r="J107" s="117"/>
    </row>
    <row r="108" spans="2:10" x14ac:dyDescent="0.25">
      <c r="B108" s="116"/>
      <c r="C108" s="404"/>
      <c r="D108" s="405"/>
      <c r="E108" s="406"/>
      <c r="F108" s="407"/>
      <c r="G108" s="406"/>
      <c r="H108" s="408"/>
      <c r="I108" s="399"/>
      <c r="J108" s="117"/>
    </row>
    <row r="109" spans="2:10" x14ac:dyDescent="0.25">
      <c r="B109" s="116"/>
      <c r="C109" s="404"/>
      <c r="D109" s="405"/>
      <c r="E109" s="406"/>
      <c r="F109" s="407"/>
      <c r="G109" s="406"/>
      <c r="H109" s="408"/>
      <c r="I109" s="399"/>
      <c r="J109" s="117"/>
    </row>
    <row r="110" spans="2:10" x14ac:dyDescent="0.25">
      <c r="B110" s="116"/>
      <c r="C110" s="404"/>
      <c r="D110" s="405"/>
      <c r="E110" s="406"/>
      <c r="F110" s="407"/>
      <c r="G110" s="406"/>
      <c r="H110" s="408"/>
      <c r="I110" s="399"/>
      <c r="J110" s="117"/>
    </row>
    <row r="111" spans="2:10" x14ac:dyDescent="0.25">
      <c r="B111" s="116"/>
      <c r="C111" s="404"/>
      <c r="D111" s="405"/>
      <c r="E111" s="406"/>
      <c r="F111" s="407"/>
      <c r="G111" s="406"/>
      <c r="H111" s="408"/>
      <c r="I111" s="399"/>
      <c r="J111" s="117"/>
    </row>
    <row r="112" spans="2:10" x14ac:dyDescent="0.25">
      <c r="B112" s="116"/>
      <c r="C112" s="404"/>
      <c r="D112" s="405"/>
      <c r="E112" s="406"/>
      <c r="F112" s="407"/>
      <c r="G112" s="406"/>
      <c r="H112" s="408"/>
      <c r="I112" s="399"/>
      <c r="J112" s="117"/>
    </row>
    <row r="113" spans="2:10" x14ac:dyDescent="0.25">
      <c r="B113" s="116"/>
      <c r="C113" s="404"/>
      <c r="D113" s="405"/>
      <c r="E113" s="406"/>
      <c r="F113" s="407"/>
      <c r="G113" s="406"/>
      <c r="H113" s="408"/>
      <c r="I113" s="399"/>
      <c r="J113" s="117"/>
    </row>
    <row r="114" spans="2:10" x14ac:dyDescent="0.25">
      <c r="B114" s="116"/>
      <c r="C114" s="404"/>
      <c r="D114" s="405"/>
      <c r="E114" s="406"/>
      <c r="F114" s="407"/>
      <c r="G114" s="406"/>
      <c r="H114" s="408"/>
      <c r="I114" s="399"/>
      <c r="J114" s="117"/>
    </row>
    <row r="115" spans="2:10" x14ac:dyDescent="0.25">
      <c r="B115" s="116"/>
      <c r="C115" s="404"/>
      <c r="D115" s="405"/>
      <c r="E115" s="406"/>
      <c r="F115" s="407"/>
      <c r="G115" s="406"/>
      <c r="H115" s="408"/>
      <c r="I115" s="399"/>
      <c r="J115" s="117"/>
    </row>
    <row r="116" spans="2:10" x14ac:dyDescent="0.25">
      <c r="B116" s="116"/>
      <c r="C116" s="404"/>
      <c r="D116" s="405"/>
      <c r="E116" s="406"/>
      <c r="F116" s="407"/>
      <c r="G116" s="406"/>
      <c r="H116" s="408"/>
      <c r="I116" s="399"/>
      <c r="J116" s="117"/>
    </row>
    <row r="117" spans="2:10" x14ac:dyDescent="0.25">
      <c r="B117" s="116"/>
      <c r="C117" s="404"/>
      <c r="D117" s="405"/>
      <c r="E117" s="406"/>
      <c r="F117" s="407"/>
      <c r="G117" s="406"/>
      <c r="H117" s="408"/>
      <c r="I117" s="399"/>
      <c r="J117" s="117"/>
    </row>
    <row r="118" spans="2:10" x14ac:dyDescent="0.25">
      <c r="B118" s="116"/>
      <c r="C118" s="404"/>
      <c r="D118" s="405"/>
      <c r="E118" s="406"/>
      <c r="F118" s="407"/>
      <c r="G118" s="406"/>
      <c r="H118" s="408"/>
      <c r="I118" s="399"/>
      <c r="J118" s="117"/>
    </row>
    <row r="119" spans="2:10" x14ac:dyDescent="0.25">
      <c r="B119" s="116"/>
      <c r="C119" s="404"/>
      <c r="D119" s="405"/>
      <c r="E119" s="406"/>
      <c r="F119" s="407"/>
      <c r="G119" s="406"/>
      <c r="H119" s="408"/>
      <c r="I119" s="399"/>
      <c r="J119" s="117"/>
    </row>
    <row r="120" spans="2:10" x14ac:dyDescent="0.25">
      <c r="B120" s="116"/>
      <c r="C120" s="404"/>
      <c r="D120" s="405"/>
      <c r="E120" s="406"/>
      <c r="F120" s="407"/>
      <c r="G120" s="406"/>
      <c r="H120" s="408"/>
      <c r="I120" s="399"/>
      <c r="J120" s="117"/>
    </row>
    <row r="121" spans="2:10" x14ac:dyDescent="0.25">
      <c r="B121" s="116"/>
      <c r="C121" s="404"/>
      <c r="D121" s="405"/>
      <c r="E121" s="406"/>
      <c r="F121" s="407"/>
      <c r="G121" s="406"/>
      <c r="H121" s="408"/>
      <c r="I121" s="399"/>
      <c r="J121" s="117"/>
    </row>
    <row r="122" spans="2:10" x14ac:dyDescent="0.25">
      <c r="B122" s="116"/>
      <c r="C122" s="404"/>
      <c r="D122" s="405"/>
      <c r="E122" s="406"/>
      <c r="F122" s="407"/>
      <c r="G122" s="406"/>
      <c r="H122" s="408"/>
      <c r="I122" s="399"/>
      <c r="J122" s="117"/>
    </row>
    <row r="123" spans="2:10" x14ac:dyDescent="0.25">
      <c r="B123" s="116"/>
      <c r="C123" s="404"/>
      <c r="D123" s="405"/>
      <c r="E123" s="406"/>
      <c r="F123" s="407"/>
      <c r="G123" s="406"/>
      <c r="H123" s="408"/>
      <c r="I123" s="399"/>
      <c r="J123" s="117"/>
    </row>
    <row r="124" spans="2:10" x14ac:dyDescent="0.25">
      <c r="B124" s="116"/>
      <c r="C124" s="404"/>
      <c r="D124" s="405"/>
      <c r="E124" s="406"/>
      <c r="F124" s="407"/>
      <c r="G124" s="406"/>
      <c r="H124" s="408"/>
      <c r="I124" s="399"/>
      <c r="J124" s="117"/>
    </row>
    <row r="125" spans="2:10" x14ac:dyDescent="0.25">
      <c r="B125" s="116"/>
      <c r="C125" s="404"/>
      <c r="D125" s="405"/>
      <c r="E125" s="406"/>
      <c r="F125" s="407"/>
      <c r="G125" s="406"/>
      <c r="H125" s="408"/>
      <c r="I125" s="399"/>
      <c r="J125" s="117"/>
    </row>
    <row r="126" spans="2:10" x14ac:dyDescent="0.25">
      <c r="B126" s="116"/>
      <c r="C126" s="404"/>
      <c r="D126" s="405"/>
      <c r="E126" s="406"/>
      <c r="F126" s="407"/>
      <c r="G126" s="406"/>
      <c r="H126" s="408"/>
      <c r="I126" s="399"/>
      <c r="J126" s="117"/>
    </row>
    <row r="127" spans="2:10" x14ac:dyDescent="0.25">
      <c r="B127" s="116"/>
      <c r="C127" s="404"/>
      <c r="D127" s="405"/>
      <c r="E127" s="406"/>
      <c r="F127" s="407"/>
      <c r="G127" s="406"/>
      <c r="H127" s="408"/>
      <c r="I127" s="399"/>
      <c r="J127" s="117"/>
    </row>
    <row r="128" spans="2:10" x14ac:dyDescent="0.25">
      <c r="B128" s="116"/>
      <c r="C128" s="404"/>
      <c r="D128" s="405"/>
      <c r="E128" s="406"/>
      <c r="F128" s="407"/>
      <c r="G128" s="406"/>
      <c r="H128" s="408"/>
      <c r="I128" s="399"/>
      <c r="J128" s="117"/>
    </row>
    <row r="129" spans="2:10" x14ac:dyDescent="0.25">
      <c r="B129" s="116"/>
      <c r="C129" s="404"/>
      <c r="D129" s="405"/>
      <c r="E129" s="406"/>
      <c r="F129" s="407"/>
      <c r="G129" s="406"/>
      <c r="H129" s="408"/>
      <c r="I129" s="399"/>
      <c r="J129" s="117"/>
    </row>
    <row r="130" spans="2:10" x14ac:dyDescent="0.25">
      <c r="B130" s="116"/>
      <c r="C130" s="404"/>
      <c r="D130" s="405"/>
      <c r="E130" s="406"/>
      <c r="F130" s="407"/>
      <c r="G130" s="406"/>
      <c r="H130" s="408"/>
      <c r="I130" s="399"/>
      <c r="J130" s="117"/>
    </row>
    <row r="131" spans="2:10" x14ac:dyDescent="0.25">
      <c r="B131" s="116"/>
      <c r="C131" s="404"/>
      <c r="D131" s="405"/>
      <c r="E131" s="406"/>
      <c r="F131" s="407"/>
      <c r="G131" s="406"/>
      <c r="H131" s="408"/>
      <c r="I131" s="399"/>
      <c r="J131" s="117"/>
    </row>
    <row r="132" spans="2:10" x14ac:dyDescent="0.25">
      <c r="B132" s="116"/>
      <c r="C132" s="404"/>
      <c r="D132" s="405"/>
      <c r="E132" s="406"/>
      <c r="F132" s="407"/>
      <c r="G132" s="406"/>
      <c r="H132" s="408"/>
      <c r="I132" s="399"/>
      <c r="J132" s="117"/>
    </row>
    <row r="133" spans="2:10" x14ac:dyDescent="0.25">
      <c r="B133" s="116"/>
      <c r="C133" s="404"/>
      <c r="D133" s="405"/>
      <c r="E133" s="406"/>
      <c r="F133" s="407"/>
      <c r="G133" s="406"/>
      <c r="H133" s="408"/>
      <c r="I133" s="399"/>
      <c r="J133" s="117"/>
    </row>
    <row r="134" spans="2:10" x14ac:dyDescent="0.25">
      <c r="B134" s="116"/>
      <c r="C134" s="404"/>
      <c r="D134" s="405"/>
      <c r="E134" s="406"/>
      <c r="F134" s="407"/>
      <c r="G134" s="406"/>
      <c r="H134" s="408"/>
      <c r="I134" s="399"/>
      <c r="J134" s="117"/>
    </row>
    <row r="135" spans="2:10" x14ac:dyDescent="0.25">
      <c r="B135" s="116"/>
      <c r="C135" s="404"/>
      <c r="D135" s="405"/>
      <c r="E135" s="406"/>
      <c r="F135" s="407"/>
      <c r="G135" s="406"/>
      <c r="H135" s="408"/>
      <c r="I135" s="399"/>
      <c r="J135" s="117"/>
    </row>
    <row r="136" spans="2:10" x14ac:dyDescent="0.25">
      <c r="B136" s="116"/>
      <c r="C136" s="404"/>
      <c r="D136" s="405"/>
      <c r="E136" s="406"/>
      <c r="F136" s="407"/>
      <c r="G136" s="406"/>
      <c r="H136" s="408"/>
      <c r="I136" s="399"/>
      <c r="J136" s="117"/>
    </row>
    <row r="137" spans="2:10" x14ac:dyDescent="0.25">
      <c r="B137" s="116"/>
      <c r="C137" s="404"/>
      <c r="D137" s="405"/>
      <c r="E137" s="406"/>
      <c r="F137" s="407"/>
      <c r="G137" s="406"/>
      <c r="H137" s="408"/>
      <c r="I137" s="399"/>
      <c r="J137" s="117"/>
    </row>
    <row r="138" spans="2:10" x14ac:dyDescent="0.25">
      <c r="B138" s="116"/>
      <c r="C138" s="404"/>
      <c r="D138" s="405"/>
      <c r="E138" s="406"/>
      <c r="F138" s="407"/>
      <c r="G138" s="406"/>
      <c r="H138" s="408"/>
      <c r="I138" s="399"/>
      <c r="J138" s="117"/>
    </row>
    <row r="139" spans="2:10" x14ac:dyDescent="0.25">
      <c r="B139" s="116"/>
      <c r="C139" s="404"/>
      <c r="D139" s="405"/>
      <c r="E139" s="406"/>
      <c r="F139" s="407"/>
      <c r="G139" s="406"/>
      <c r="H139" s="408"/>
      <c r="I139" s="399"/>
      <c r="J139" s="117"/>
    </row>
    <row r="140" spans="2:10" x14ac:dyDescent="0.25">
      <c r="B140" s="116"/>
      <c r="C140" s="404"/>
      <c r="D140" s="405"/>
      <c r="E140" s="406"/>
      <c r="F140" s="407"/>
      <c r="G140" s="406"/>
      <c r="H140" s="408"/>
      <c r="I140" s="399"/>
      <c r="J140" s="117"/>
    </row>
    <row r="141" spans="2:10" x14ac:dyDescent="0.25">
      <c r="B141" s="116"/>
      <c r="C141" s="404"/>
      <c r="D141" s="405"/>
      <c r="E141" s="406"/>
      <c r="F141" s="407"/>
      <c r="G141" s="406"/>
      <c r="H141" s="408"/>
      <c r="I141" s="399"/>
      <c r="J141" s="117"/>
    </row>
    <row r="142" spans="2:10" x14ac:dyDescent="0.25">
      <c r="B142" s="116"/>
      <c r="C142" s="404"/>
      <c r="D142" s="405"/>
      <c r="E142" s="406"/>
      <c r="F142" s="407"/>
      <c r="G142" s="406"/>
      <c r="H142" s="408"/>
      <c r="I142" s="399"/>
      <c r="J142" s="117"/>
    </row>
    <row r="143" spans="2:10" x14ac:dyDescent="0.25">
      <c r="B143" s="116"/>
      <c r="C143" s="404"/>
      <c r="D143" s="405"/>
      <c r="E143" s="406"/>
      <c r="F143" s="407"/>
      <c r="G143" s="406"/>
      <c r="H143" s="408"/>
      <c r="I143" s="399"/>
      <c r="J143" s="117"/>
    </row>
    <row r="144" spans="2:10" x14ac:dyDescent="0.25">
      <c r="B144" s="116"/>
      <c r="C144" s="404"/>
      <c r="D144" s="405"/>
      <c r="E144" s="406"/>
      <c r="F144" s="407"/>
      <c r="G144" s="406"/>
      <c r="H144" s="408"/>
      <c r="I144" s="399"/>
      <c r="J144" s="117"/>
    </row>
    <row r="145" spans="2:10" x14ac:dyDescent="0.25">
      <c r="B145" s="116"/>
      <c r="C145" s="404"/>
      <c r="D145" s="405"/>
      <c r="E145" s="406"/>
      <c r="F145" s="407"/>
      <c r="G145" s="406"/>
      <c r="H145" s="408"/>
      <c r="I145" s="399"/>
      <c r="J145" s="117"/>
    </row>
    <row r="146" spans="2:10" x14ac:dyDescent="0.25">
      <c r="B146" s="116"/>
      <c r="C146" s="404"/>
      <c r="D146" s="405"/>
      <c r="E146" s="406"/>
      <c r="F146" s="407"/>
      <c r="G146" s="406"/>
      <c r="H146" s="408"/>
      <c r="I146" s="399"/>
      <c r="J146" s="117"/>
    </row>
    <row r="147" spans="2:10" x14ac:dyDescent="0.25">
      <c r="B147" s="116"/>
      <c r="C147" s="404"/>
      <c r="D147" s="405"/>
      <c r="E147" s="406"/>
      <c r="F147" s="407"/>
      <c r="G147" s="406"/>
      <c r="H147" s="408"/>
      <c r="I147" s="399"/>
      <c r="J147" s="117"/>
    </row>
    <row r="148" spans="2:10" x14ac:dyDescent="0.25">
      <c r="B148" s="116"/>
      <c r="C148" s="404"/>
      <c r="D148" s="405"/>
      <c r="E148" s="406"/>
      <c r="F148" s="407"/>
      <c r="G148" s="406"/>
      <c r="H148" s="408"/>
      <c r="I148" s="399"/>
      <c r="J148" s="117"/>
    </row>
    <row r="149" spans="2:10" x14ac:dyDescent="0.25">
      <c r="B149" s="116"/>
      <c r="C149" s="404"/>
      <c r="D149" s="405"/>
      <c r="E149" s="406"/>
      <c r="F149" s="407"/>
      <c r="G149" s="406"/>
      <c r="H149" s="408"/>
      <c r="I149" s="399"/>
      <c r="J149" s="117"/>
    </row>
    <row r="150" spans="2:10" x14ac:dyDescent="0.25">
      <c r="B150" s="116"/>
      <c r="C150" s="404"/>
      <c r="D150" s="405"/>
      <c r="E150" s="406"/>
      <c r="F150" s="407"/>
      <c r="G150" s="406"/>
      <c r="H150" s="408"/>
      <c r="I150" s="399"/>
      <c r="J150" s="117"/>
    </row>
    <row r="151" spans="2:10" x14ac:dyDescent="0.25">
      <c r="B151" s="116"/>
      <c r="C151" s="404"/>
      <c r="D151" s="405"/>
      <c r="E151" s="406"/>
      <c r="F151" s="407"/>
      <c r="G151" s="406"/>
      <c r="H151" s="408"/>
      <c r="I151" s="399"/>
      <c r="J151" s="117"/>
    </row>
    <row r="152" spans="2:10" x14ac:dyDescent="0.25">
      <c r="B152" s="116"/>
      <c r="C152" s="404"/>
      <c r="D152" s="405"/>
      <c r="E152" s="406"/>
      <c r="F152" s="407"/>
      <c r="G152" s="406"/>
      <c r="H152" s="408"/>
      <c r="I152" s="399"/>
      <c r="J152" s="117"/>
    </row>
    <row r="153" spans="2:10" x14ac:dyDescent="0.25">
      <c r="B153" s="116"/>
      <c r="C153" s="404"/>
      <c r="D153" s="405"/>
      <c r="E153" s="406"/>
      <c r="F153" s="407"/>
      <c r="G153" s="406"/>
      <c r="H153" s="408"/>
      <c r="I153" s="399"/>
      <c r="J153" s="117"/>
    </row>
    <row r="154" spans="2:10" x14ac:dyDescent="0.25">
      <c r="B154" s="116"/>
      <c r="C154" s="404"/>
      <c r="D154" s="405"/>
      <c r="E154" s="406"/>
      <c r="F154" s="407"/>
      <c r="G154" s="406"/>
      <c r="H154" s="408"/>
      <c r="I154" s="399"/>
      <c r="J154" s="117"/>
    </row>
    <row r="155" spans="2:10" x14ac:dyDescent="0.25">
      <c r="B155" s="116"/>
      <c r="C155" s="404"/>
      <c r="D155" s="405"/>
      <c r="E155" s="406"/>
      <c r="F155" s="407"/>
      <c r="G155" s="406"/>
      <c r="H155" s="408"/>
      <c r="I155" s="399"/>
      <c r="J155" s="117"/>
    </row>
    <row r="156" spans="2:10" x14ac:dyDescent="0.25">
      <c r="B156" s="116"/>
      <c r="C156" s="404"/>
      <c r="D156" s="405"/>
      <c r="E156" s="406"/>
      <c r="F156" s="407"/>
      <c r="G156" s="406"/>
      <c r="H156" s="408"/>
      <c r="I156" s="399"/>
      <c r="J156" s="117"/>
    </row>
    <row r="157" spans="2:10" x14ac:dyDescent="0.25">
      <c r="B157" s="116"/>
      <c r="C157" s="404"/>
      <c r="D157" s="405"/>
      <c r="E157" s="406"/>
      <c r="F157" s="407"/>
      <c r="G157" s="406"/>
      <c r="H157" s="408"/>
      <c r="I157" s="399"/>
      <c r="J157" s="117"/>
    </row>
    <row r="158" spans="2:10" x14ac:dyDescent="0.25">
      <c r="B158" s="116"/>
      <c r="C158" s="404"/>
      <c r="D158" s="405"/>
      <c r="E158" s="406"/>
      <c r="F158" s="407"/>
      <c r="G158" s="406"/>
      <c r="H158" s="408"/>
      <c r="I158" s="399"/>
      <c r="J158" s="117"/>
    </row>
    <row r="159" spans="2:10" x14ac:dyDescent="0.25">
      <c r="B159" s="116"/>
      <c r="C159" s="404"/>
      <c r="D159" s="405"/>
      <c r="E159" s="406"/>
      <c r="F159" s="407"/>
      <c r="G159" s="406"/>
      <c r="H159" s="408"/>
      <c r="I159" s="399"/>
      <c r="J159" s="117"/>
    </row>
    <row r="160" spans="2:10" x14ac:dyDescent="0.25">
      <c r="B160" s="116"/>
      <c r="C160" s="404"/>
      <c r="D160" s="405"/>
      <c r="E160" s="406"/>
      <c r="F160" s="407"/>
      <c r="G160" s="406"/>
      <c r="H160" s="408"/>
      <c r="I160" s="399"/>
      <c r="J160" s="117"/>
    </row>
    <row r="161" spans="2:10" x14ac:dyDescent="0.25">
      <c r="B161" s="116"/>
      <c r="C161" s="404"/>
      <c r="D161" s="405"/>
      <c r="E161" s="406"/>
      <c r="F161" s="407"/>
      <c r="G161" s="406"/>
      <c r="H161" s="408"/>
      <c r="I161" s="399"/>
      <c r="J161" s="117"/>
    </row>
    <row r="162" spans="2:10" x14ac:dyDescent="0.25">
      <c r="B162" s="116"/>
      <c r="C162" s="404"/>
      <c r="D162" s="405"/>
      <c r="E162" s="406"/>
      <c r="F162" s="407"/>
      <c r="G162" s="406"/>
      <c r="H162" s="408"/>
      <c r="I162" s="399"/>
      <c r="J162" s="117"/>
    </row>
    <row r="163" spans="2:10" x14ac:dyDescent="0.25">
      <c r="B163" s="116"/>
      <c r="C163" s="404"/>
      <c r="D163" s="405"/>
      <c r="E163" s="406"/>
      <c r="F163" s="407"/>
      <c r="G163" s="406"/>
      <c r="H163" s="408"/>
      <c r="I163" s="399"/>
      <c r="J163" s="117"/>
    </row>
    <row r="164" spans="2:10" x14ac:dyDescent="0.25">
      <c r="B164" s="116"/>
      <c r="C164" s="404"/>
      <c r="D164" s="405"/>
      <c r="E164" s="406"/>
      <c r="F164" s="407"/>
      <c r="G164" s="406"/>
      <c r="H164" s="408"/>
      <c r="I164" s="399"/>
      <c r="J164" s="117"/>
    </row>
    <row r="165" spans="2:10" x14ac:dyDescent="0.25">
      <c r="B165" s="116"/>
      <c r="C165" s="404"/>
      <c r="D165" s="405"/>
      <c r="E165" s="406"/>
      <c r="F165" s="407"/>
      <c r="G165" s="406"/>
      <c r="H165" s="408"/>
      <c r="I165" s="399"/>
      <c r="J165" s="117"/>
    </row>
    <row r="166" spans="2:10" x14ac:dyDescent="0.25">
      <c r="B166" s="116"/>
      <c r="C166" s="404"/>
      <c r="D166" s="405"/>
      <c r="E166" s="406"/>
      <c r="F166" s="407"/>
      <c r="G166" s="406"/>
      <c r="H166" s="408"/>
      <c r="I166" s="399"/>
      <c r="J166" s="117"/>
    </row>
    <row r="167" spans="2:10" x14ac:dyDescent="0.25">
      <c r="B167" s="116"/>
      <c r="C167" s="404"/>
      <c r="D167" s="405"/>
      <c r="E167" s="406"/>
      <c r="F167" s="407"/>
      <c r="G167" s="406"/>
      <c r="H167" s="408"/>
      <c r="I167" s="399"/>
      <c r="J167" s="117"/>
    </row>
    <row r="168" spans="2:10" x14ac:dyDescent="0.25">
      <c r="B168" s="116"/>
      <c r="C168" s="404"/>
      <c r="D168" s="405"/>
      <c r="E168" s="406"/>
      <c r="F168" s="407"/>
      <c r="G168" s="406"/>
      <c r="H168" s="408"/>
      <c r="I168" s="399"/>
      <c r="J168" s="117"/>
    </row>
    <row r="169" spans="2:10" x14ac:dyDescent="0.25">
      <c r="B169" s="116"/>
      <c r="C169" s="404"/>
      <c r="D169" s="405"/>
      <c r="E169" s="406"/>
      <c r="F169" s="407"/>
      <c r="G169" s="406"/>
      <c r="H169" s="408"/>
      <c r="I169" s="399"/>
      <c r="J169" s="117"/>
    </row>
    <row r="170" spans="2:10" x14ac:dyDescent="0.25">
      <c r="B170" s="116"/>
      <c r="C170" s="404"/>
      <c r="D170" s="405"/>
      <c r="E170" s="406"/>
      <c r="F170" s="407"/>
      <c r="G170" s="406"/>
      <c r="H170" s="408"/>
      <c r="I170" s="399"/>
      <c r="J170" s="117"/>
    </row>
    <row r="171" spans="2:10" x14ac:dyDescent="0.25">
      <c r="B171" s="116"/>
      <c r="C171" s="404"/>
      <c r="D171" s="405"/>
      <c r="E171" s="406"/>
      <c r="F171" s="407"/>
      <c r="G171" s="406"/>
      <c r="H171" s="408"/>
      <c r="I171" s="399"/>
      <c r="J171" s="117"/>
    </row>
    <row r="172" spans="2:10" x14ac:dyDescent="0.25">
      <c r="B172" s="116"/>
      <c r="C172" s="404"/>
      <c r="D172" s="405"/>
      <c r="E172" s="406"/>
      <c r="F172" s="407"/>
      <c r="G172" s="406"/>
      <c r="H172" s="408"/>
      <c r="I172" s="399"/>
      <c r="J172" s="117"/>
    </row>
    <row r="173" spans="2:10" x14ac:dyDescent="0.25">
      <c r="B173" s="116"/>
      <c r="C173" s="404"/>
      <c r="D173" s="405"/>
      <c r="E173" s="406"/>
      <c r="F173" s="407"/>
      <c r="G173" s="406"/>
      <c r="H173" s="408"/>
      <c r="I173" s="399"/>
      <c r="J173" s="117"/>
    </row>
    <row r="174" spans="2:10" x14ac:dyDescent="0.25">
      <c r="B174" s="116"/>
      <c r="C174" s="404"/>
      <c r="D174" s="405"/>
      <c r="E174" s="406"/>
      <c r="F174" s="407"/>
      <c r="G174" s="406"/>
      <c r="H174" s="408"/>
      <c r="I174" s="399"/>
      <c r="J174" s="117"/>
    </row>
    <row r="175" spans="2:10" x14ac:dyDescent="0.25">
      <c r="B175" s="116"/>
      <c r="C175" s="404"/>
      <c r="D175" s="405"/>
      <c r="E175" s="406"/>
      <c r="F175" s="407"/>
      <c r="G175" s="406"/>
      <c r="H175" s="408"/>
      <c r="I175" s="399"/>
      <c r="J175" s="117"/>
    </row>
    <row r="176" spans="2:10" x14ac:dyDescent="0.25">
      <c r="B176" s="116"/>
      <c r="C176" s="404"/>
      <c r="D176" s="405"/>
      <c r="E176" s="406"/>
      <c r="F176" s="407"/>
      <c r="G176" s="406"/>
      <c r="H176" s="408"/>
      <c r="I176" s="399"/>
      <c r="J176" s="117"/>
    </row>
    <row r="177" spans="2:10" x14ac:dyDescent="0.25">
      <c r="B177" s="116"/>
      <c r="C177" s="404"/>
      <c r="D177" s="405"/>
      <c r="E177" s="406"/>
      <c r="F177" s="407"/>
      <c r="G177" s="406"/>
      <c r="H177" s="408"/>
      <c r="I177" s="399"/>
      <c r="J177" s="117"/>
    </row>
    <row r="178" spans="2:10" x14ac:dyDescent="0.25">
      <c r="B178" s="116"/>
      <c r="C178" s="404"/>
      <c r="D178" s="405"/>
      <c r="E178" s="406"/>
      <c r="F178" s="407"/>
      <c r="G178" s="406"/>
      <c r="H178" s="408"/>
      <c r="I178" s="399"/>
      <c r="J178" s="117"/>
    </row>
    <row r="179" spans="2:10" x14ac:dyDescent="0.25">
      <c r="B179" s="116"/>
      <c r="C179" s="404"/>
      <c r="D179" s="405"/>
      <c r="E179" s="406"/>
      <c r="F179" s="407"/>
      <c r="G179" s="406"/>
      <c r="H179" s="408"/>
      <c r="I179" s="399"/>
      <c r="J179" s="117"/>
    </row>
    <row r="180" spans="2:10" x14ac:dyDescent="0.25">
      <c r="B180" s="116"/>
      <c r="C180" s="404"/>
      <c r="D180" s="405"/>
      <c r="E180" s="406"/>
      <c r="F180" s="407"/>
      <c r="G180" s="406"/>
      <c r="H180" s="408"/>
      <c r="I180" s="399"/>
      <c r="J180" s="117"/>
    </row>
    <row r="181" spans="2:10" x14ac:dyDescent="0.25">
      <c r="B181" s="116"/>
      <c r="C181" s="404"/>
      <c r="D181" s="405"/>
      <c r="E181" s="406"/>
      <c r="F181" s="407"/>
      <c r="G181" s="406"/>
      <c r="H181" s="408"/>
      <c r="I181" s="399"/>
      <c r="J181" s="117"/>
    </row>
    <row r="182" spans="2:10" x14ac:dyDescent="0.25">
      <c r="B182" s="116"/>
      <c r="C182" s="404"/>
      <c r="D182" s="405"/>
      <c r="E182" s="406"/>
      <c r="F182" s="407"/>
      <c r="G182" s="406"/>
      <c r="H182" s="408"/>
      <c r="I182" s="399"/>
      <c r="J182" s="117"/>
    </row>
    <row r="183" spans="2:10" x14ac:dyDescent="0.25">
      <c r="B183" s="116"/>
      <c r="C183" s="404"/>
      <c r="D183" s="405"/>
      <c r="E183" s="406"/>
      <c r="F183" s="407"/>
      <c r="G183" s="406"/>
      <c r="H183" s="408"/>
      <c r="I183" s="399"/>
      <c r="J183" s="117"/>
    </row>
    <row r="184" spans="2:10" x14ac:dyDescent="0.25">
      <c r="B184" s="116"/>
      <c r="C184" s="404"/>
      <c r="D184" s="405"/>
      <c r="E184" s="406"/>
      <c r="F184" s="407"/>
      <c r="G184" s="406"/>
      <c r="H184" s="408"/>
      <c r="I184" s="399"/>
      <c r="J184" s="117"/>
    </row>
    <row r="185" spans="2:10" x14ac:dyDescent="0.25">
      <c r="B185" s="116"/>
      <c r="C185" s="404"/>
      <c r="D185" s="405"/>
      <c r="E185" s="406"/>
      <c r="F185" s="407"/>
      <c r="G185" s="406"/>
      <c r="H185" s="408"/>
      <c r="I185" s="399"/>
      <c r="J185" s="117"/>
    </row>
    <row r="186" spans="2:10" x14ac:dyDescent="0.25">
      <c r="B186" s="116"/>
      <c r="C186" s="404"/>
      <c r="D186" s="405"/>
      <c r="E186" s="406"/>
      <c r="F186" s="407"/>
      <c r="G186" s="406"/>
      <c r="H186" s="408"/>
      <c r="I186" s="399"/>
      <c r="J186" s="117"/>
    </row>
    <row r="187" spans="2:10" x14ac:dyDescent="0.25">
      <c r="B187" s="116"/>
      <c r="C187" s="404"/>
      <c r="D187" s="405"/>
      <c r="E187" s="406"/>
      <c r="F187" s="407"/>
      <c r="G187" s="406"/>
      <c r="H187" s="408"/>
      <c r="I187" s="399"/>
      <c r="J187" s="117"/>
    </row>
    <row r="188" spans="2:10" x14ac:dyDescent="0.25">
      <c r="B188" s="116"/>
      <c r="C188" s="404"/>
      <c r="D188" s="405"/>
      <c r="E188" s="406"/>
      <c r="F188" s="407"/>
      <c r="G188" s="406"/>
      <c r="H188" s="408"/>
      <c r="I188" s="399"/>
      <c r="J188" s="117"/>
    </row>
    <row r="189" spans="2:10" x14ac:dyDescent="0.25">
      <c r="B189" s="116"/>
      <c r="C189" s="404"/>
      <c r="D189" s="405"/>
      <c r="E189" s="406"/>
      <c r="F189" s="407"/>
      <c r="G189" s="406"/>
      <c r="H189" s="408"/>
      <c r="I189" s="399"/>
      <c r="J189" s="117"/>
    </row>
    <row r="190" spans="2:10" x14ac:dyDescent="0.25">
      <c r="B190" s="116"/>
      <c r="C190" s="404"/>
      <c r="D190" s="405"/>
      <c r="E190" s="406"/>
      <c r="F190" s="407"/>
      <c r="G190" s="406"/>
      <c r="H190" s="408"/>
      <c r="I190" s="399"/>
      <c r="J190" s="117"/>
    </row>
    <row r="191" spans="2:10" x14ac:dyDescent="0.25">
      <c r="B191" s="116"/>
      <c r="C191" s="404"/>
      <c r="D191" s="405"/>
      <c r="E191" s="406"/>
      <c r="F191" s="407"/>
      <c r="G191" s="406"/>
      <c r="H191" s="408"/>
      <c r="I191" s="399"/>
      <c r="J191" s="117"/>
    </row>
    <row r="192" spans="2:10" x14ac:dyDescent="0.25">
      <c r="B192" s="116"/>
      <c r="C192" s="404"/>
      <c r="D192" s="405"/>
      <c r="E192" s="406"/>
      <c r="F192" s="407"/>
      <c r="G192" s="406"/>
      <c r="H192" s="408"/>
      <c r="I192" s="399"/>
      <c r="J192" s="117"/>
    </row>
    <row r="193" spans="2:10" x14ac:dyDescent="0.25">
      <c r="B193" s="116"/>
      <c r="C193" s="404"/>
      <c r="D193" s="405"/>
      <c r="E193" s="406"/>
      <c r="F193" s="407"/>
      <c r="G193" s="406"/>
      <c r="H193" s="408"/>
      <c r="I193" s="399"/>
      <c r="J193" s="117"/>
    </row>
    <row r="194" spans="2:10" x14ac:dyDescent="0.25">
      <c r="B194" s="116"/>
      <c r="C194" s="404"/>
      <c r="D194" s="405"/>
      <c r="E194" s="406"/>
      <c r="F194" s="407"/>
      <c r="G194" s="406"/>
      <c r="H194" s="408"/>
      <c r="I194" s="399"/>
      <c r="J194" s="117"/>
    </row>
    <row r="195" spans="2:10" x14ac:dyDescent="0.25">
      <c r="B195" s="116"/>
      <c r="C195" s="404"/>
      <c r="D195" s="405"/>
      <c r="E195" s="406"/>
      <c r="F195" s="407"/>
      <c r="G195" s="406"/>
      <c r="H195" s="408"/>
      <c r="I195" s="399"/>
      <c r="J195" s="117"/>
    </row>
    <row r="196" spans="2:10" x14ac:dyDescent="0.25">
      <c r="B196" s="116"/>
      <c r="C196" s="404"/>
      <c r="D196" s="405"/>
      <c r="E196" s="406"/>
      <c r="F196" s="407"/>
      <c r="G196" s="406"/>
      <c r="H196" s="408"/>
      <c r="I196" s="399"/>
      <c r="J196" s="117"/>
    </row>
    <row r="197" spans="2:10" x14ac:dyDescent="0.25">
      <c r="B197" s="116"/>
      <c r="C197" s="404"/>
      <c r="D197" s="405"/>
      <c r="E197" s="406"/>
      <c r="F197" s="407"/>
      <c r="G197" s="406"/>
      <c r="H197" s="408"/>
      <c r="I197" s="399"/>
      <c r="J197" s="117"/>
    </row>
    <row r="198" spans="2:10" x14ac:dyDescent="0.25">
      <c r="B198" s="116"/>
      <c r="C198" s="404"/>
      <c r="D198" s="405"/>
      <c r="E198" s="406"/>
      <c r="F198" s="407"/>
      <c r="G198" s="406"/>
      <c r="H198" s="408"/>
      <c r="I198" s="399"/>
      <c r="J198" s="117"/>
    </row>
    <row r="199" spans="2:10" x14ac:dyDescent="0.25">
      <c r="B199" s="116"/>
      <c r="C199" s="404"/>
      <c r="D199" s="405"/>
      <c r="E199" s="406"/>
      <c r="F199" s="407"/>
      <c r="G199" s="406"/>
      <c r="H199" s="408"/>
      <c r="I199" s="399"/>
      <c r="J199" s="117"/>
    </row>
    <row r="200" spans="2:10" x14ac:dyDescent="0.25">
      <c r="B200" s="116"/>
      <c r="C200" s="404"/>
      <c r="D200" s="405"/>
      <c r="E200" s="406"/>
      <c r="F200" s="407"/>
      <c r="G200" s="406"/>
      <c r="H200" s="408"/>
      <c r="I200" s="399"/>
      <c r="J200" s="117"/>
    </row>
    <row r="201" spans="2:10" x14ac:dyDescent="0.25">
      <c r="B201" s="116"/>
      <c r="C201" s="404"/>
      <c r="D201" s="405"/>
      <c r="E201" s="406"/>
      <c r="F201" s="407"/>
      <c r="G201" s="406"/>
      <c r="H201" s="408"/>
      <c r="I201" s="399"/>
      <c r="J201" s="117"/>
    </row>
    <row r="202" spans="2:10" x14ac:dyDescent="0.25">
      <c r="B202" s="116"/>
      <c r="C202" s="404"/>
      <c r="D202" s="405"/>
      <c r="E202" s="409"/>
      <c r="F202" s="407"/>
      <c r="G202" s="406"/>
      <c r="H202" s="408"/>
      <c r="I202" s="399"/>
      <c r="J202" s="117"/>
    </row>
    <row r="203" spans="2:10" x14ac:dyDescent="0.25">
      <c r="B203" s="116"/>
      <c r="C203" s="404"/>
      <c r="D203" s="405"/>
      <c r="E203" s="406"/>
      <c r="F203" s="407"/>
      <c r="G203" s="406"/>
      <c r="H203" s="408"/>
      <c r="I203" s="399"/>
      <c r="J203" s="117"/>
    </row>
    <row r="204" spans="2:10" x14ac:dyDescent="0.25">
      <c r="B204" s="116"/>
      <c r="C204" s="404"/>
      <c r="D204" s="405"/>
      <c r="E204" s="406"/>
      <c r="F204" s="407"/>
      <c r="G204" s="406"/>
      <c r="H204" s="408"/>
      <c r="I204" s="399"/>
      <c r="J204" s="117"/>
    </row>
    <row r="205" spans="2:10" x14ac:dyDescent="0.25">
      <c r="B205" s="116"/>
      <c r="C205" s="404"/>
      <c r="D205" s="405"/>
      <c r="E205" s="406"/>
      <c r="F205" s="407"/>
      <c r="G205" s="406"/>
      <c r="H205" s="408"/>
      <c r="I205" s="399"/>
      <c r="J205" s="117"/>
    </row>
    <row r="206" spans="2:10" x14ac:dyDescent="0.25">
      <c r="B206" s="116"/>
      <c r="C206" s="404"/>
      <c r="D206" s="405"/>
      <c r="E206" s="406"/>
      <c r="F206" s="407"/>
      <c r="G206" s="406"/>
      <c r="H206" s="408"/>
      <c r="I206" s="399"/>
      <c r="J206" s="117"/>
    </row>
    <row r="207" spans="2:10" x14ac:dyDescent="0.25">
      <c r="B207" s="116"/>
      <c r="C207" s="404"/>
      <c r="D207" s="405"/>
      <c r="E207" s="410"/>
      <c r="F207" s="411"/>
      <c r="G207" s="410"/>
      <c r="H207" s="412"/>
      <c r="I207" s="399"/>
      <c r="J207" s="117"/>
    </row>
    <row r="208" spans="2:10" ht="13.5" customHeight="1" x14ac:dyDescent="0.25">
      <c r="B208" s="107"/>
      <c r="C208" s="234"/>
      <c r="D208" s="108"/>
      <c r="E208" s="108"/>
      <c r="F208" s="108"/>
      <c r="G208" s="108"/>
      <c r="H208" s="108"/>
      <c r="I208" s="108"/>
      <c r="J208" s="109"/>
    </row>
    <row r="209" spans="2:10" ht="7.15" customHeight="1" x14ac:dyDescent="0.25"/>
    <row r="210" spans="2:10" s="114" customFormat="1" ht="22.9" customHeight="1" x14ac:dyDescent="0.25">
      <c r="B210" s="111"/>
      <c r="C210" s="111"/>
      <c r="D210" s="112"/>
      <c r="E210" s="113"/>
      <c r="F210" s="113"/>
      <c r="G210" s="113"/>
      <c r="H210" s="111"/>
      <c r="I210" s="111"/>
      <c r="J210" s="111"/>
    </row>
  </sheetData>
  <sheetProtection algorithmName="SHA-512" hashValue="ydkxvHGlFEiEss7c2lgIvwmUnO8v2rdsXjF+WWpG/3LUgf+m5GBlH7GBG4S5g6PKFrybMSQb/24e08k7YgyKlA==" saltValue="brRNb65Jqyzqv063BkaAHQ==" spinCount="100000" sheet="1" objects="1" scenarios="1"/>
  <phoneticPr fontId="25" type="noConversion"/>
  <dataValidations count="4">
    <dataValidation type="custom" allowBlank="1" showErrorMessage="1" errorTitle="Warning!" error="Material SKU should be unique!" sqref="C8:C27" xr:uid="{4B55B71A-5150-4D11-B248-56708102BE59}">
      <formula1>IF(COUNTIF($C$8:$C8,$C8)&gt;1,FALSE,TRUE)</formula1>
    </dataValidation>
    <dataValidation type="list" allowBlank="1" showInputMessage="1" showErrorMessage="1" sqref="E8:E27" xr:uid="{03BC8CC6-973A-44D8-9337-DA87AEF9E8C1}">
      <formula1>suppliers_dd</formula1>
    </dataValidation>
    <dataValidation type="list" allowBlank="1" showInputMessage="1" showErrorMessage="1" sqref="G8:G27" xr:uid="{C94EBEFD-C8A9-4CD9-AB2D-28CBF33983C3}">
      <formula1>units_dd</formula1>
    </dataValidation>
    <dataValidation type="decimal" operator="greaterThanOrEqual" allowBlank="1" showErrorMessage="1" errorTitle="Warning" error="Please enter a number." sqref="H8:H27 F8:F27" xr:uid="{2B4F527A-7189-487E-8B5E-49B1630CF0E4}">
      <formula1>0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2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D3F97-4E73-46B4-B249-7BDD572603AC}">
  <sheetPr codeName="Sheet3">
    <pageSetUpPr autoPageBreaks="0" fitToPage="1"/>
  </sheetPr>
  <dimension ref="A1:J147"/>
  <sheetViews>
    <sheetView showGridLines="0" showRowColHeaders="0" zoomScaleNormal="100" zoomScaleSheetLayoutView="85" workbookViewId="0">
      <pane ySplit="11" topLeftCell="A12" activePane="bottomLeft" state="frozen"/>
      <selection pane="bottomLeft" activeCell="A12" sqref="A12:A34"/>
    </sheetView>
  </sheetViews>
  <sheetFormatPr defaultColWidth="8.85546875" defaultRowHeight="15" x14ac:dyDescent="0.25"/>
  <cols>
    <col min="1" max="1" width="3.7109375" style="110" customWidth="1"/>
    <col min="2" max="2" width="2.7109375" style="110" customWidth="1"/>
    <col min="3" max="3" width="52.28515625" style="110" customWidth="1"/>
    <col min="4" max="7" width="25.7109375" style="110" customWidth="1"/>
    <col min="8" max="8" width="2.7109375" style="110" customWidth="1"/>
    <col min="9" max="9" width="1.7109375" style="110" customWidth="1"/>
    <col min="10" max="16384" width="8.85546875" style="110"/>
  </cols>
  <sheetData>
    <row r="1" spans="1:9" s="114" customFormat="1" ht="6.75" customHeight="1" x14ac:dyDescent="0.25">
      <c r="B1" s="119"/>
      <c r="C1" s="119"/>
      <c r="F1" s="120"/>
      <c r="G1" s="120"/>
    </row>
    <row r="2" spans="1:9" s="121" customFormat="1" ht="20.100000000000001" customHeight="1" x14ac:dyDescent="0.25">
      <c r="B2" s="122"/>
      <c r="C2" s="123" t="s">
        <v>247</v>
      </c>
      <c r="D2" s="124"/>
      <c r="E2" s="124"/>
      <c r="F2" s="125"/>
      <c r="G2" s="125"/>
      <c r="H2" s="125"/>
      <c r="I2" s="127"/>
    </row>
    <row r="3" spans="1:9" s="255" customFormat="1" ht="24" customHeight="1" x14ac:dyDescent="0.25">
      <c r="B3" s="256"/>
      <c r="C3" s="257" t="s">
        <v>66</v>
      </c>
      <c r="D3" s="265"/>
      <c r="E3" s="265"/>
      <c r="F3" s="258"/>
      <c r="G3" s="266"/>
      <c r="H3" s="258"/>
      <c r="I3" s="259"/>
    </row>
    <row r="4" spans="1:9" ht="3.75" customHeight="1" x14ac:dyDescent="0.25">
      <c r="A4" s="135"/>
      <c r="B4" s="135"/>
      <c r="C4" s="135"/>
      <c r="D4" s="135"/>
      <c r="E4" s="135"/>
      <c r="F4" s="135"/>
      <c r="G4" s="135"/>
      <c r="H4" s="135"/>
      <c r="I4" s="135"/>
    </row>
    <row r="5" spans="1:9" ht="9.9499999999999993" customHeight="1" x14ac:dyDescent="0.25">
      <c r="A5" s="135"/>
      <c r="B5" s="136"/>
      <c r="C5" s="141"/>
      <c r="D5" s="141"/>
      <c r="E5" s="141"/>
      <c r="F5" s="141"/>
      <c r="G5" s="141"/>
      <c r="H5" s="142"/>
      <c r="I5" s="135"/>
    </row>
    <row r="6" spans="1:9" ht="23.1" customHeight="1" x14ac:dyDescent="0.25">
      <c r="A6" s="135"/>
      <c r="B6" s="116"/>
      <c r="C6" s="154" t="s">
        <v>29</v>
      </c>
      <c r="D6" s="154" t="s">
        <v>70</v>
      </c>
      <c r="E6" s="154" t="s">
        <v>71</v>
      </c>
      <c r="F6" s="154" t="s">
        <v>246</v>
      </c>
      <c r="G6" s="154" t="s">
        <v>306</v>
      </c>
      <c r="H6" s="117"/>
      <c r="I6" s="135"/>
    </row>
    <row r="7" spans="1:9" ht="21" customHeight="1" x14ac:dyDescent="0.25">
      <c r="A7" s="135"/>
      <c r="B7" s="116"/>
      <c r="C7" s="372"/>
      <c r="D7" s="372"/>
      <c r="E7" s="151"/>
      <c r="F7" s="148"/>
      <c r="G7" s="148"/>
      <c r="H7" s="117"/>
      <c r="I7" s="135"/>
    </row>
    <row r="8" spans="1:9" ht="9.9499999999999993" customHeight="1" x14ac:dyDescent="0.25">
      <c r="A8" s="135"/>
      <c r="B8" s="107"/>
      <c r="C8" s="281"/>
      <c r="D8" s="108"/>
      <c r="E8" s="281"/>
      <c r="F8" s="284"/>
      <c r="G8" s="281"/>
      <c r="H8" s="109"/>
      <c r="I8" s="135"/>
    </row>
    <row r="9" spans="1:9" ht="9.9499999999999993" customHeight="1" x14ac:dyDescent="0.25">
      <c r="A9" s="135"/>
      <c r="C9" s="118"/>
      <c r="E9" s="118"/>
      <c r="F9" s="277"/>
      <c r="G9" s="118"/>
      <c r="I9" s="135"/>
    </row>
    <row r="10" spans="1:9" ht="24.95" customHeight="1" x14ac:dyDescent="0.25">
      <c r="A10" s="135"/>
      <c r="C10" s="118"/>
      <c r="E10" s="118"/>
      <c r="F10" s="277"/>
      <c r="G10" s="392" t="s">
        <v>288</v>
      </c>
      <c r="I10" s="135"/>
    </row>
    <row r="11" spans="1:9" ht="9.9499999999999993" customHeight="1" x14ac:dyDescent="0.25">
      <c r="A11" s="135"/>
      <c r="C11" s="278"/>
      <c r="D11" s="278"/>
      <c r="E11" s="278"/>
      <c r="F11" s="278"/>
      <c r="G11" s="278"/>
      <c r="I11" s="135"/>
    </row>
    <row r="12" spans="1:9" ht="9.9499999999999993" customHeight="1" x14ac:dyDescent="0.25">
      <c r="A12" s="431"/>
      <c r="C12" s="278"/>
      <c r="D12" s="278"/>
      <c r="E12" s="278"/>
      <c r="F12" s="278"/>
      <c r="G12" s="278"/>
      <c r="I12" s="135"/>
    </row>
    <row r="13" spans="1:9" ht="9.9499999999999993" customHeight="1" x14ac:dyDescent="0.25">
      <c r="A13" s="431"/>
      <c r="B13" s="136"/>
      <c r="C13" s="294"/>
      <c r="D13" s="141"/>
      <c r="E13" s="294"/>
      <c r="F13" s="295"/>
      <c r="G13" s="294"/>
      <c r="H13" s="142"/>
      <c r="I13" s="135"/>
    </row>
    <row r="14" spans="1:9" ht="21" customHeight="1" x14ac:dyDescent="0.25">
      <c r="A14" s="431"/>
      <c r="B14" s="116"/>
      <c r="C14" s="279"/>
      <c r="D14" s="156" t="s">
        <v>13</v>
      </c>
      <c r="E14" s="156" t="s">
        <v>12</v>
      </c>
      <c r="F14" s="280"/>
      <c r="G14" s="152" t="s">
        <v>291</v>
      </c>
      <c r="H14" s="117"/>
      <c r="I14" s="135"/>
    </row>
    <row r="15" spans="1:9" ht="21" customHeight="1" x14ac:dyDescent="0.25">
      <c r="A15" s="431"/>
      <c r="B15" s="116"/>
      <c r="C15" s="156" t="str">
        <f>"COGS " &amp; "(" &amp; currency &amp; "):"</f>
        <v>COGS ($):</v>
      </c>
      <c r="D15" s="303" t="str">
        <f>IFERROR(IF(OR(calculationtype=Calc!$C$15,calculationtype=""),INDEX(Calc!$R$5:$R$23,MATCH($C15,Calc!$Q$5:$Q$23,0)),IF(calculationtype=Calc!$C$16,INDEX(Calc!$V$5:$V$23,MATCH($C15,Calc!$Q$5:$Q$23,0)),INDEX(Calc!$Z$5:$Z$23,MATCH($C15,Calc!$Y$5:$Y$23,0)))),"")</f>
        <v/>
      </c>
      <c r="E15" s="303" t="str">
        <f>IFERROR(IF(OR(calculationtype=Calc!$C$15,calculationtype=""),INDEX(Calc!$S$5:$S$23,MATCH($C15,Calc!$Q$5:$Q$23,0)),IF(calculationtype=Calc!$C$16,INDEX(Calc!$W$5:$W$23,MATCH($C15,Calc!$U$5:$U$23,0)),INDEX(Calc!$AA$5:$AA$23,MATCH($C15,Calc!$Y$5:$Y$23,0)))),"")</f>
        <v/>
      </c>
      <c r="F15" s="155"/>
      <c r="G15" s="115"/>
      <c r="H15" s="117"/>
      <c r="I15" s="135"/>
    </row>
    <row r="16" spans="1:9" s="348" customFormat="1" ht="6" customHeight="1" x14ac:dyDescent="0.25">
      <c r="A16" s="431"/>
      <c r="B16" s="345"/>
      <c r="C16" s="346"/>
      <c r="D16" s="346"/>
      <c r="E16" s="346"/>
      <c r="F16" s="346"/>
      <c r="G16" s="346"/>
      <c r="H16" s="347"/>
    </row>
    <row r="17" spans="1:9" ht="21" customHeight="1" x14ac:dyDescent="0.25">
      <c r="A17" s="431"/>
      <c r="B17" s="116"/>
      <c r="C17" s="156" t="str">
        <f>IFERROR(IF(calculationtype=Calc!$C$17,Calc!$Y$7,IF(calculationtype=Calc!$C$16,Calc!$U$7,Calc!$Q$7)),"")</f>
        <v>Markup (%):</v>
      </c>
      <c r="D17" s="227"/>
      <c r="E17" s="218"/>
      <c r="F17" s="158"/>
      <c r="G17" s="115"/>
      <c r="H17" s="117"/>
      <c r="I17" s="135"/>
    </row>
    <row r="18" spans="1:9" ht="21" customHeight="1" x14ac:dyDescent="0.25">
      <c r="A18" s="431"/>
      <c r="B18" s="116"/>
      <c r="C18" s="156" t="str">
        <f>IFERROR(IF(LEN($C$17)&gt;0,IF(calculationtype=Calc!$C$17,Calc!$Y$8,IF(calculationtype=Calc!$C$16,Calc!$U$8,Calc!$Q$8)),""),"")</f>
        <v>Markup ($):</v>
      </c>
      <c r="D18" s="157" t="str">
        <f>IFERROR(IF(OR(calculationtype=Calc!$C$15,calculationtype=""),INDEX(Calc!$R$5:$R$23,MATCH($C18,Calc!$Q$5:$Q$23,0)),IF(calculationtype=Calc!$C$16,INDEX(Calc!$V$5:$V$23,MATCH($C18,Calc!$U$5:$U$23,0)),INDEX(Calc!$Z$5:$Z$23,MATCH($C18,Calc!$Y$5:$Y$23,0)))),"")</f>
        <v/>
      </c>
      <c r="E18" s="157" t="str">
        <f>IFERROR(IF(OR(calculationtype=Calc!$C$15,calculationtype=""),INDEX(Calc!$S$5:$S$23,MATCH($C18,Calc!$Q$5:$Q$23,0)),IF(calculationtype=Calc!$C$16,INDEX(Calc!$W$5:$W$23,MATCH($C18,Calc!$U$5:$U$23,0)),INDEX(Calc!$AA$5:$AA$23,MATCH($C18,Calc!$Y$5:$Y$23,0)))),"")</f>
        <v/>
      </c>
      <c r="F18" s="155"/>
      <c r="G18" s="115"/>
      <c r="H18" s="117"/>
      <c r="I18" s="135"/>
    </row>
    <row r="19" spans="1:9" ht="21" customHeight="1" x14ac:dyDescent="0.25">
      <c r="A19" s="431"/>
      <c r="B19" s="116"/>
      <c r="C19" s="253" t="str">
        <f>"Pre-Discount Price (" &amp; currency &amp; "):"</f>
        <v>Pre-Discount Price ($):</v>
      </c>
      <c r="D19" s="303" t="str">
        <f>IFERROR(IF(OR(calculationtype=Calc!$C$15,calculationtype=""),INDEX(Calc!$R$5:$R$23,MATCH($C19,Calc!$Q$5:$Q$23,0)),IF(calculationtype=Calc!$C$16,INDEX(Calc!$V$5:$V$23,MATCH($C19,Calc!$U$5:$U$23,0)),INDEX(Calc!$Z$5:$Z$23,MATCH($C19,Calc!$Y$5:$Y$23,0)))),"")</f>
        <v/>
      </c>
      <c r="E19" s="303" t="str">
        <f>IFERROR(IF(OR(calculationtype=Calc!$C$15,calculationtype=""),INDEX(Calc!$S$5:$S$23,MATCH($C19,Calc!$Q$5:$Q$23,0)),IF(calculationtype=Calc!$C$16,INDEX(Calc!$W$5:$W$23,MATCH($C19,Calc!$U$5:$U$23,0)),INDEX(Calc!$AA$5:$AA$23,MATCH($C19,Calc!$Y$5:$Y$23,0)))),"")</f>
        <v/>
      </c>
      <c r="F19" s="155"/>
      <c r="G19" s="115"/>
      <c r="H19" s="117"/>
      <c r="I19" s="135"/>
    </row>
    <row r="20" spans="1:9" s="348" customFormat="1" ht="6" customHeight="1" x14ac:dyDescent="0.25">
      <c r="A20" s="431"/>
      <c r="B20" s="345"/>
      <c r="C20" s="346"/>
      <c r="D20" s="346"/>
      <c r="E20" s="346"/>
      <c r="F20" s="346"/>
      <c r="G20" s="346"/>
      <c r="H20" s="347"/>
    </row>
    <row r="21" spans="1:9" ht="21" customHeight="1" x14ac:dyDescent="0.25">
      <c r="A21" s="431"/>
      <c r="B21" s="116"/>
      <c r="C21" s="156" t="s">
        <v>68</v>
      </c>
      <c r="D21" s="384"/>
      <c r="E21" s="235"/>
      <c r="F21" s="155"/>
      <c r="G21" s="115"/>
      <c r="H21" s="117"/>
      <c r="I21" s="135"/>
    </row>
    <row r="22" spans="1:9" ht="21" customHeight="1" x14ac:dyDescent="0.25">
      <c r="A22" s="431"/>
      <c r="B22" s="116"/>
      <c r="C22" s="156" t="str">
        <f>"Discount " &amp; "(" &amp; currency &amp; "):"</f>
        <v>Discount ($):</v>
      </c>
      <c r="D22" s="157" t="str">
        <f>IFERROR(IF(OR(calculationtype=Calc!$C$15,calculationtype=""),INDEX(Calc!$R$5:$R$23,MATCH($C22,Calc!$Q$5:$Q$23,0)),IF(calculationtype=Calc!$C$16,INDEX(Calc!$V$5:$V$23,MATCH($C22,Calc!$U$5:$U$23,0)),INDEX(Calc!$Z$5:$Z$23,MATCH($C22,Calc!$Y$5:$Y$23,0)))),"")</f>
        <v/>
      </c>
      <c r="E22" s="157" t="str">
        <f>IFERROR(IF(OR(calculationtype=Calc!$C$15,calculationtype=""),INDEX(Calc!$S$5:$S$23,MATCH($C22,Calc!$Q$5:$Q$23,0)),IF(calculationtype=Calc!$C$16,INDEX(Calc!$W$5:$W$23,MATCH($C22,Calc!$U$5:$U$23,0)),INDEX(Calc!$AA$5:$AA$23,MATCH($C22,Calc!$Y$5:$Y$23,0)))),"")</f>
        <v/>
      </c>
      <c r="F22" s="155"/>
      <c r="G22" s="391"/>
      <c r="H22" s="117"/>
      <c r="I22" s="135"/>
    </row>
    <row r="23" spans="1:9" ht="21" customHeight="1" x14ac:dyDescent="0.25">
      <c r="A23" s="431"/>
      <c r="B23" s="116"/>
      <c r="C23" s="253" t="str">
        <f>"Net Price (" &amp; currency &amp; "):"</f>
        <v>Net Price ($):</v>
      </c>
      <c r="D23" s="303" t="str">
        <f>IFERROR(IF(OR(calculationtype=Calc!$C$15,calculationtype=""),INDEX(Calc!$R$5:$R$23,MATCH($C23,Calc!$Q$5:$Q$23,0)),IF(calculationtype=Calc!$C$16,INDEX(Calc!$V$5:$V$23,MATCH($C23,Calc!$U$5:$U$23,0)),INDEX(Calc!$Z$5:$Z$23,MATCH($C23,Calc!$Y$5:$Y$23,0)))),"")</f>
        <v/>
      </c>
      <c r="E23" s="303" t="str">
        <f>IFERROR(IF(OR(calculationtype=Calc!$C$15,calculationtype=""),INDEX(Calc!$S$5:$S$23,MATCH($C23,Calc!$Q$5:$Q$23,0)),IF(calculationtype=Calc!$C$16,INDEX(Calc!$W$5:$W$23,MATCH($C23,Calc!$U$5:$U$23,0)),INDEX(Calc!$AA$5:$AA$23,MATCH($C23,Calc!$Y$5:$Y$23,0)))),"")</f>
        <v/>
      </c>
      <c r="F23" s="155"/>
      <c r="G23" s="390"/>
      <c r="H23" s="117"/>
      <c r="I23" s="135"/>
    </row>
    <row r="24" spans="1:9" s="348" customFormat="1" ht="6" customHeight="1" x14ac:dyDescent="0.25">
      <c r="A24" s="431"/>
      <c r="B24" s="345"/>
      <c r="C24" s="346"/>
      <c r="D24" s="346"/>
      <c r="E24" s="346"/>
      <c r="F24" s="346"/>
      <c r="G24" s="115"/>
      <c r="H24" s="347"/>
    </row>
    <row r="25" spans="1:9" ht="21" customHeight="1" x14ac:dyDescent="0.25">
      <c r="A25" s="431"/>
      <c r="B25" s="116"/>
      <c r="C25" s="156" t="s">
        <v>69</v>
      </c>
      <c r="D25" s="235"/>
      <c r="E25" s="235"/>
      <c r="F25" s="155"/>
      <c r="G25" s="143"/>
      <c r="H25" s="117"/>
      <c r="I25" s="135"/>
    </row>
    <row r="26" spans="1:9" ht="21" customHeight="1" x14ac:dyDescent="0.25">
      <c r="A26" s="431"/>
      <c r="B26" s="116"/>
      <c r="C26" s="156" t="str">
        <f>"Tax " &amp; "(" &amp; currency &amp; "):"</f>
        <v>Tax ($):</v>
      </c>
      <c r="D26" s="157" t="str">
        <f>IFERROR(IF(OR(calculationtype=Calc!$C$15,calculationtype=""),INDEX(Calc!$R$5:$R$23,MATCH($C26,Calc!$Q$5:$Q$23,0)),IF(calculationtype=Calc!$C$16,INDEX(Calc!$V$5:$V$23,MATCH($C26,Calc!$U$5:$U$23,0)),INDEX(Calc!$Z$5:$Z$23,MATCH($C26,Calc!$Y$5:$Y$23,0)))),"")</f>
        <v/>
      </c>
      <c r="E26" s="157" t="str">
        <f>IFERROR(IF(OR(calculationtype=Calc!$C$15,calculationtype=""),INDEX(Calc!$S$5:$S$23,MATCH($C26,Calc!$Q$5:$Q$23,0)),IF(calculationtype=Calc!$C$16,INDEX(Calc!$W$5:$W$23,MATCH($C26,Calc!$U$5:$U$23,0)),INDEX(Calc!$AA$5:$AA$23,MATCH($C26,Calc!$Y$5:$Y$23,0)))),"")</f>
        <v/>
      </c>
      <c r="F26" s="155"/>
      <c r="G26" s="143"/>
      <c r="H26" s="117"/>
      <c r="I26" s="135"/>
    </row>
    <row r="27" spans="1:9" ht="21" customHeight="1" x14ac:dyDescent="0.25">
      <c r="A27" s="431"/>
      <c r="B27" s="116"/>
      <c r="C27" s="253" t="str">
        <f>"List Price (" &amp; currency &amp; "):"</f>
        <v>List Price ($):</v>
      </c>
      <c r="D27" s="303" t="str">
        <f>IFERROR(IF(OR(calculationtype=Calc!$C$15,calculationtype=""),INDEX(Calc!$R$5:$R$23,MATCH($C27,Calc!$Q$5:$Q$23,0)),IF(calculationtype=Calc!$C$16,INDEX(Calc!$V$5:$V$23,MATCH($C27,Calc!$U$5:$U$23,0)),INDEX(Calc!$Z$5:$Z$23,MATCH($C27,Calc!$Y$5:$Y$23,0)))),"")</f>
        <v/>
      </c>
      <c r="E27" s="303" t="str">
        <f>IFERROR(IF(OR(calculationtype=Calc!$C$15,calculationtype=""),INDEX(Calc!$S$5:$S$23,MATCH($C27,Calc!$Q$5:$Q$23,0)),IF(calculationtype=Calc!$C$16,INDEX(Calc!$W$5:$W$23,MATCH($C27,Calc!$U$5:$U$23,0)),INDEX(Calc!$AA$5:$AA$23,MATCH($C27,Calc!$Y$5:$Y$23,0)))),"")</f>
        <v/>
      </c>
      <c r="F27" s="155"/>
      <c r="G27" s="115"/>
      <c r="H27" s="117"/>
      <c r="I27" s="135"/>
    </row>
    <row r="28" spans="1:9" s="348" customFormat="1" ht="6" customHeight="1" x14ac:dyDescent="0.25">
      <c r="A28" s="431"/>
      <c r="B28" s="345"/>
      <c r="C28" s="346"/>
      <c r="D28" s="346"/>
      <c r="E28" s="346"/>
      <c r="F28" s="346"/>
      <c r="G28" s="346"/>
      <c r="H28" s="347"/>
    </row>
    <row r="29" spans="1:9" ht="21" customHeight="1" x14ac:dyDescent="0.25">
      <c r="A29" s="431"/>
      <c r="B29" s="116"/>
      <c r="C29" s="156" t="str">
        <f xml:space="preserve"> "Platform Listing Fee (" &amp; currency &amp; "):"</f>
        <v>Platform Listing Fee ($):</v>
      </c>
      <c r="D29" s="157" t="str">
        <f>IFERROR(IF(OR(calculationtype=Calc!$C$15,calculationtype=""),INDEX(Calc!$R$5:$R$23,MATCH($C29,Calc!$Q$5:$Q$23,0)),IF(calculationtype=Calc!$C$16,INDEX(Calc!$V$5:$V$23,MATCH($C29,Calc!$U$5:$U$23,0)),INDEX(Calc!$Z$5:$Z$23,MATCH($C29,Calc!$Y$5:$Y$23,0)))),"")</f>
        <v/>
      </c>
      <c r="E29" s="157" t="str">
        <f>IFERROR(IF(OR(calculationtype=Calc!$C$15,calculationtype=""),INDEX(Calc!$S$5:$S$23,MATCH($C29,Calc!$Q$5:$Q$23,0)),IF(calculationtype=Calc!$C$16,INDEX(Calc!$W$5:$W$23,MATCH($C29,Calc!$U$5:$U$23,0)),INDEX(Calc!$AA$5:$AA$23,MATCH($C29,Calc!$Y$5:$Y$23,0)))),"")</f>
        <v/>
      </c>
      <c r="F29" s="155"/>
      <c r="G29" s="115"/>
      <c r="H29" s="117"/>
      <c r="I29" s="135"/>
    </row>
    <row r="30" spans="1:9" s="348" customFormat="1" ht="6" customHeight="1" x14ac:dyDescent="0.25">
      <c r="A30" s="431"/>
      <c r="B30" s="345"/>
      <c r="C30" s="346"/>
      <c r="D30" s="346"/>
      <c r="E30" s="346"/>
      <c r="F30" s="346"/>
      <c r="G30" s="346"/>
      <c r="H30" s="347"/>
    </row>
    <row r="31" spans="1:9" ht="21" customHeight="1" x14ac:dyDescent="0.25">
      <c r="A31" s="431"/>
      <c r="B31" s="116"/>
      <c r="C31" s="159" t="s">
        <v>292</v>
      </c>
      <c r="D31" s="160" t="str">
        <f>IFERROR(IF(OR(calculationtype=Calc!$C$15,calculationtype=""),INDEX(Calc!$R$5:$R$23,MATCH($C31,Calc!$Q$5:$Q$23,0)),IF(calculationtype=Calc!$C$16,INDEX(Calc!$V$5:$V$23,MATCH($C31,Calc!$U$5:$U$23,0)),INDEX(Calc!$Z$5:$Z$23,MATCH($C31,Calc!$Y$5:$Y$23,0)))),"")</f>
        <v/>
      </c>
      <c r="E31" s="160" t="str">
        <f>IFERROR(IF(OR(calculationtype=Calc!$C$15,calculationtype=""),INDEX(Calc!$S$5:$S$23,MATCH($C31,Calc!$Q$5:$Q$23,0)),IF(calculationtype=Calc!$C$16,INDEX(Calc!$W$5:$W$23,MATCH($C31,Calc!$U$5:$U$23,0)),INDEX(Calc!$AA$5:$AA$23,MATCH($C31,Calc!$Y$5:$Y$23,0)))),"")</f>
        <v/>
      </c>
      <c r="F31" s="155"/>
      <c r="G31" s="115"/>
      <c r="H31" s="117"/>
      <c r="I31" s="135"/>
    </row>
    <row r="32" spans="1:9" ht="21" customHeight="1" x14ac:dyDescent="0.25">
      <c r="A32" s="431"/>
      <c r="B32" s="116"/>
      <c r="C32" s="159" t="str">
        <f>"Profit Margin " &amp; "(" &amp; currency &amp; "):"</f>
        <v>Profit Margin ($):</v>
      </c>
      <c r="D32" s="160" t="str">
        <f>IFERROR(IF(OR(calculationtype=Calc!$C$15,calculationtype=""),INDEX(Calc!$R$5:$R$23,MATCH($C32,Calc!$Q$5:$Q$23,0)),IF(calculationtype=Calc!$C$16,INDEX(Calc!$V$5:$V$23,MATCH($C32,Calc!$U$5:$U$23,0)),INDEX(Calc!$Z$5:$Z$23,MATCH($C32,Calc!$Y$5:$Y$23,0)))),"")</f>
        <v/>
      </c>
      <c r="E32" s="160" t="str">
        <f>IFERROR(IF(OR(calculationtype=Calc!$C$15,calculationtype=""),INDEX(Calc!$S$5:$S$23,MATCH($C32,Calc!$Q$5:$Q$23,0)),IF(calculationtype=Calc!$C$16,INDEX(Calc!$W$5:$W$23,MATCH($C32,Calc!$U$5:$U$23,0)),INDEX(Calc!$AA$5:$AA$23,MATCH($C32,Calc!$Y$5:$Y$23,0)))),"")</f>
        <v/>
      </c>
      <c r="F32" s="155"/>
      <c r="G32" s="115"/>
      <c r="H32" s="117"/>
      <c r="I32" s="135"/>
    </row>
    <row r="33" spans="1:9" ht="21" customHeight="1" x14ac:dyDescent="0.25">
      <c r="A33" s="431"/>
      <c r="B33" s="116"/>
      <c r="C33" s="159" t="str">
        <f xml:space="preserve"> "Final Sales Price (" &amp; currency &amp; "):"</f>
        <v>Final Sales Price ($):</v>
      </c>
      <c r="D33" s="160" t="str">
        <f>IFERROR(IF(OR(calculationtype=Calc!$C$15,calculationtype=""),INDEX(Calc!$R$5:$R$23,MATCH($C33,Calc!$Q$5:$Q$23,0)),IF(calculationtype=Calc!$C$16,INDEX(Calc!$V$5:$V$23,MATCH($C33,Calc!$U$5:$U$23,0)),INDEX(Calc!$Z$5:$Z$23,MATCH($C33,Calc!$Y$5:$Y$23,0)))),"")</f>
        <v/>
      </c>
      <c r="E33" s="160" t="str">
        <f>IFERROR(IF(OR(calculationtype=Calc!$C$15,calculationtype=""),INDEX(Calc!$S$5:$S$23,MATCH($C33,Calc!$Q$5:$Q$23,0)),IF(calculationtype=Calc!$C$16,INDEX(Calc!$W$5:$W$23,MATCH($C33,Calc!$U$5:$U$23,0)),INDEX(Calc!$AA$5:$AA$23,MATCH($C33,Calc!$Y$5:$Y$23,0)))),"")</f>
        <v/>
      </c>
      <c r="F33" s="155"/>
      <c r="G33" s="115"/>
      <c r="H33" s="117"/>
      <c r="I33" s="135"/>
    </row>
    <row r="34" spans="1:9" x14ac:dyDescent="0.25">
      <c r="A34" s="431"/>
      <c r="B34" s="107"/>
      <c r="C34" s="281"/>
      <c r="D34" s="108"/>
      <c r="E34" s="108"/>
      <c r="F34" s="108"/>
      <c r="G34" s="108"/>
      <c r="H34" s="109"/>
      <c r="I34" s="135"/>
    </row>
    <row r="35" spans="1:9" s="348" customFormat="1" ht="9.9499999999999993" customHeight="1" x14ac:dyDescent="0.25"/>
    <row r="36" spans="1:9" ht="24.95" customHeight="1" x14ac:dyDescent="0.25">
      <c r="A36" s="433"/>
      <c r="B36" s="314"/>
      <c r="C36" s="283" t="s">
        <v>286</v>
      </c>
      <c r="D36" s="282"/>
      <c r="E36" s="282"/>
      <c r="F36" s="282"/>
      <c r="G36" s="282"/>
      <c r="H36" s="315"/>
      <c r="I36" s="135"/>
    </row>
    <row r="37" spans="1:9" ht="20.100000000000001" customHeight="1" x14ac:dyDescent="0.25">
      <c r="A37" s="433"/>
      <c r="B37" s="254"/>
      <c r="C37" s="305" t="s">
        <v>14</v>
      </c>
      <c r="D37" s="305" t="s">
        <v>2</v>
      </c>
      <c r="E37" s="305" t="s">
        <v>3</v>
      </c>
      <c r="F37" s="305" t="str">
        <f>"Unit Cost " &amp; "(" &amp; currency &amp; ")"</f>
        <v>Unit Cost ($)</v>
      </c>
      <c r="G37" s="305" t="str">
        <f>"Total Cost " &amp; "(" &amp; currency &amp; ")"</f>
        <v>Total Cost ($)</v>
      </c>
      <c r="H37" s="117"/>
      <c r="I37" s="135"/>
    </row>
    <row r="38" spans="1:9" ht="17.100000000000001" customHeight="1" x14ac:dyDescent="0.25">
      <c r="A38" s="433"/>
      <c r="B38" s="254"/>
      <c r="C38" s="146"/>
      <c r="D38" s="185"/>
      <c r="E38" s="161" t="str">
        <f>IFERROR(IF(LEN($C38)&gt;0,IF(LEN(INDEX(RawMaterials!$G$8:$G$27,MATCH($C38,RawMaterials!$D$8:$D$27,0)))&gt;0,(INDEX(RawMaterials!$G$8:$G$27,MATCH($C38,RawMaterials!$D$8:$D$27,0))),""),""),"")</f>
        <v/>
      </c>
      <c r="F38" s="157" t="str">
        <f>IFERROR(IF(LEN($C38)&gt;0,IF(LEN(INDEX(RawMaterials!$I$8:$I$27,MATCH($C38,RawMaterials!$D$8:$D$27,0)))&gt;0,(INDEX(RawMaterials!$I$8:$I$27,MATCH($C38,RawMaterials!$D$8:$D$27,0))),""),""),"")</f>
        <v/>
      </c>
      <c r="G38" s="157" t="str">
        <f>IFERROR(IF(AND(LEN($C38)&gt;0,LEN($D38)&gt;0),$D38*$F38,""),"")</f>
        <v/>
      </c>
      <c r="H38" s="117"/>
      <c r="I38" s="135"/>
    </row>
    <row r="39" spans="1:9" ht="17.100000000000001" customHeight="1" x14ac:dyDescent="0.25">
      <c r="A39" s="433"/>
      <c r="B39" s="254"/>
      <c r="C39" s="146"/>
      <c r="D39" s="147"/>
      <c r="E39" s="161" t="str">
        <f>IFERROR(IF(LEN($C39)&gt;0,IF(LEN(INDEX(RawMaterials!$G$8:$G$27,MATCH($C39,RawMaterials!$D$8:$D$27,0)))&gt;0,(INDEX(RawMaterials!$G$8:$G$27,MATCH($C39,RawMaterials!$D$8:$D$27,0))),""),""),"")</f>
        <v/>
      </c>
      <c r="F39" s="157" t="str">
        <f>IFERROR(IF(LEN($C39)&gt;0,IF(LEN(INDEX(RawMaterials!$I$8:$I$27,MATCH($C39,RawMaterials!$D$8:$D$27,0)))&gt;0,(INDEX(RawMaterials!$I$8:$I$27,MATCH($C39,RawMaterials!$D$8:$D$27,0))),""),""),"")</f>
        <v/>
      </c>
      <c r="G39" s="157" t="str">
        <f t="shared" ref="G39:G47" si="0">IFERROR(IF(AND(LEN($C39)&gt;0,LEN($D39)&gt;0),$D39*$F39,""),"")</f>
        <v/>
      </c>
      <c r="H39" s="117"/>
      <c r="I39" s="135"/>
    </row>
    <row r="40" spans="1:9" ht="17.100000000000001" customHeight="1" x14ac:dyDescent="0.25">
      <c r="A40" s="433"/>
      <c r="B40" s="254"/>
      <c r="C40" s="146"/>
      <c r="D40" s="147"/>
      <c r="E40" s="161" t="str">
        <f>IFERROR(IF(LEN($C40)&gt;0,IF(LEN(INDEX(RawMaterials!$G$8:$G$27,MATCH($C40,RawMaterials!$D$8:$D$27,0)))&gt;0,(INDEX(RawMaterials!$G$8:$G$27,MATCH($C40,RawMaterials!$D$8:$D$27,0))),""),""),"")</f>
        <v/>
      </c>
      <c r="F40" s="157" t="str">
        <f>IFERROR(IF(LEN($C40)&gt;0,IF(LEN(INDEX(RawMaterials!$I$8:$I$27,MATCH($C40,RawMaterials!$D$8:$D$27,0)))&gt;0,(INDEX(RawMaterials!$I$8:$I$27,MATCH($C40,RawMaterials!$D$8:$D$27,0))),""),""),"")</f>
        <v/>
      </c>
      <c r="G40" s="157" t="str">
        <f t="shared" si="0"/>
        <v/>
      </c>
      <c r="H40" s="117"/>
      <c r="I40" s="135"/>
    </row>
    <row r="41" spans="1:9" ht="17.100000000000001" customHeight="1" x14ac:dyDescent="0.25">
      <c r="A41" s="433"/>
      <c r="B41" s="254"/>
      <c r="C41" s="146"/>
      <c r="D41" s="185"/>
      <c r="E41" s="161" t="str">
        <f>IFERROR(IF(LEN($C41)&gt;0,IF(LEN(INDEX(RawMaterials!$G$8:$G$27,MATCH($C41,RawMaterials!$D$8:$D$27,0)))&gt;0,(INDEX(RawMaterials!$G$8:$G$27,MATCH($C41,RawMaterials!$D$8:$D$27,0))),""),""),"")</f>
        <v/>
      </c>
      <c r="F41" s="157" t="str">
        <f>IFERROR(IF(LEN($C41)&gt;0,IF(LEN(INDEX(RawMaterials!$I$8:$I$27,MATCH($C41,RawMaterials!$D$8:$D$27,0)))&gt;0,(INDEX(RawMaterials!$I$8:$I$27,MATCH($C41,RawMaterials!$D$8:$D$27,0))),""),""),"")</f>
        <v/>
      </c>
      <c r="G41" s="157" t="str">
        <f t="shared" si="0"/>
        <v/>
      </c>
      <c r="H41" s="117"/>
      <c r="I41" s="135"/>
    </row>
    <row r="42" spans="1:9" ht="17.100000000000001" customHeight="1" x14ac:dyDescent="0.25">
      <c r="A42" s="433"/>
      <c r="B42" s="254"/>
      <c r="C42" s="146"/>
      <c r="D42" s="147"/>
      <c r="E42" s="161" t="str">
        <f>IFERROR(IF(LEN($C42)&gt;0,IF(LEN(INDEX(RawMaterials!$G$8:$G$27,MATCH($C42,RawMaterials!$D$8:$D$27,0)))&gt;0,(INDEX(RawMaterials!$G$8:$G$27,MATCH($C42,RawMaterials!$D$8:$D$27,0))),""),""),"")</f>
        <v/>
      </c>
      <c r="F42" s="157" t="str">
        <f>IFERROR(IF(LEN($C42)&gt;0,IF(LEN(INDEX(RawMaterials!$I$8:$I$27,MATCH($C42,RawMaterials!$D$8:$D$27,0)))&gt;0,(INDEX(RawMaterials!$I$8:$I$27,MATCH($C42,RawMaterials!$D$8:$D$27,0))),""),""),"")</f>
        <v/>
      </c>
      <c r="G42" s="157" t="str">
        <f t="shared" si="0"/>
        <v/>
      </c>
      <c r="H42" s="117"/>
      <c r="I42" s="135"/>
    </row>
    <row r="43" spans="1:9" ht="17.100000000000001" customHeight="1" x14ac:dyDescent="0.25">
      <c r="A43" s="433"/>
      <c r="B43" s="254"/>
      <c r="C43" s="146"/>
      <c r="D43" s="147"/>
      <c r="E43" s="161" t="str">
        <f>IFERROR(IF(LEN($C43)&gt;0,IF(LEN(INDEX(RawMaterials!$G$8:$G$27,MATCH($C43,RawMaterials!$D$8:$D$27,0)))&gt;0,(INDEX(RawMaterials!$G$8:$G$27,MATCH($C43,RawMaterials!$D$8:$D$27,0))),""),""),"")</f>
        <v/>
      </c>
      <c r="F43" s="157" t="str">
        <f>IFERROR(IF(LEN($C43)&gt;0,IF(LEN(INDEX(RawMaterials!$I$8:$I$27,MATCH($C43,RawMaterials!$D$8:$D$27,0)))&gt;0,(INDEX(RawMaterials!$I$8:$I$27,MATCH($C43,RawMaterials!$D$8:$D$27,0))),""),""),"")</f>
        <v/>
      </c>
      <c r="G43" s="157" t="str">
        <f t="shared" si="0"/>
        <v/>
      </c>
      <c r="H43" s="117"/>
      <c r="I43" s="135"/>
    </row>
    <row r="44" spans="1:9" ht="17.100000000000001" customHeight="1" x14ac:dyDescent="0.25">
      <c r="A44" s="433"/>
      <c r="B44" s="254"/>
      <c r="C44" s="146"/>
      <c r="D44" s="185"/>
      <c r="E44" s="161" t="str">
        <f>IFERROR(IF(LEN($C44)&gt;0,IF(LEN(INDEX(RawMaterials!$G$8:$G$27,MATCH($C44,RawMaterials!$D$8:$D$27,0)))&gt;0,(INDEX(RawMaterials!$G$8:$G$27,MATCH($C44,RawMaterials!$D$8:$D$27,0))),""),""),"")</f>
        <v/>
      </c>
      <c r="F44" s="157" t="str">
        <f>IFERROR(IF(LEN($C44)&gt;0,IF(LEN(INDEX(RawMaterials!$I$8:$I$27,MATCH($C44,RawMaterials!$D$8:$D$27,0)))&gt;0,(INDEX(RawMaterials!$I$8:$I$27,MATCH($C44,RawMaterials!$D$8:$D$27,0))),""),""),"")</f>
        <v/>
      </c>
      <c r="G44" s="157" t="str">
        <f t="shared" si="0"/>
        <v/>
      </c>
      <c r="H44" s="117"/>
      <c r="I44" s="135"/>
    </row>
    <row r="45" spans="1:9" ht="17.100000000000001" customHeight="1" x14ac:dyDescent="0.25">
      <c r="A45" s="433"/>
      <c r="B45" s="254"/>
      <c r="C45" s="146"/>
      <c r="D45" s="147"/>
      <c r="E45" s="161" t="str">
        <f>IFERROR(IF(LEN($C45)&gt;0,IF(LEN(INDEX(RawMaterials!$G$8:$G$27,MATCH($C45,RawMaterials!$D$8:$D$27,0)))&gt;0,(INDEX(RawMaterials!$G$8:$G$27,MATCH($C45,RawMaterials!$D$8:$D$27,0))),""),""),"")</f>
        <v/>
      </c>
      <c r="F45" s="157" t="str">
        <f>IFERROR(IF(LEN($C45)&gt;0,IF(LEN(INDEX(RawMaterials!$I$8:$I$27,MATCH($C45,RawMaterials!$D$8:$D$27,0)))&gt;0,(INDEX(RawMaterials!$I$8:$I$27,MATCH($C45,RawMaterials!$D$8:$D$27,0))),""),""),"")</f>
        <v/>
      </c>
      <c r="G45" s="157" t="str">
        <f t="shared" si="0"/>
        <v/>
      </c>
      <c r="H45" s="117"/>
      <c r="I45" s="135"/>
    </row>
    <row r="46" spans="1:9" ht="17.100000000000001" customHeight="1" x14ac:dyDescent="0.25">
      <c r="A46" s="433"/>
      <c r="B46" s="254"/>
      <c r="C46" s="146"/>
      <c r="D46" s="147"/>
      <c r="E46" s="161" t="str">
        <f>IFERROR(IF(LEN($C46)&gt;0,IF(LEN(INDEX(RawMaterials!$G$8:$G$27,MATCH($C46,RawMaterials!$D$8:$D$27,0)))&gt;0,(INDEX(RawMaterials!$G$8:$G$27,MATCH($C46,RawMaterials!$D$8:$D$27,0))),""),""),"")</f>
        <v/>
      </c>
      <c r="F46" s="157" t="str">
        <f>IFERROR(IF(LEN($C46)&gt;0,IF(LEN(INDEX(RawMaterials!$I$8:$I$27,MATCH($C46,RawMaterials!$D$8:$D$27,0)))&gt;0,(INDEX(RawMaterials!$I$8:$I$27,MATCH($C46,RawMaterials!$D$8:$D$27,0))),""),""),"")</f>
        <v/>
      </c>
      <c r="G46" s="157" t="str">
        <f t="shared" si="0"/>
        <v/>
      </c>
      <c r="H46" s="117"/>
      <c r="I46" s="135"/>
    </row>
    <row r="47" spans="1:9" ht="17.100000000000001" customHeight="1" x14ac:dyDescent="0.25">
      <c r="A47" s="433"/>
      <c r="B47" s="254"/>
      <c r="C47" s="401"/>
      <c r="D47" s="402"/>
      <c r="E47" s="161" t="str">
        <f>IFERROR(IF(LEN($C47)&gt;0,IF(LEN(INDEX(RawMaterials!$G$8:$G$27,MATCH($C47,RawMaterials!$D$8:$D$27,0)))&gt;0,(INDEX(RawMaterials!$G$8:$G$27,MATCH($C47,RawMaterials!$D$8:$D$27,0))),""),""),"")</f>
        <v/>
      </c>
      <c r="F47" s="157" t="str">
        <f>IFERROR(IF(LEN($C47)&gt;0,IF(LEN(INDEX(RawMaterials!$I$8:$I$27,MATCH($C47,RawMaterials!$D$8:$D$27,0)))&gt;0,(INDEX(RawMaterials!$I$8:$I$27,MATCH($C47,RawMaterials!$D$8:$D$27,0))),""),""),"")</f>
        <v/>
      </c>
      <c r="G47" s="398" t="str">
        <f t="shared" si="0"/>
        <v/>
      </c>
      <c r="H47" s="117"/>
      <c r="I47" s="135"/>
    </row>
    <row r="48" spans="1:9" ht="17.100000000000001" customHeight="1" x14ac:dyDescent="0.25">
      <c r="A48" s="433"/>
      <c r="B48" s="116"/>
      <c r="C48" s="413"/>
      <c r="D48" s="406"/>
      <c r="E48" s="403"/>
      <c r="F48" s="399"/>
      <c r="G48" s="399"/>
      <c r="H48" s="117"/>
      <c r="I48" s="135"/>
    </row>
    <row r="49" spans="1:9" ht="17.100000000000001" customHeight="1" x14ac:dyDescent="0.25">
      <c r="A49" s="433"/>
      <c r="B49" s="116"/>
      <c r="C49" s="413"/>
      <c r="D49" s="406"/>
      <c r="E49" s="403"/>
      <c r="F49" s="399"/>
      <c r="G49" s="399"/>
      <c r="H49" s="117"/>
      <c r="I49" s="135"/>
    </row>
    <row r="50" spans="1:9" ht="17.100000000000001" customHeight="1" x14ac:dyDescent="0.25">
      <c r="A50" s="433"/>
      <c r="B50" s="116"/>
      <c r="C50" s="413"/>
      <c r="D50" s="406"/>
      <c r="E50" s="403"/>
      <c r="F50" s="399"/>
      <c r="G50" s="399"/>
      <c r="H50" s="117"/>
      <c r="I50" s="135"/>
    </row>
    <row r="51" spans="1:9" ht="17.100000000000001" customHeight="1" x14ac:dyDescent="0.25">
      <c r="A51" s="433"/>
      <c r="B51" s="116"/>
      <c r="C51" s="413"/>
      <c r="D51" s="406"/>
      <c r="E51" s="403"/>
      <c r="F51" s="399"/>
      <c r="G51" s="399"/>
      <c r="H51" s="117"/>
      <c r="I51" s="135"/>
    </row>
    <row r="52" spans="1:9" ht="17.100000000000001" customHeight="1" x14ac:dyDescent="0.25">
      <c r="A52" s="433"/>
      <c r="B52" s="116"/>
      <c r="C52" s="413"/>
      <c r="D52" s="406"/>
      <c r="E52" s="403"/>
      <c r="F52" s="399"/>
      <c r="G52" s="399"/>
      <c r="H52" s="117"/>
      <c r="I52" s="135"/>
    </row>
    <row r="53" spans="1:9" ht="17.100000000000001" customHeight="1" x14ac:dyDescent="0.25">
      <c r="A53" s="433"/>
      <c r="B53" s="116"/>
      <c r="C53" s="413"/>
      <c r="D53" s="406"/>
      <c r="E53" s="403"/>
      <c r="F53" s="399"/>
      <c r="G53" s="399"/>
      <c r="H53" s="117"/>
      <c r="I53" s="135"/>
    </row>
    <row r="54" spans="1:9" ht="17.100000000000001" customHeight="1" x14ac:dyDescent="0.25">
      <c r="A54" s="433"/>
      <c r="B54" s="116"/>
      <c r="C54" s="413"/>
      <c r="D54" s="406"/>
      <c r="E54" s="403"/>
      <c r="F54" s="399"/>
      <c r="G54" s="399"/>
      <c r="H54" s="117"/>
      <c r="I54" s="135"/>
    </row>
    <row r="55" spans="1:9" ht="17.100000000000001" customHeight="1" x14ac:dyDescent="0.25">
      <c r="A55" s="433"/>
      <c r="B55" s="116"/>
      <c r="C55" s="413"/>
      <c r="D55" s="406"/>
      <c r="E55" s="403"/>
      <c r="F55" s="399"/>
      <c r="G55" s="399"/>
      <c r="H55" s="117"/>
      <c r="I55" s="135"/>
    </row>
    <row r="56" spans="1:9" ht="17.100000000000001" customHeight="1" x14ac:dyDescent="0.25">
      <c r="A56" s="433"/>
      <c r="B56" s="116"/>
      <c r="C56" s="413"/>
      <c r="D56" s="406"/>
      <c r="E56" s="403"/>
      <c r="F56" s="399"/>
      <c r="G56" s="399"/>
      <c r="H56" s="117"/>
      <c r="I56" s="135"/>
    </row>
    <row r="57" spans="1:9" ht="17.100000000000001" customHeight="1" x14ac:dyDescent="0.25">
      <c r="A57" s="433"/>
      <c r="B57" s="116"/>
      <c r="C57" s="413"/>
      <c r="D57" s="406"/>
      <c r="E57" s="403"/>
      <c r="F57" s="399"/>
      <c r="G57" s="399"/>
      <c r="H57" s="117"/>
      <c r="I57" s="135"/>
    </row>
    <row r="58" spans="1:9" ht="17.100000000000001" customHeight="1" x14ac:dyDescent="0.25">
      <c r="A58" s="433"/>
      <c r="B58" s="116"/>
      <c r="C58" s="413"/>
      <c r="D58" s="406"/>
      <c r="E58" s="403"/>
      <c r="F58" s="399"/>
      <c r="G58" s="399"/>
      <c r="H58" s="117"/>
      <c r="I58" s="135"/>
    </row>
    <row r="59" spans="1:9" ht="17.100000000000001" customHeight="1" x14ac:dyDescent="0.25">
      <c r="A59" s="433"/>
      <c r="B59" s="116"/>
      <c r="C59" s="413"/>
      <c r="D59" s="406"/>
      <c r="E59" s="403"/>
      <c r="F59" s="399"/>
      <c r="G59" s="399"/>
      <c r="H59" s="117"/>
      <c r="I59" s="135"/>
    </row>
    <row r="60" spans="1:9" ht="17.100000000000001" customHeight="1" x14ac:dyDescent="0.25">
      <c r="A60" s="433"/>
      <c r="B60" s="116"/>
      <c r="C60" s="413"/>
      <c r="D60" s="406"/>
      <c r="E60" s="403"/>
      <c r="F60" s="399"/>
      <c r="G60" s="399"/>
      <c r="H60" s="117"/>
      <c r="I60" s="135"/>
    </row>
    <row r="61" spans="1:9" ht="17.100000000000001" customHeight="1" x14ac:dyDescent="0.25">
      <c r="A61" s="433"/>
      <c r="B61" s="116"/>
      <c r="C61" s="413"/>
      <c r="D61" s="406"/>
      <c r="E61" s="403"/>
      <c r="F61" s="399"/>
      <c r="G61" s="399"/>
      <c r="H61" s="117"/>
      <c r="I61" s="135"/>
    </row>
    <row r="62" spans="1:9" ht="17.100000000000001" customHeight="1" x14ac:dyDescent="0.25">
      <c r="A62" s="433"/>
      <c r="B62" s="116"/>
      <c r="C62" s="413"/>
      <c r="D62" s="406"/>
      <c r="E62" s="403"/>
      <c r="F62" s="399"/>
      <c r="G62" s="399"/>
      <c r="H62" s="117"/>
      <c r="I62" s="135"/>
    </row>
    <row r="63" spans="1:9" ht="17.100000000000001" customHeight="1" x14ac:dyDescent="0.25">
      <c r="A63" s="433"/>
      <c r="B63" s="116"/>
      <c r="C63" s="413"/>
      <c r="D63" s="406"/>
      <c r="E63" s="403"/>
      <c r="F63" s="399"/>
      <c r="G63" s="399"/>
      <c r="H63" s="117"/>
      <c r="I63" s="135"/>
    </row>
    <row r="64" spans="1:9" ht="17.100000000000001" customHeight="1" x14ac:dyDescent="0.25">
      <c r="A64" s="433"/>
      <c r="B64" s="116"/>
      <c r="C64" s="413"/>
      <c r="D64" s="406"/>
      <c r="E64" s="403"/>
      <c r="F64" s="399"/>
      <c r="G64" s="399"/>
      <c r="H64" s="117"/>
      <c r="I64" s="135"/>
    </row>
    <row r="65" spans="1:10" ht="17.100000000000001" customHeight="1" x14ac:dyDescent="0.25">
      <c r="A65" s="433"/>
      <c r="B65" s="116"/>
      <c r="C65" s="413"/>
      <c r="D65" s="406"/>
      <c r="E65" s="403"/>
      <c r="F65" s="399"/>
      <c r="G65" s="399"/>
      <c r="H65" s="117"/>
      <c r="I65" s="135"/>
    </row>
    <row r="66" spans="1:10" ht="17.100000000000001" customHeight="1" x14ac:dyDescent="0.25">
      <c r="A66" s="433"/>
      <c r="B66" s="116"/>
      <c r="C66" s="413"/>
      <c r="D66" s="406"/>
      <c r="E66" s="403"/>
      <c r="F66" s="399"/>
      <c r="G66" s="399"/>
      <c r="H66" s="117"/>
      <c r="I66" s="135"/>
    </row>
    <row r="67" spans="1:10" ht="17.100000000000001" customHeight="1" x14ac:dyDescent="0.25">
      <c r="A67" s="433"/>
      <c r="B67" s="116"/>
      <c r="C67" s="413"/>
      <c r="D67" s="406"/>
      <c r="E67" s="403"/>
      <c r="F67" s="399"/>
      <c r="G67" s="399"/>
      <c r="H67" s="117"/>
      <c r="I67" s="135"/>
    </row>
    <row r="68" spans="1:10" ht="17.100000000000001" customHeight="1" x14ac:dyDescent="0.25">
      <c r="A68" s="433"/>
      <c r="B68" s="116"/>
      <c r="C68" s="413"/>
      <c r="D68" s="406"/>
      <c r="E68" s="403"/>
      <c r="F68" s="399"/>
      <c r="G68" s="399"/>
      <c r="H68" s="117"/>
      <c r="I68" s="135"/>
    </row>
    <row r="69" spans="1:10" ht="17.100000000000001" customHeight="1" x14ac:dyDescent="0.25">
      <c r="A69" s="433"/>
      <c r="B69" s="116"/>
      <c r="C69" s="413"/>
      <c r="D69" s="406"/>
      <c r="E69" s="403"/>
      <c r="F69" s="399"/>
      <c r="G69" s="399"/>
      <c r="H69" s="117"/>
      <c r="I69" s="135"/>
    </row>
    <row r="70" spans="1:10" ht="17.100000000000001" customHeight="1" x14ac:dyDescent="0.25">
      <c r="A70" s="433"/>
      <c r="B70" s="116"/>
      <c r="C70" s="413"/>
      <c r="D70" s="406"/>
      <c r="E70" s="403"/>
      <c r="F70" s="399"/>
      <c r="G70" s="399"/>
      <c r="H70" s="117"/>
      <c r="I70" s="135"/>
    </row>
    <row r="71" spans="1:10" ht="17.100000000000001" customHeight="1" x14ac:dyDescent="0.25">
      <c r="A71" s="433"/>
      <c r="B71" s="116"/>
      <c r="C71" s="413"/>
      <c r="D71" s="406"/>
      <c r="E71" s="403"/>
      <c r="F71" s="399"/>
      <c r="G71" s="399"/>
      <c r="H71" s="117"/>
      <c r="I71" s="135"/>
    </row>
    <row r="72" spans="1:10" ht="17.100000000000001" customHeight="1" x14ac:dyDescent="0.25">
      <c r="A72" s="433"/>
      <c r="B72" s="116"/>
      <c r="C72" s="413"/>
      <c r="D72" s="406"/>
      <c r="E72" s="403"/>
      <c r="F72" s="399"/>
      <c r="G72" s="399"/>
      <c r="H72" s="117"/>
      <c r="I72" s="135"/>
    </row>
    <row r="73" spans="1:10" ht="17.100000000000001" customHeight="1" x14ac:dyDescent="0.25">
      <c r="A73" s="433"/>
      <c r="B73" s="116"/>
      <c r="C73" s="413"/>
      <c r="D73" s="406"/>
      <c r="E73" s="403"/>
      <c r="F73" s="399"/>
      <c r="G73" s="399"/>
      <c r="H73" s="117"/>
      <c r="I73" s="135"/>
    </row>
    <row r="74" spans="1:10" ht="17.100000000000001" customHeight="1" x14ac:dyDescent="0.25">
      <c r="A74" s="433"/>
      <c r="B74" s="116"/>
      <c r="C74" s="413"/>
      <c r="D74" s="406"/>
      <c r="E74" s="403"/>
      <c r="F74" s="399"/>
      <c r="G74" s="399"/>
      <c r="H74" s="117"/>
      <c r="I74" s="135"/>
    </row>
    <row r="75" spans="1:10" ht="17.100000000000001" customHeight="1" x14ac:dyDescent="0.25">
      <c r="A75" s="433"/>
      <c r="B75" s="116"/>
      <c r="C75" s="413"/>
      <c r="D75" s="406"/>
      <c r="E75" s="403"/>
      <c r="F75" s="399"/>
      <c r="G75" s="399"/>
      <c r="H75" s="117"/>
      <c r="I75" s="135"/>
    </row>
    <row r="76" spans="1:10" ht="17.100000000000001" customHeight="1" x14ac:dyDescent="0.25">
      <c r="A76" s="433"/>
      <c r="B76" s="116"/>
      <c r="C76" s="413"/>
      <c r="D76" s="406"/>
      <c r="E76" s="403"/>
      <c r="F76" s="399"/>
      <c r="G76" s="399"/>
      <c r="H76" s="117"/>
      <c r="I76" s="135"/>
    </row>
    <row r="77" spans="1:10" ht="17.100000000000001" customHeight="1" x14ac:dyDescent="0.25">
      <c r="A77" s="433"/>
      <c r="B77" s="116"/>
      <c r="C77" s="413"/>
      <c r="D77" s="406"/>
      <c r="E77" s="403"/>
      <c r="F77" s="399"/>
      <c r="G77" s="399"/>
      <c r="H77" s="117"/>
      <c r="I77" s="135"/>
    </row>
    <row r="78" spans="1:10" x14ac:dyDescent="0.25">
      <c r="A78" s="433"/>
      <c r="B78" s="107"/>
      <c r="C78" s="108"/>
      <c r="D78" s="108"/>
      <c r="E78" s="285"/>
      <c r="F78" s="285"/>
      <c r="G78" s="285"/>
      <c r="H78" s="109"/>
      <c r="I78" s="135"/>
    </row>
    <row r="79" spans="1:10" s="348" customFormat="1" ht="9.9499999999999993" customHeight="1" x14ac:dyDescent="0.25">
      <c r="A79" s="433"/>
    </row>
    <row r="80" spans="1:10" ht="24.95" customHeight="1" x14ac:dyDescent="0.25">
      <c r="A80" s="432"/>
      <c r="B80" s="312"/>
      <c r="C80" s="287" t="s">
        <v>287</v>
      </c>
      <c r="D80" s="288"/>
      <c r="E80" s="288"/>
      <c r="F80" s="288"/>
      <c r="G80" s="288"/>
      <c r="H80" s="313"/>
      <c r="I80" s="135"/>
      <c r="J80" s="162"/>
    </row>
    <row r="81" spans="1:10" ht="20.100000000000001" customHeight="1" x14ac:dyDescent="0.25">
      <c r="A81" s="432"/>
      <c r="B81" s="254"/>
      <c r="C81" s="306" t="s">
        <v>10</v>
      </c>
      <c r="D81" s="306" t="s">
        <v>2</v>
      </c>
      <c r="E81" s="306" t="s">
        <v>3</v>
      </c>
      <c r="F81" s="306" t="str">
        <f>"Unit Cost " &amp; "(" &amp; currency &amp; ")"</f>
        <v>Unit Cost ($)</v>
      </c>
      <c r="G81" s="306" t="str">
        <f>"Total Cost " &amp; "(" &amp; currency &amp; ")"</f>
        <v>Total Cost ($)</v>
      </c>
      <c r="H81" s="117"/>
      <c r="I81" s="135"/>
      <c r="J81" s="162"/>
    </row>
    <row r="82" spans="1:10" ht="17.100000000000001" customHeight="1" x14ac:dyDescent="0.25">
      <c r="A82" s="432"/>
      <c r="B82" s="254"/>
      <c r="C82" s="382"/>
      <c r="D82" s="153"/>
      <c r="E82" s="153"/>
      <c r="F82" s="324"/>
      <c r="G82" s="157" t="str">
        <f>IFERROR(IF(AND(LEN($C82)&gt;0,LEN($D82)&gt;0,LEN($F82)&gt;0),$D82*$F82,""),"")</f>
        <v/>
      </c>
      <c r="H82" s="117"/>
      <c r="I82" s="135"/>
      <c r="J82" s="162"/>
    </row>
    <row r="83" spans="1:10" ht="17.100000000000001" customHeight="1" x14ac:dyDescent="0.25">
      <c r="A83" s="432"/>
      <c r="B83" s="254"/>
      <c r="C83" s="382"/>
      <c r="D83" s="153"/>
      <c r="E83" s="153"/>
      <c r="F83" s="324"/>
      <c r="G83" s="157" t="str">
        <f t="shared" ref="G83:G102" si="1">IFERROR(IF(AND(LEN($C83)&gt;0,LEN($D83)&gt;0,LEN($F83)&gt;0),$D83*$F83,""),"")</f>
        <v/>
      </c>
      <c r="H83" s="117"/>
      <c r="I83" s="135"/>
    </row>
    <row r="84" spans="1:10" ht="17.100000000000001" customHeight="1" x14ac:dyDescent="0.25">
      <c r="A84" s="432"/>
      <c r="B84" s="254"/>
      <c r="C84" s="382"/>
      <c r="D84" s="153"/>
      <c r="E84" s="153"/>
      <c r="F84" s="324"/>
      <c r="G84" s="157" t="str">
        <f t="shared" si="1"/>
        <v/>
      </c>
      <c r="H84" s="117"/>
      <c r="I84" s="135"/>
    </row>
    <row r="85" spans="1:10" ht="17.100000000000001" customHeight="1" x14ac:dyDescent="0.25">
      <c r="A85" s="432"/>
      <c r="B85" s="254"/>
      <c r="C85" s="150"/>
      <c r="D85" s="153"/>
      <c r="E85" s="153"/>
      <c r="F85" s="324"/>
      <c r="G85" s="157" t="str">
        <f t="shared" si="1"/>
        <v/>
      </c>
      <c r="H85" s="117"/>
      <c r="I85" s="135"/>
    </row>
    <row r="86" spans="1:10" ht="17.100000000000001" customHeight="1" x14ac:dyDescent="0.25">
      <c r="A86" s="432"/>
      <c r="B86" s="254"/>
      <c r="C86" s="414"/>
      <c r="D86" s="415"/>
      <c r="E86" s="415"/>
      <c r="F86" s="416"/>
      <c r="G86" s="398" t="str">
        <f t="shared" si="1"/>
        <v/>
      </c>
      <c r="H86" s="117"/>
      <c r="I86" s="135"/>
    </row>
    <row r="87" spans="1:10" ht="17.100000000000001" customHeight="1" x14ac:dyDescent="0.25">
      <c r="A87" s="432"/>
      <c r="B87" s="116"/>
      <c r="C87" s="417"/>
      <c r="D87" s="418"/>
      <c r="E87" s="418"/>
      <c r="F87" s="419"/>
      <c r="G87" s="399"/>
      <c r="H87" s="117"/>
      <c r="I87" s="135"/>
    </row>
    <row r="88" spans="1:10" ht="17.100000000000001" customHeight="1" x14ac:dyDescent="0.25">
      <c r="A88" s="432"/>
      <c r="B88" s="116"/>
      <c r="C88" s="417"/>
      <c r="D88" s="418"/>
      <c r="E88" s="418"/>
      <c r="F88" s="419"/>
      <c r="G88" s="399"/>
      <c r="H88" s="117"/>
      <c r="I88" s="135"/>
    </row>
    <row r="89" spans="1:10" ht="17.100000000000001" customHeight="1" x14ac:dyDescent="0.25">
      <c r="A89" s="432"/>
      <c r="B89" s="116"/>
      <c r="C89" s="417"/>
      <c r="D89" s="418"/>
      <c r="E89" s="418"/>
      <c r="F89" s="419"/>
      <c r="G89" s="399"/>
      <c r="H89" s="117"/>
      <c r="I89" s="135"/>
    </row>
    <row r="90" spans="1:10" ht="17.100000000000001" customHeight="1" x14ac:dyDescent="0.25">
      <c r="A90" s="432"/>
      <c r="B90" s="116"/>
      <c r="C90" s="420"/>
      <c r="D90" s="418"/>
      <c r="E90" s="418"/>
      <c r="F90" s="419"/>
      <c r="G90" s="399"/>
      <c r="H90" s="117"/>
      <c r="I90" s="135"/>
    </row>
    <row r="91" spans="1:10" ht="17.100000000000001" customHeight="1" x14ac:dyDescent="0.25">
      <c r="A91" s="432"/>
      <c r="B91" s="116"/>
      <c r="C91" s="417"/>
      <c r="D91" s="418"/>
      <c r="E91" s="418"/>
      <c r="F91" s="419"/>
      <c r="G91" s="399"/>
      <c r="H91" s="117"/>
      <c r="I91" s="135"/>
    </row>
    <row r="92" spans="1:10" ht="17.100000000000001" customHeight="1" x14ac:dyDescent="0.25">
      <c r="A92" s="432"/>
      <c r="B92" s="116"/>
      <c r="C92" s="417"/>
      <c r="D92" s="418"/>
      <c r="E92" s="418"/>
      <c r="F92" s="419"/>
      <c r="G92" s="399"/>
      <c r="H92" s="117"/>
      <c r="I92" s="135"/>
    </row>
    <row r="93" spans="1:10" ht="17.100000000000001" customHeight="1" x14ac:dyDescent="0.25">
      <c r="A93" s="432"/>
      <c r="B93" s="116"/>
      <c r="C93" s="417"/>
      <c r="D93" s="418"/>
      <c r="E93" s="418"/>
      <c r="F93" s="419"/>
      <c r="G93" s="399"/>
      <c r="H93" s="117"/>
      <c r="I93" s="135"/>
    </row>
    <row r="94" spans="1:10" ht="17.100000000000001" customHeight="1" x14ac:dyDescent="0.25">
      <c r="A94" s="432"/>
      <c r="B94" s="116"/>
      <c r="C94" s="417"/>
      <c r="D94" s="418"/>
      <c r="E94" s="418"/>
      <c r="F94" s="419"/>
      <c r="G94" s="399"/>
      <c r="H94" s="117"/>
      <c r="I94" s="135"/>
    </row>
    <row r="95" spans="1:10" ht="17.100000000000001" customHeight="1" x14ac:dyDescent="0.25">
      <c r="A95" s="432"/>
      <c r="B95" s="116"/>
      <c r="C95" s="417"/>
      <c r="D95" s="418"/>
      <c r="E95" s="418"/>
      <c r="F95" s="419"/>
      <c r="G95" s="399"/>
      <c r="H95" s="117"/>
      <c r="I95" s="135"/>
    </row>
    <row r="96" spans="1:10" ht="17.100000000000001" customHeight="1" x14ac:dyDescent="0.25">
      <c r="A96" s="135"/>
      <c r="B96" s="116"/>
      <c r="C96" s="417"/>
      <c r="D96" s="418"/>
      <c r="E96" s="418"/>
      <c r="F96" s="419"/>
      <c r="G96" s="399"/>
      <c r="H96" s="117"/>
      <c r="I96" s="135"/>
    </row>
    <row r="97" spans="1:9" ht="17.100000000000001" customHeight="1" x14ac:dyDescent="0.25">
      <c r="A97" s="135"/>
      <c r="B97" s="116"/>
      <c r="C97" s="417"/>
      <c r="D97" s="418"/>
      <c r="E97" s="418"/>
      <c r="F97" s="419"/>
      <c r="G97" s="399"/>
      <c r="H97" s="117"/>
      <c r="I97" s="135"/>
    </row>
    <row r="98" spans="1:9" ht="17.100000000000001" customHeight="1" x14ac:dyDescent="0.25">
      <c r="A98" s="135"/>
      <c r="B98" s="116"/>
      <c r="C98" s="417"/>
      <c r="D98" s="418"/>
      <c r="E98" s="418"/>
      <c r="F98" s="419"/>
      <c r="G98" s="399"/>
      <c r="H98" s="117"/>
      <c r="I98" s="135"/>
    </row>
    <row r="99" spans="1:9" ht="17.100000000000001" customHeight="1" x14ac:dyDescent="0.25">
      <c r="A99" s="135"/>
      <c r="B99" s="116"/>
      <c r="C99" s="417"/>
      <c r="D99" s="418"/>
      <c r="E99" s="418"/>
      <c r="F99" s="419"/>
      <c r="G99" s="399"/>
      <c r="H99" s="117"/>
      <c r="I99" s="135"/>
    </row>
    <row r="100" spans="1:9" ht="17.100000000000001" customHeight="1" x14ac:dyDescent="0.25">
      <c r="A100" s="135"/>
      <c r="B100" s="116"/>
      <c r="C100" s="417"/>
      <c r="D100" s="418"/>
      <c r="E100" s="418"/>
      <c r="F100" s="419"/>
      <c r="G100" s="399"/>
      <c r="H100" s="117"/>
      <c r="I100" s="135"/>
    </row>
    <row r="101" spans="1:9" ht="17.100000000000001" customHeight="1" x14ac:dyDescent="0.25">
      <c r="A101" s="135"/>
      <c r="B101" s="116"/>
      <c r="C101" s="417"/>
      <c r="D101" s="418"/>
      <c r="E101" s="418"/>
      <c r="F101" s="419"/>
      <c r="G101" s="399"/>
      <c r="H101" s="117"/>
      <c r="I101" s="135"/>
    </row>
    <row r="102" spans="1:9" x14ac:dyDescent="0.25">
      <c r="A102" s="135"/>
      <c r="B102" s="107"/>
      <c r="C102" s="286"/>
      <c r="D102" s="108"/>
      <c r="E102" s="108"/>
      <c r="F102" s="108"/>
      <c r="G102" s="108" t="str">
        <f t="shared" si="1"/>
        <v/>
      </c>
      <c r="H102" s="109"/>
      <c r="I102" s="135"/>
    </row>
    <row r="103" spans="1:9" s="348" customFormat="1" x14ac:dyDescent="0.25">
      <c r="A103" s="135"/>
    </row>
    <row r="104" spans="1:9" ht="24.95" customHeight="1" x14ac:dyDescent="0.25">
      <c r="A104" s="431"/>
      <c r="B104" s="310"/>
      <c r="C104" s="290" t="s">
        <v>289</v>
      </c>
      <c r="D104" s="289"/>
      <c r="E104" s="289"/>
      <c r="F104" s="291"/>
      <c r="G104" s="291"/>
      <c r="H104" s="311"/>
      <c r="I104" s="135"/>
    </row>
    <row r="105" spans="1:9" ht="20.100000000000001" customHeight="1" x14ac:dyDescent="0.25">
      <c r="A105" s="431"/>
      <c r="B105" s="116"/>
      <c r="C105" s="307" t="s">
        <v>8</v>
      </c>
      <c r="D105" s="307" t="s">
        <v>162</v>
      </c>
      <c r="E105" s="307" t="s">
        <v>163</v>
      </c>
      <c r="F105" s="307" t="s">
        <v>164</v>
      </c>
      <c r="G105" s="307" t="str">
        <f>"Total Cost " &amp; "(" &amp; currency &amp; ")"</f>
        <v>Total Cost ($)</v>
      </c>
      <c r="H105" s="117"/>
      <c r="I105" s="135"/>
    </row>
    <row r="106" spans="1:9" x14ac:dyDescent="0.25">
      <c r="A106" s="431"/>
      <c r="B106" s="116"/>
      <c r="C106" s="163" t="s">
        <v>8</v>
      </c>
      <c r="D106" s="163">
        <v>1</v>
      </c>
      <c r="E106" s="163" t="s">
        <v>9</v>
      </c>
      <c r="F106" s="148"/>
      <c r="G106" s="324"/>
      <c r="H106" s="117"/>
      <c r="I106" s="135"/>
    </row>
    <row r="107" spans="1:9" x14ac:dyDescent="0.25">
      <c r="A107" s="431"/>
      <c r="B107" s="116"/>
      <c r="C107" s="163" t="str">
        <f>IFERROR(IF($F$7=Calc!$C$7,"","From"),"")</f>
        <v>From</v>
      </c>
      <c r="D107" s="148"/>
      <c r="E107" s="163" t="str">
        <f>IFERROR(IF($F$7=Calc!$C$7,"","to"),"")</f>
        <v>to</v>
      </c>
      <c r="F107" s="148"/>
      <c r="G107" s="324"/>
      <c r="H107" s="117"/>
      <c r="I107" s="135"/>
    </row>
    <row r="108" spans="1:9" x14ac:dyDescent="0.25">
      <c r="A108" s="431"/>
      <c r="B108" s="116"/>
      <c r="C108" s="163" t="str">
        <f>IFERROR(IF($F$7=Calc!$C$7,"","From"),"")</f>
        <v>From</v>
      </c>
      <c r="D108" s="148"/>
      <c r="E108" s="163" t="str">
        <f>IFERROR(IF($F$7=Calc!$C$7,"","to"),"")</f>
        <v>to</v>
      </c>
      <c r="F108" s="148"/>
      <c r="G108" s="324"/>
      <c r="H108" s="117"/>
      <c r="I108" s="135"/>
    </row>
    <row r="109" spans="1:9" x14ac:dyDescent="0.25">
      <c r="A109" s="431"/>
      <c r="B109" s="116"/>
      <c r="C109" s="163" t="str">
        <f>IFERROR(IF($F$7=Calc!$C$7,"","From"),"")</f>
        <v>From</v>
      </c>
      <c r="D109" s="147"/>
      <c r="E109" s="163" t="str">
        <f>IFERROR(IF($F$7=Calc!$C$7,"","to"),"")</f>
        <v>to</v>
      </c>
      <c r="F109" s="147"/>
      <c r="G109" s="324"/>
      <c r="H109" s="117"/>
      <c r="I109" s="135"/>
    </row>
    <row r="110" spans="1:9" x14ac:dyDescent="0.25">
      <c r="A110" s="431"/>
      <c r="B110" s="116"/>
      <c r="C110" s="163" t="str">
        <f>IFERROR(IF($F$7=Calc!$C$7,"","From"),"")</f>
        <v>From</v>
      </c>
      <c r="D110" s="147"/>
      <c r="E110" s="163" t="str">
        <f>IFERROR(IF($F$7=Calc!$C$7,"","to"),"")</f>
        <v>to</v>
      </c>
      <c r="F110" s="147"/>
      <c r="G110" s="324"/>
      <c r="H110" s="117"/>
      <c r="I110" s="135"/>
    </row>
    <row r="111" spans="1:9" x14ac:dyDescent="0.25">
      <c r="A111" s="431"/>
      <c r="B111" s="107"/>
      <c r="C111" s="108"/>
      <c r="D111" s="108"/>
      <c r="E111" s="108"/>
      <c r="F111" s="108"/>
      <c r="G111" s="108"/>
      <c r="H111" s="109"/>
      <c r="I111" s="135"/>
    </row>
    <row r="112" spans="1:9" s="348" customFormat="1" x14ac:dyDescent="0.25">
      <c r="A112" s="431"/>
    </row>
    <row r="113" spans="1:9" ht="24.95" customHeight="1" x14ac:dyDescent="0.25">
      <c r="A113" s="432"/>
      <c r="B113" s="316"/>
      <c r="C113" s="293" t="s">
        <v>290</v>
      </c>
      <c r="D113" s="292"/>
      <c r="E113" s="292"/>
      <c r="F113" s="292"/>
      <c r="G113" s="292"/>
      <c r="H113" s="317"/>
      <c r="I113" s="309"/>
    </row>
    <row r="114" spans="1:9" ht="20.100000000000001" customHeight="1" x14ac:dyDescent="0.25">
      <c r="A114" s="432"/>
      <c r="B114" s="276"/>
      <c r="C114" s="308" t="s">
        <v>10</v>
      </c>
      <c r="D114" s="308" t="s">
        <v>2</v>
      </c>
      <c r="E114" s="308" t="s">
        <v>3</v>
      </c>
      <c r="F114" s="308" t="str">
        <f>"Unit Cost " &amp; "(" &amp; currency &amp; ")"</f>
        <v>Unit Cost ($)</v>
      </c>
      <c r="G114" s="308" t="str">
        <f>"Total Cost " &amp; "(" &amp; currency &amp; ")"</f>
        <v>Total Cost ($)</v>
      </c>
      <c r="H114" s="117"/>
      <c r="I114" s="309"/>
    </row>
    <row r="115" spans="1:9" ht="17.100000000000001" customHeight="1" x14ac:dyDescent="0.25">
      <c r="A115" s="432"/>
      <c r="B115" s="276"/>
      <c r="C115" s="383"/>
      <c r="D115" s="153"/>
      <c r="E115" s="153"/>
      <c r="F115" s="324"/>
      <c r="G115" s="157" t="str">
        <f>IFERROR(IF(AND(LEN($C115)&gt;0,LEN($D115)&gt;0,LEN($F115)&gt;0),$D115*$F115,""),"")</f>
        <v/>
      </c>
      <c r="H115" s="117"/>
      <c r="I115" s="309"/>
    </row>
    <row r="116" spans="1:9" ht="17.100000000000001" customHeight="1" x14ac:dyDescent="0.25">
      <c r="A116" s="432"/>
      <c r="B116" s="276"/>
      <c r="C116" s="383"/>
      <c r="D116" s="153"/>
      <c r="E116" s="153"/>
      <c r="F116" s="324"/>
      <c r="G116" s="157" t="str">
        <f t="shared" ref="G116:G124" si="2">IFERROR(IF(AND(LEN($C116)&gt;0,LEN($D116)&gt;0,LEN($F116)&gt;0),$D116*$F116,""),"")</f>
        <v/>
      </c>
      <c r="H116" s="117"/>
      <c r="I116" s="309"/>
    </row>
    <row r="117" spans="1:9" ht="17.100000000000001" customHeight="1" x14ac:dyDescent="0.25">
      <c r="A117" s="432"/>
      <c r="B117" s="276"/>
      <c r="C117" s="322"/>
      <c r="D117" s="153"/>
      <c r="E117" s="153"/>
      <c r="F117" s="324"/>
      <c r="G117" s="157" t="str">
        <f t="shared" si="2"/>
        <v/>
      </c>
      <c r="H117" s="117"/>
      <c r="I117" s="309"/>
    </row>
    <row r="118" spans="1:9" ht="17.100000000000001" customHeight="1" x14ac:dyDescent="0.25">
      <c r="A118" s="432"/>
      <c r="B118" s="276"/>
      <c r="C118" s="146"/>
      <c r="D118" s="153"/>
      <c r="E118" s="153"/>
      <c r="F118" s="324"/>
      <c r="G118" s="157" t="str">
        <f t="shared" si="2"/>
        <v/>
      </c>
      <c r="H118" s="117"/>
      <c r="I118" s="309"/>
    </row>
    <row r="119" spans="1:9" ht="17.100000000000001" customHeight="1" x14ac:dyDescent="0.25">
      <c r="A119" s="432"/>
      <c r="B119" s="276"/>
      <c r="C119" s="146"/>
      <c r="D119" s="153"/>
      <c r="E119" s="153"/>
      <c r="F119" s="324"/>
      <c r="G119" s="157" t="str">
        <f t="shared" si="2"/>
        <v/>
      </c>
      <c r="H119" s="117"/>
      <c r="I119" s="309"/>
    </row>
    <row r="120" spans="1:9" ht="17.100000000000001" customHeight="1" x14ac:dyDescent="0.25">
      <c r="A120" s="432"/>
      <c r="B120" s="276"/>
      <c r="C120" s="146"/>
      <c r="D120" s="153"/>
      <c r="E120" s="153"/>
      <c r="F120" s="324"/>
      <c r="G120" s="157" t="str">
        <f t="shared" si="2"/>
        <v/>
      </c>
      <c r="H120" s="117"/>
      <c r="I120" s="309"/>
    </row>
    <row r="121" spans="1:9" ht="17.100000000000001" customHeight="1" x14ac:dyDescent="0.25">
      <c r="A121" s="432"/>
      <c r="B121" s="276"/>
      <c r="C121" s="146"/>
      <c r="D121" s="153"/>
      <c r="E121" s="153"/>
      <c r="F121" s="324"/>
      <c r="G121" s="157" t="str">
        <f t="shared" si="2"/>
        <v/>
      </c>
      <c r="H121" s="117"/>
      <c r="I121" s="309"/>
    </row>
    <row r="122" spans="1:9" ht="17.100000000000001" customHeight="1" x14ac:dyDescent="0.25">
      <c r="A122" s="432"/>
      <c r="B122" s="276"/>
      <c r="C122" s="146"/>
      <c r="D122" s="153"/>
      <c r="E122" s="153"/>
      <c r="F122" s="324"/>
      <c r="G122" s="157" t="str">
        <f t="shared" si="2"/>
        <v/>
      </c>
      <c r="H122" s="117"/>
      <c r="I122" s="309"/>
    </row>
    <row r="123" spans="1:9" ht="17.100000000000001" customHeight="1" x14ac:dyDescent="0.25">
      <c r="A123" s="432"/>
      <c r="B123" s="276"/>
      <c r="C123" s="146"/>
      <c r="D123" s="153"/>
      <c r="E123" s="153"/>
      <c r="F123" s="324"/>
      <c r="G123" s="157" t="str">
        <f t="shared" si="2"/>
        <v/>
      </c>
      <c r="H123" s="117"/>
      <c r="I123" s="309"/>
    </row>
    <row r="124" spans="1:9" ht="17.100000000000001" customHeight="1" x14ac:dyDescent="0.25">
      <c r="A124" s="432"/>
      <c r="B124" s="276"/>
      <c r="C124" s="401"/>
      <c r="D124" s="415"/>
      <c r="E124" s="415"/>
      <c r="F124" s="416"/>
      <c r="G124" s="398" t="str">
        <f t="shared" si="2"/>
        <v/>
      </c>
      <c r="H124" s="117"/>
      <c r="I124" s="309"/>
    </row>
    <row r="125" spans="1:9" ht="17.100000000000001" customHeight="1" x14ac:dyDescent="0.25">
      <c r="A125" s="432"/>
      <c r="B125" s="421"/>
      <c r="C125" s="413"/>
      <c r="D125" s="418"/>
      <c r="E125" s="418"/>
      <c r="F125" s="419"/>
      <c r="G125" s="399"/>
      <c r="H125" s="117"/>
      <c r="I125" s="309"/>
    </row>
    <row r="126" spans="1:9" ht="17.100000000000001" customHeight="1" x14ac:dyDescent="0.25">
      <c r="A126" s="432"/>
      <c r="B126" s="421"/>
      <c r="C126" s="413"/>
      <c r="D126" s="418"/>
      <c r="E126" s="418"/>
      <c r="F126" s="419"/>
      <c r="G126" s="399"/>
      <c r="H126" s="117"/>
      <c r="I126" s="309"/>
    </row>
    <row r="127" spans="1:9" ht="17.100000000000001" customHeight="1" x14ac:dyDescent="0.25">
      <c r="A127" s="432"/>
      <c r="B127" s="421"/>
      <c r="C127" s="413"/>
      <c r="D127" s="418"/>
      <c r="E127" s="418"/>
      <c r="F127" s="419"/>
      <c r="G127" s="399"/>
      <c r="H127" s="117"/>
      <c r="I127" s="309"/>
    </row>
    <row r="128" spans="1:9" ht="17.100000000000001" customHeight="1" x14ac:dyDescent="0.25">
      <c r="A128" s="432"/>
      <c r="B128" s="421"/>
      <c r="C128" s="413"/>
      <c r="D128" s="418"/>
      <c r="E128" s="418"/>
      <c r="F128" s="419"/>
      <c r="G128" s="399"/>
      <c r="H128" s="117"/>
      <c r="I128" s="309"/>
    </row>
    <row r="129" spans="1:9" ht="17.100000000000001" customHeight="1" x14ac:dyDescent="0.25">
      <c r="A129" s="432"/>
      <c r="B129" s="421"/>
      <c r="C129" s="413"/>
      <c r="D129" s="418"/>
      <c r="E129" s="418"/>
      <c r="F129" s="419"/>
      <c r="G129" s="399"/>
      <c r="H129" s="117"/>
      <c r="I129" s="309"/>
    </row>
    <row r="130" spans="1:9" ht="17.100000000000001" customHeight="1" x14ac:dyDescent="0.25">
      <c r="A130" s="432"/>
      <c r="B130" s="421"/>
      <c r="C130" s="413"/>
      <c r="D130" s="418"/>
      <c r="E130" s="418"/>
      <c r="F130" s="419"/>
      <c r="G130" s="399"/>
      <c r="H130" s="117"/>
      <c r="I130" s="309"/>
    </row>
    <row r="131" spans="1:9" ht="17.100000000000001" customHeight="1" x14ac:dyDescent="0.25">
      <c r="A131" s="432"/>
      <c r="B131" s="421"/>
      <c r="C131" s="413"/>
      <c r="D131" s="418"/>
      <c r="E131" s="418"/>
      <c r="F131" s="419"/>
      <c r="G131" s="399"/>
      <c r="H131" s="117"/>
      <c r="I131" s="309"/>
    </row>
    <row r="132" spans="1:9" ht="17.100000000000001" customHeight="1" x14ac:dyDescent="0.25">
      <c r="A132" s="432"/>
      <c r="B132" s="421"/>
      <c r="C132" s="413"/>
      <c r="D132" s="418"/>
      <c r="E132" s="418"/>
      <c r="F132" s="419"/>
      <c r="G132" s="399"/>
      <c r="H132" s="117"/>
      <c r="I132" s="309"/>
    </row>
    <row r="133" spans="1:9" ht="17.100000000000001" customHeight="1" x14ac:dyDescent="0.25">
      <c r="A133" s="432"/>
      <c r="B133" s="421"/>
      <c r="C133" s="413"/>
      <c r="D133" s="418"/>
      <c r="E133" s="418"/>
      <c r="F133" s="419"/>
      <c r="G133" s="399"/>
      <c r="H133" s="117"/>
      <c r="I133" s="135"/>
    </row>
    <row r="134" spans="1:9" ht="17.100000000000001" customHeight="1" x14ac:dyDescent="0.25">
      <c r="A134" s="432"/>
      <c r="B134" s="421"/>
      <c r="C134" s="413"/>
      <c r="D134" s="418"/>
      <c r="E134" s="418"/>
      <c r="F134" s="419"/>
      <c r="G134" s="399"/>
      <c r="H134" s="117"/>
      <c r="I134" s="135"/>
    </row>
    <row r="135" spans="1:9" ht="17.100000000000001" customHeight="1" x14ac:dyDescent="0.25">
      <c r="A135" s="432"/>
      <c r="B135" s="421"/>
      <c r="C135" s="413"/>
      <c r="D135" s="418"/>
      <c r="E135" s="418"/>
      <c r="F135" s="419"/>
      <c r="G135" s="399"/>
      <c r="H135" s="117"/>
      <c r="I135" s="135"/>
    </row>
    <row r="136" spans="1:9" ht="17.100000000000001" customHeight="1" x14ac:dyDescent="0.25">
      <c r="A136" s="432"/>
      <c r="B136" s="421"/>
      <c r="C136" s="413"/>
      <c r="D136" s="418"/>
      <c r="E136" s="418"/>
      <c r="F136" s="419"/>
      <c r="G136" s="399"/>
      <c r="H136" s="117"/>
      <c r="I136" s="135"/>
    </row>
    <row r="137" spans="1:9" ht="17.100000000000001" customHeight="1" x14ac:dyDescent="0.25">
      <c r="A137" s="432"/>
      <c r="B137" s="421"/>
      <c r="C137" s="413"/>
      <c r="D137" s="418"/>
      <c r="E137" s="418"/>
      <c r="F137" s="419"/>
      <c r="G137" s="399"/>
      <c r="H137" s="117"/>
      <c r="I137" s="135"/>
    </row>
    <row r="138" spans="1:9" ht="17.100000000000001" customHeight="1" x14ac:dyDescent="0.25">
      <c r="A138" s="432"/>
      <c r="B138" s="421"/>
      <c r="C138" s="413"/>
      <c r="D138" s="418"/>
      <c r="E138" s="418"/>
      <c r="F138" s="419"/>
      <c r="G138" s="399"/>
      <c r="H138" s="117"/>
      <c r="I138" s="135"/>
    </row>
    <row r="139" spans="1:9" ht="17.100000000000001" customHeight="1" x14ac:dyDescent="0.25">
      <c r="A139" s="432"/>
      <c r="B139" s="421"/>
      <c r="C139" s="413"/>
      <c r="D139" s="418"/>
      <c r="E139" s="418"/>
      <c r="F139" s="419"/>
      <c r="G139" s="399"/>
      <c r="H139" s="117"/>
      <c r="I139" s="135"/>
    </row>
    <row r="140" spans="1:9" ht="17.100000000000001" customHeight="1" x14ac:dyDescent="0.25">
      <c r="A140" s="432"/>
      <c r="B140" s="421"/>
      <c r="C140" s="413"/>
      <c r="D140" s="418"/>
      <c r="E140" s="418"/>
      <c r="F140" s="419"/>
      <c r="G140" s="399"/>
      <c r="H140" s="117"/>
      <c r="I140" s="135"/>
    </row>
    <row r="141" spans="1:9" ht="17.100000000000001" customHeight="1" x14ac:dyDescent="0.25">
      <c r="A141" s="432"/>
      <c r="B141" s="421"/>
      <c r="C141" s="413"/>
      <c r="D141" s="418"/>
      <c r="E141" s="418"/>
      <c r="F141" s="419"/>
      <c r="G141" s="399"/>
      <c r="H141" s="117"/>
      <c r="I141" s="135"/>
    </row>
    <row r="142" spans="1:9" ht="17.100000000000001" customHeight="1" x14ac:dyDescent="0.25">
      <c r="A142" s="432"/>
      <c r="B142" s="421"/>
      <c r="C142" s="413"/>
      <c r="D142" s="418"/>
      <c r="E142" s="418"/>
      <c r="F142" s="419"/>
      <c r="G142" s="399"/>
      <c r="H142" s="117"/>
      <c r="I142" s="135"/>
    </row>
    <row r="143" spans="1:9" ht="17.100000000000001" customHeight="1" x14ac:dyDescent="0.25">
      <c r="A143" s="432"/>
      <c r="B143" s="421"/>
      <c r="C143" s="422"/>
      <c r="D143" s="418"/>
      <c r="E143" s="418"/>
      <c r="F143" s="419"/>
      <c r="G143" s="399"/>
      <c r="H143" s="117"/>
      <c r="I143" s="135"/>
    </row>
    <row r="144" spans="1:9" ht="17.100000000000001" customHeight="1" x14ac:dyDescent="0.25">
      <c r="A144" s="432"/>
      <c r="B144" s="421"/>
      <c r="C144" s="422"/>
      <c r="D144" s="418"/>
      <c r="E144" s="418"/>
      <c r="F144" s="419"/>
      <c r="G144" s="399"/>
      <c r="H144" s="117"/>
      <c r="I144" s="135"/>
    </row>
    <row r="145" spans="1:8" ht="9.9499999999999993" customHeight="1" x14ac:dyDescent="0.25">
      <c r="A145" s="432"/>
      <c r="B145" s="107"/>
      <c r="C145" s="108"/>
      <c r="D145" s="108"/>
      <c r="E145" s="108"/>
      <c r="F145" s="108"/>
      <c r="G145" s="108"/>
      <c r="H145" s="109"/>
    </row>
    <row r="146" spans="1:8" ht="7.15" customHeight="1" x14ac:dyDescent="0.25"/>
    <row r="147" spans="1:8" s="114" customFormat="1" ht="22.9" customHeight="1" x14ac:dyDescent="0.25">
      <c r="B147" s="111"/>
      <c r="C147" s="111"/>
      <c r="D147" s="111"/>
      <c r="E147" s="112"/>
      <c r="F147" s="113"/>
      <c r="G147" s="113"/>
      <c r="H147" s="111"/>
    </row>
  </sheetData>
  <sheetProtection algorithmName="SHA-512" hashValue="UdfmdZQcCIoQ9mnFpbpnK8eHS5/pjUtz2NemQyfIbt3lcAQIqHC0Z7Mn41V6G5zhvxI2svfJMSScFoM1jqBujQ==" saltValue="avydDZHwedgpd3D0YZTnRg==" spinCount="100000" sheet="1" objects="1" scenarios="1" formatCells="0"/>
  <mergeCells count="5">
    <mergeCell ref="A12:A34"/>
    <mergeCell ref="A104:A112"/>
    <mergeCell ref="A80:A95"/>
    <mergeCell ref="A113:A145"/>
    <mergeCell ref="A36:A79"/>
  </mergeCells>
  <phoneticPr fontId="25" type="noConversion"/>
  <dataValidations count="7">
    <dataValidation type="list" allowBlank="1" showInputMessage="1" showErrorMessage="1" sqref="C38:C47" xr:uid="{AD9107F3-7BF5-4AD8-9CAC-CE1EEF865ED2}">
      <formula1>materials_dd</formula1>
    </dataValidation>
    <dataValidation type="custom" errorStyle="warning" allowBlank="1" showErrorMessage="1" errorTitle="Warning!" error="Net Price is lower than COGS!" sqref="D21" xr:uid="{4A1C1BD2-3914-4984-95C9-A29041E023C1}">
      <formula1>IF($D$23&gt;=$D$15,TRUE,FALSE)</formula1>
    </dataValidation>
    <dataValidation type="custom" errorStyle="warning" allowBlank="1" showErrorMessage="1" errorTitle="Warning!" error="Pre-Tax Price is lower than Base Price!" sqref="E21" xr:uid="{107EC0B9-4681-4E34-87AD-A8C34C4E96B0}">
      <formula1>IF($E$23&gt;=$E$15,TRUE,FALSE)</formula1>
    </dataValidation>
    <dataValidation type="list" allowBlank="1" showInputMessage="1" showErrorMessage="1" sqref="E82:E86 E115:E124" xr:uid="{02854767-720C-43A0-A420-BAF91BD76A22}">
      <formula1>units_dd</formula1>
    </dataValidation>
    <dataValidation type="list" allowBlank="1" showInputMessage="1" showErrorMessage="1" sqref="G7" xr:uid="{21A8F9D2-3B87-4AC0-B183-53FAE40F48F2}">
      <formula1>salesplatforms_dd</formula1>
    </dataValidation>
    <dataValidation type="whole" operator="greaterThanOrEqual" allowBlank="1" showErrorMessage="1" errorTitle="Warning!" error="Please enter a whole number." sqref="E7" xr:uid="{30C67938-2537-4BE6-AE39-A0B4F648EA71}">
      <formula1>0</formula1>
    </dataValidation>
    <dataValidation type="decimal" operator="greaterThanOrEqual" allowBlank="1" showErrorMessage="1" errorTitle="Warning" error="Please enter a number." sqref="D115:D124 F82:F86 D38:D47 D107:D110 F106:G110 D82:D86 F115:F124" xr:uid="{E8A820E3-05A3-4492-A7FB-8EB486A473F4}">
      <formula1>0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0" fitToHeight="0" orientation="portrait" r:id="rId1"/>
  <rowBreaks count="1" manualBreakCount="1">
    <brk id="78" max="16383" man="1"/>
  </row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C0C9BF4-1A30-4447-8B41-EAA3165C5047}">
            <xm:f>$F$7=Calc!$C$7</xm:f>
            <x14:dxf>
              <fill>
                <patternFill patternType="none">
                  <bgColor auto="1"/>
                </patternFill>
              </fill>
              <border>
                <left/>
                <right/>
                <bottom/>
                <vertical/>
                <horizontal/>
              </border>
            </x14:dxf>
          </x14:cfRule>
          <xm:sqref>C107:G107</xm:sqref>
        </x14:conditionalFormatting>
        <x14:conditionalFormatting xmlns:xm="http://schemas.microsoft.com/office/excel/2006/main">
          <x14:cfRule type="expression" priority="4" id="{01D5DB0F-DA36-465C-B16B-4A431A11F32B}">
            <xm:f>$F$7=Calc!$C$7</xm:f>
            <x14:dxf>
              <fill>
                <patternFill patternType="none">
                  <bgColor auto="1"/>
                </patternFill>
              </fill>
              <border>
                <left/>
                <right/>
                <top/>
                <bottom/>
              </border>
            </x14:dxf>
          </x14:cfRule>
          <xm:sqref>C108:G110</xm:sqref>
        </x14:conditionalFormatting>
        <x14:conditionalFormatting xmlns:xm="http://schemas.microsoft.com/office/excel/2006/main">
          <x14:cfRule type="expression" priority="2" id="{839A7BC0-60A1-45B7-8DC7-0580086D1AC8}">
            <xm:f>$F$7=Calc!$C$7</xm:f>
            <x14:dxf>
              <font>
                <color theme="0"/>
              </font>
            </x14:dxf>
          </x14:cfRule>
          <xm:sqref>D107:D110 F107:G110</xm:sqref>
        </x14:conditionalFormatting>
        <x14:conditionalFormatting xmlns:xm="http://schemas.microsoft.com/office/excel/2006/main">
          <x14:cfRule type="expression" priority="1" id="{7155779E-6CF2-411F-9462-59D134F2B779}">
            <xm:f>$F$7=Calc!$C$7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F106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59380F2-3B2C-4225-AF3B-676C67606EA6}">
          <x14:formula1>
            <xm:f>Calc!$C$15:$C$17</xm:f>
          </x14:formula1>
          <xm:sqref>G14</xm:sqref>
        </x14:dataValidation>
        <x14:dataValidation type="list" allowBlank="1" showInputMessage="1" showErrorMessage="1" xr:uid="{1B4FF18F-A53F-4010-8930-5934C7439C69}">
          <x14:formula1>
            <xm:f>Calc!$C$7:$C$8</xm:f>
          </x14:formula1>
          <xm:sqref>F7</xm:sqref>
        </x14:dataValidation>
        <x14:dataValidation type="custom" errorStyle="warning" allowBlank="1" showErrorMessage="1" errorTitle="Warning!" error="Planned Sales Price is lower than COGS!" xr:uid="{774871D8-7637-4DF2-93D8-65EF4E8BBE4E}">
          <x14:formula1>
            <xm:f>IF(AND($G$14=Calc!$C$16,$D$17&lt;$D$15),FALSE,TRUE)</xm:f>
          </x14:formula1>
          <xm:sqref>D17</xm:sqref>
        </x14:dataValidation>
        <x14:dataValidation type="custom" errorStyle="warning" allowBlank="1" showErrorMessage="1" errorTitle="Warning!" error="Planned Sales Price is lower than Base Price!" xr:uid="{B5936FD5-A71F-4122-A9BE-C732650423CD}">
          <x14:formula1>
            <xm:f>IF(AND($G$14=Calc!$C$16,$E$17&lt;$E$15),FALSE,TRUE)</xm:f>
          </x14:formula1>
          <xm:sqref>E17</xm:sqref>
        </x14:dataValidation>
        <x14:dataValidation type="list" allowBlank="1" xr:uid="{85771A36-B425-4218-93E0-43CABE58ABCE}">
          <x14:formula1>
            <xm:f>OFFSET(Calc!$J$4,,,Calc!$J$2)</xm:f>
          </x14:formula1>
          <xm:sqref>G23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AB477-82F5-430E-A3EE-3253221FAF93}">
  <sheetPr codeName="Sheet4">
    <pageSetUpPr autoPageBreaks="0" fitToPage="1"/>
  </sheetPr>
  <dimension ref="A1:X110"/>
  <sheetViews>
    <sheetView showGridLines="0" showRowColHeaders="0" zoomScaleNormal="100" zoomScaleSheetLayoutView="85" workbookViewId="0">
      <pane ySplit="4" topLeftCell="A5" activePane="bottomLeft" state="frozen"/>
      <selection activeCell="N8" sqref="N8"/>
      <selection pane="bottomLeft" activeCell="A5" sqref="A5"/>
    </sheetView>
  </sheetViews>
  <sheetFormatPr defaultColWidth="8.85546875" defaultRowHeight="15" x14ac:dyDescent="0.25"/>
  <cols>
    <col min="1" max="1" width="3.7109375" style="110" customWidth="1"/>
    <col min="2" max="2" width="2.7109375" style="110" customWidth="1"/>
    <col min="3" max="3" width="3.7109375" style="110" customWidth="1"/>
    <col min="4" max="4" width="12.7109375" style="110" customWidth="1"/>
    <col min="5" max="5" width="30.7109375" style="110" customWidth="1"/>
    <col min="6" max="9" width="12.7109375" style="110" hidden="1" customWidth="1"/>
    <col min="10" max="14" width="12.7109375" style="110" customWidth="1"/>
    <col min="15" max="15" width="15.7109375" style="110" customWidth="1"/>
    <col min="16" max="16" width="2.7109375" style="110" customWidth="1"/>
    <col min="17" max="22" width="15.7109375" style="110" customWidth="1"/>
    <col min="23" max="23" width="2.7109375" style="110" customWidth="1"/>
    <col min="24" max="24" width="1.7109375" style="110" customWidth="1"/>
    <col min="25" max="16384" width="8.85546875" style="110"/>
  </cols>
  <sheetData>
    <row r="1" spans="1:24" s="114" customFormat="1" ht="6.75" customHeight="1" x14ac:dyDescent="0.25">
      <c r="B1" s="119"/>
      <c r="C1" s="119"/>
      <c r="F1" s="120"/>
      <c r="G1" s="120"/>
      <c r="H1" s="120"/>
      <c r="I1" s="120"/>
      <c r="J1" s="120"/>
      <c r="K1" s="120"/>
      <c r="L1" s="120"/>
    </row>
    <row r="2" spans="1:24" s="121" customFormat="1" ht="20.100000000000001" customHeight="1" x14ac:dyDescent="0.25">
      <c r="B2" s="122"/>
      <c r="C2" s="122"/>
      <c r="D2" s="168" t="s">
        <v>247</v>
      </c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6"/>
      <c r="Q2" s="126"/>
      <c r="R2" s="126"/>
      <c r="S2" s="126"/>
      <c r="T2" s="126"/>
      <c r="U2" s="126"/>
      <c r="V2" s="126"/>
      <c r="W2" s="125"/>
      <c r="X2" s="127"/>
    </row>
    <row r="3" spans="1:24" s="128" customFormat="1" ht="24" customHeight="1" x14ac:dyDescent="0.25">
      <c r="B3" s="129"/>
      <c r="C3" s="129"/>
      <c r="D3" s="174" t="s">
        <v>315</v>
      </c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3"/>
      <c r="Q3" s="133"/>
      <c r="R3" s="133"/>
      <c r="S3" s="133"/>
      <c r="T3" s="133"/>
      <c r="U3" s="133"/>
      <c r="V3" s="133"/>
      <c r="W3" s="132"/>
      <c r="X3" s="134"/>
    </row>
    <row r="4" spans="1:24" ht="4.9000000000000004" customHeight="1" x14ac:dyDescent="0.25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</row>
    <row r="5" spans="1:24" ht="4.9000000000000004" customHeight="1" x14ac:dyDescent="0.25">
      <c r="A5" s="135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</row>
    <row r="6" spans="1:24" ht="9.9499999999999993" customHeight="1" x14ac:dyDescent="0.25">
      <c r="A6" s="135"/>
      <c r="B6" s="136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2"/>
      <c r="X6" s="135"/>
    </row>
    <row r="7" spans="1:24" ht="34.5" customHeight="1" x14ac:dyDescent="0.25">
      <c r="B7" s="116"/>
      <c r="C7" s="39" t="s">
        <v>242</v>
      </c>
      <c r="D7" s="39" t="s">
        <v>70</v>
      </c>
      <c r="E7" s="39" t="s">
        <v>29</v>
      </c>
      <c r="F7" s="39" t="s">
        <v>27</v>
      </c>
      <c r="G7" s="39" t="s">
        <v>28</v>
      </c>
      <c r="H7" s="39" t="s">
        <v>35</v>
      </c>
      <c r="I7" s="39" t="s">
        <v>11</v>
      </c>
      <c r="J7" s="39" t="str">
        <f>"COGS " &amp; "(" &amp; currency &amp; ")"</f>
        <v>COGS ($)</v>
      </c>
      <c r="K7" s="39" t="str">
        <f>"Markup " &amp; "(" &amp; currency &amp; ")"</f>
        <v>Markup ($)</v>
      </c>
      <c r="L7" s="39" t="str">
        <f>"Discount " &amp; "(" &amp; currency &amp; ")"</f>
        <v>Discount ($)</v>
      </c>
      <c r="M7" s="39" t="str">
        <f>"Tax " &amp; "(" &amp; currency &amp; ")"</f>
        <v>Tax ($)</v>
      </c>
      <c r="N7" s="39" t="str">
        <f>"Listing Fee " &amp; "(" &amp; currency &amp; ")"</f>
        <v>Listing Fee ($)</v>
      </c>
      <c r="O7" s="39" t="str">
        <f>"Sales Price " &amp; "(" &amp; currency &amp; ")"</f>
        <v>Sales Price ($)</v>
      </c>
      <c r="P7" s="115"/>
      <c r="Q7" s="274" t="s">
        <v>280</v>
      </c>
      <c r="R7" s="274" t="s">
        <v>281</v>
      </c>
      <c r="S7" s="274" t="s">
        <v>316</v>
      </c>
      <c r="T7" s="274" t="s">
        <v>314</v>
      </c>
      <c r="U7" s="274" t="s">
        <v>283</v>
      </c>
      <c r="V7" s="274" t="s">
        <v>282</v>
      </c>
      <c r="W7" s="117"/>
    </row>
    <row r="8" spans="1:24" x14ac:dyDescent="0.25">
      <c r="B8" s="116"/>
      <c r="C8" s="212">
        <v>1</v>
      </c>
      <c r="D8" s="211" t="str">
        <f t="array" ref="D8">IFERROR(IF(LEN(INDEX(Database!$G$10:$G$19,$C8,1))&gt;0,INDEX(Database!$G$10:$G$19,$C8,1),""),"")</f>
        <v>SER-1</v>
      </c>
      <c r="E8" s="211" t="str">
        <f t="shared" ref="E8:E17" si="0">IFERROR(IF(LEN(INDEX(productNames,$C8,1))&gt;0,INDEX(productNames,$C8,1),""),"")</f>
        <v>SteelWood GlassBox</v>
      </c>
      <c r="F8" s="270">
        <f t="array" ref="F8">IFERROR(IF(LEN(INDEX(Database!$LC$10:$LC$19,$C8,1))&gt;0,INDEX(Database!$LC$10:$LC$19,$C8,1),""),"")</f>
        <v>235.22857142857146</v>
      </c>
      <c r="G8" s="270">
        <f t="array" ref="G8">IFERROR(IF(LEN(INDEX(Database!$LD$10:$LD$19,$C8,1))&gt;0,INDEX(Database!$LD$10:$LD$19,$C8,1),""),"")</f>
        <v>330</v>
      </c>
      <c r="H8" s="270">
        <f t="array" ref="H8">IFERROR(IF(LEN(INDEX(Database!$LE$10:$LE$19,$C8,1))&gt;0,INDEX(Database!$LE$10:$LE$19,$C8,1),""),"")</f>
        <v>50</v>
      </c>
      <c r="I8" s="270">
        <f t="array" ref="I8">IFERROR(IF(LEN(INDEX(Database!$LF$10:$LF$19,$C8,1))&gt;0,INDEX(Database!$LF$10:$LF$19,$C8,1),""),"")</f>
        <v>108</v>
      </c>
      <c r="J8" s="270">
        <f t="array" ref="J8">IFERROR(IF(LEN(INDEX(Database!LH$10:LH$19,$C8,1))&gt;0,INDEX(Database!LH$10:LH$19,$C8,1),""),"")</f>
        <v>723.22857142857151</v>
      </c>
      <c r="K8" s="268">
        <f t="array" ref="K8">IFERROR(IF(LEN(INDEX(Database!LI$10:LI$19,$C8,1))&gt;0,INDEX(Database!LI$10:LI$19,$C8,1),""),"")</f>
        <v>361.6142857142857</v>
      </c>
      <c r="L8" s="268">
        <f t="array" ref="L8">IFERROR(IF(LEN(INDEX(Database!LJ$10:LJ$19,$C8,1))&gt;0,-INDEX(Database!LJ$10:LJ$19,$C8,1),""),"")</f>
        <v>-108.48428571428572</v>
      </c>
      <c r="M8" s="268">
        <f t="array" ref="M8">IFERROR(IF(LEN(INDEX(Database!LK$10:LK$19,$C8,1))&gt;0,INDEX(Database!LK$10:LK$19,$C8,1),""),"")</f>
        <v>78.108685714285713</v>
      </c>
      <c r="N8" s="268">
        <f t="array" ref="N8">IFERROR(IF(LEN(INDEX(Database!LL$10:LL$19,$C8,1))&gt;0,INDEX(Database!LL$10:LL$19,$C8,1),""),"")</f>
        <v>10.651184415584339</v>
      </c>
      <c r="O8" s="267">
        <f t="array" ref="O8">IFERROR(IF(LEN(INDEX(Database!LM$10:LM$19,$C8,1))&gt;0,INDEX(Database!LM$10:LM$19,$C8,1),""),"")</f>
        <v>1065.1184415584414</v>
      </c>
      <c r="P8" s="115"/>
      <c r="Q8" s="269">
        <v>1150</v>
      </c>
      <c r="R8" s="269"/>
      <c r="S8" s="269"/>
      <c r="T8" s="269">
        <v>956</v>
      </c>
      <c r="U8" s="269">
        <v>1235</v>
      </c>
      <c r="V8" s="269">
        <v>1560</v>
      </c>
      <c r="W8" s="117"/>
    </row>
    <row r="9" spans="1:24" x14ac:dyDescent="0.25">
      <c r="B9" s="116"/>
      <c r="C9" s="212">
        <v>2</v>
      </c>
      <c r="D9" s="211" t="str">
        <f t="array" ref="D9">IFERROR(IF(LEN(INDEX(Database!$G$10:$G$19,$C9,1))&gt;0,INDEX(Database!$G$10:$G$19,$C9,1),""),"")</f>
        <v>SER-2</v>
      </c>
      <c r="E9" s="211" t="str">
        <f t="shared" si="0"/>
        <v>SteelWood GlassShelf</v>
      </c>
      <c r="F9" s="270">
        <f t="array" ref="F9">IFERROR(IF(LEN(INDEX(Database!$LC$10:$LC$19,$C9,1))&gt;0,INDEX(Database!$LC$10:$LC$19,$C9,1),""),"")</f>
        <v>805</v>
      </c>
      <c r="G9" s="270">
        <f t="array" ref="G9">IFERROR(IF(LEN(INDEX(Database!$LD$10:$LD$19,$C9,1))&gt;0,INDEX(Database!$LD$10:$LD$19,$C9,1),""),"")</f>
        <v>1720</v>
      </c>
      <c r="H9" s="270">
        <f t="array" ref="H9">IFERROR(IF(LEN(INDEX(Database!$LE$10:$LE$19,$C9,1))&gt;0,INDEX(Database!$LE$10:$LE$19,$C9,1),""),"")</f>
        <v>30</v>
      </c>
      <c r="I9" s="270">
        <f t="array" ref="I9">IFERROR(IF(LEN(INDEX(Database!$LF$10:$LF$19,$C9,1))&gt;0,INDEX(Database!$LF$10:$LF$19,$C9,1),""),"")</f>
        <v>186</v>
      </c>
      <c r="J9" s="270">
        <f t="array" ref="J9">IFERROR(IF(LEN(INDEX(Database!LH$10:LH$19,$C9,1))&gt;0,INDEX(Database!LH$10:LH$19,$C9,1),""),"")</f>
        <v>2741</v>
      </c>
      <c r="K9" s="268">
        <f t="array" ref="K9">IFERROR(IF(LEN(INDEX(Database!LI$10:LI$19,$C9,1))&gt;0,INDEX(Database!LI$10:LI$19,$C9,1),""),"")</f>
        <v>1259</v>
      </c>
      <c r="L9" s="268">
        <f t="array" ref="L9">IFERROR(IF(LEN(INDEX(Database!LJ$10:LJ$19,$C9,1))&gt;0,-INDEX(Database!LJ$10:LJ$19,$C9,1),""),"")</f>
        <v>-200</v>
      </c>
      <c r="M9" s="268">
        <f t="array" ref="M9">IFERROR(IF(LEN(INDEX(Database!LK$10:LK$19,$C9,1))&gt;0,INDEX(Database!LK$10:LK$19,$C9,1),""),"")</f>
        <v>684</v>
      </c>
      <c r="N9" s="268">
        <f t="array" ref="N9">IFERROR(IF(LEN(INDEX(Database!LL$10:LL$19,$C9,1))&gt;0,INDEX(Database!LL$10:LL$19,$C9,1),""),"")</f>
        <v>45.29292929292933</v>
      </c>
      <c r="O9" s="267">
        <f t="array" ref="O9">IFERROR(IF(LEN(INDEX(Database!LM$10:LM$19,$C9,1))&gt;0,INDEX(Database!LM$10:LM$19,$C9,1),""),"")</f>
        <v>4529.2929292929293</v>
      </c>
      <c r="P9" s="115"/>
      <c r="Q9" s="269">
        <v>4350</v>
      </c>
      <c r="R9" s="269">
        <v>3960</v>
      </c>
      <c r="S9" s="269">
        <v>4820</v>
      </c>
      <c r="T9" s="269"/>
      <c r="U9" s="269"/>
      <c r="V9" s="269"/>
      <c r="W9" s="117"/>
    </row>
    <row r="10" spans="1:24" x14ac:dyDescent="0.25">
      <c r="B10" s="116"/>
      <c r="C10" s="212">
        <v>3</v>
      </c>
      <c r="D10" s="211" t="str">
        <f t="array" ref="D10">IFERROR(IF(LEN(INDEX(Database!$G$10:$G$19,$C10,1))&gt;0,INDEX(Database!$G$10:$G$19,$C10,1),""),"")</f>
        <v>SER-3</v>
      </c>
      <c r="E10" s="211" t="str">
        <f t="shared" si="0"/>
        <v>Glasswood Desk</v>
      </c>
      <c r="F10" s="270">
        <f t="array" ref="F10">IFERROR(IF(LEN(INDEX(Database!$LC$10:$LC$19,$C10,1))&gt;0,INDEX(Database!$LC$10:$LC$19,$C10,1),""),"")</f>
        <v>627.13333333333333</v>
      </c>
      <c r="G10" s="270">
        <f t="array" ref="G10">IFERROR(IF(LEN(INDEX(Database!$LD$10:$LD$19,$C10,1))&gt;0,INDEX(Database!$LD$10:$LD$19,$C10,1),""),"")</f>
        <v>700</v>
      </c>
      <c r="H10" s="270">
        <f t="array" ref="H10">IFERROR(IF(LEN(INDEX(Database!$LE$10:$LE$19,$C10,1))&gt;0,INDEX(Database!$LE$10:$LE$19,$C10,1),""),"")</f>
        <v>100</v>
      </c>
      <c r="I10" s="270">
        <f t="array" ref="I10">IFERROR(IF(LEN(INDEX(Database!$LF$10:$LF$19,$C10,1))&gt;0,INDEX(Database!$LF$10:$LF$19,$C10,1),""),"")</f>
        <v>230</v>
      </c>
      <c r="J10" s="270">
        <f t="array" ref="J10">IFERROR(IF(LEN(INDEX(Database!LH$10:LH$19,$C10,1))&gt;0,INDEX(Database!LH$10:LH$19,$C10,1),""),"")</f>
        <v>1657.1333333333332</v>
      </c>
      <c r="K10" s="268">
        <f t="array" ref="K10">IFERROR(IF(LEN(INDEX(Database!LI$10:LI$19,$C10,1))&gt;0,INDEX(Database!LI$10:LI$19,$C10,1),""),"")</f>
        <v>1000</v>
      </c>
      <c r="L10" s="268" t="str">
        <f t="array" ref="L10">IFERROR(IF(LEN(INDEX(Database!LJ$10:LJ$19,$C10,1))&gt;0,-INDEX(Database!LJ$10:LJ$19,$C10,1),""),"")</f>
        <v/>
      </c>
      <c r="M10" s="268">
        <f t="array" ref="M10">IFERROR(IF(LEN(INDEX(Database!LK$10:LK$19,$C10,1))&gt;0,INDEX(Database!LK$10:LK$19,$C10,1),""),"")</f>
        <v>212.57066666666665</v>
      </c>
      <c r="N10" s="268">
        <f t="array" ref="N10">IFERROR(IF(LEN(INDEX(Database!LL$10:LL$19,$C10,1))&gt;0,INDEX(Database!LL$10:LL$19,$C10,1),""),"")</f>
        <v>28.986909090909194</v>
      </c>
      <c r="O10" s="267">
        <f t="array" ref="O10">IFERROR(IF(LEN(INDEX(Database!LM$10:LM$19,$C10,1))&gt;0,INDEX(Database!LM$10:LM$19,$C10,1),""),"")</f>
        <v>2898.6909090909089</v>
      </c>
      <c r="P10" s="115"/>
      <c r="Q10" s="269">
        <v>2600</v>
      </c>
      <c r="R10" s="269"/>
      <c r="S10" s="269">
        <v>2450</v>
      </c>
      <c r="T10" s="269"/>
      <c r="U10" s="269">
        <v>2823.68</v>
      </c>
      <c r="V10" s="269"/>
      <c r="W10" s="117"/>
    </row>
    <row r="11" spans="1:24" x14ac:dyDescent="0.25">
      <c r="B11" s="116"/>
      <c r="C11" s="212">
        <v>4</v>
      </c>
      <c r="D11" s="211" t="str">
        <f t="array" ref="D11">IFERROR(IF(LEN(INDEX(Database!$G$10:$G$19,$C11,1))&gt;0,INDEX(Database!$G$10:$G$19,$C11,1),""),"")</f>
        <v/>
      </c>
      <c r="E11" s="211" t="str">
        <f t="shared" si="0"/>
        <v/>
      </c>
      <c r="F11" s="270" t="str">
        <f t="array" ref="F11">IFERROR(IF(LEN(INDEX(Database!$LC$10:$LC$19,$C11,1))&gt;0,INDEX(Database!$LC$10:$LC$19,$C11,1),""),"")</f>
        <v/>
      </c>
      <c r="G11" s="270" t="str">
        <f t="array" ref="G11">IFERROR(IF(LEN(INDEX(Database!$LD$10:$LD$19,$C11,1))&gt;0,INDEX(Database!$LD$10:$LD$19,$C11,1),""),"")</f>
        <v/>
      </c>
      <c r="H11" s="270" t="str">
        <f t="array" ref="H11">IFERROR(IF(LEN(INDEX(Database!$LE$10:$LE$19,$C11,1))&gt;0,INDEX(Database!$LE$10:$LE$19,$C11,1),""),"")</f>
        <v/>
      </c>
      <c r="I11" s="270" t="str">
        <f t="array" ref="I11">IFERROR(IF(LEN(INDEX(Database!$LF$10:$LF$19,$C11,1))&gt;0,INDEX(Database!$LF$10:$LF$19,$C11,1),""),"")</f>
        <v/>
      </c>
      <c r="J11" s="270" t="str">
        <f t="array" ref="J11">IFERROR(IF(LEN(INDEX(Database!LH$10:LH$19,$C11,1))&gt;0,INDEX(Database!LH$10:LH$19,$C11,1),""),"")</f>
        <v/>
      </c>
      <c r="K11" s="268" t="str">
        <f t="array" ref="K11">IFERROR(IF(LEN(INDEX(Database!LI$10:LI$19,$C11,1))&gt;0,INDEX(Database!LI$10:LI$19,$C11,1),""),"")</f>
        <v/>
      </c>
      <c r="L11" s="268" t="str">
        <f t="array" ref="L11">IFERROR(IF(LEN(INDEX(Database!LJ$10:LJ$19,$C11,1))&gt;0,-INDEX(Database!LJ$10:LJ$19,$C11,1),""),"")</f>
        <v/>
      </c>
      <c r="M11" s="268" t="str">
        <f t="array" ref="M11">IFERROR(IF(LEN(INDEX(Database!LK$10:LK$19,$C11,1))&gt;0,INDEX(Database!LK$10:LK$19,$C11,1),""),"")</f>
        <v/>
      </c>
      <c r="N11" s="268" t="str">
        <f t="array" ref="N11">IFERROR(IF(LEN(INDEX(Database!LL$10:LL$19,$C11,1))&gt;0,INDEX(Database!LL$10:LL$19,$C11,1),""),"")</f>
        <v/>
      </c>
      <c r="O11" s="267" t="str">
        <f t="array" ref="O11">IFERROR(IF(LEN(INDEX(Database!LM$10:LM$19,$C11,1))&gt;0,INDEX(Database!LM$10:LM$19,$C11,1),""),"")</f>
        <v/>
      </c>
      <c r="P11" s="115"/>
      <c r="Q11" s="269"/>
      <c r="R11" s="269"/>
      <c r="S11" s="269"/>
      <c r="T11" s="269"/>
      <c r="U11" s="269"/>
      <c r="V11" s="269"/>
      <c r="W11" s="117"/>
    </row>
    <row r="12" spans="1:24" x14ac:dyDescent="0.25">
      <c r="B12" s="116"/>
      <c r="C12" s="212">
        <v>5</v>
      </c>
      <c r="D12" s="211" t="str">
        <f t="array" ref="D12">IFERROR(IF(LEN(INDEX(Database!$G$10:$G$19,$C12,1))&gt;0,INDEX(Database!$G$10:$G$19,$C12,1),""),"")</f>
        <v/>
      </c>
      <c r="E12" s="211" t="str">
        <f t="shared" si="0"/>
        <v/>
      </c>
      <c r="F12" s="270" t="str">
        <f t="array" ref="F12">IFERROR(IF(LEN(INDEX(Database!$LC$10:$LC$19,$C12,1))&gt;0,INDEX(Database!$LC$10:$LC$19,$C12,1),""),"")</f>
        <v/>
      </c>
      <c r="G12" s="270" t="str">
        <f t="array" ref="G12">IFERROR(IF(LEN(INDEX(Database!$LD$10:$LD$19,$C12,1))&gt;0,INDEX(Database!$LD$10:$LD$19,$C12,1),""),"")</f>
        <v/>
      </c>
      <c r="H12" s="270" t="str">
        <f t="array" ref="H12">IFERROR(IF(LEN(INDEX(Database!$LE$10:$LE$19,$C12,1))&gt;0,INDEX(Database!$LE$10:$LE$19,$C12,1),""),"")</f>
        <v/>
      </c>
      <c r="I12" s="270" t="str">
        <f t="array" ref="I12">IFERROR(IF(LEN(INDEX(Database!$LF$10:$LF$19,$C12,1))&gt;0,INDEX(Database!$LF$10:$LF$19,$C12,1),""),"")</f>
        <v/>
      </c>
      <c r="J12" s="270" t="str">
        <f t="array" ref="J12">IFERROR(IF(LEN(INDEX(Database!LH$10:LH$19,$C12,1))&gt;0,INDEX(Database!LH$10:LH$19,$C12,1),""),"")</f>
        <v/>
      </c>
      <c r="K12" s="268" t="str">
        <f t="array" ref="K12">IFERROR(IF(LEN(INDEX(Database!LI$10:LI$19,$C12,1))&gt;0,INDEX(Database!LI$10:LI$19,$C12,1),""),"")</f>
        <v/>
      </c>
      <c r="L12" s="268" t="str">
        <f t="array" ref="L12">IFERROR(IF(LEN(INDEX(Database!LJ$10:LJ$19,$C12,1))&gt;0,-INDEX(Database!LJ$10:LJ$19,$C12,1),""),"")</f>
        <v/>
      </c>
      <c r="M12" s="268" t="str">
        <f t="array" ref="M12">IFERROR(IF(LEN(INDEX(Database!LK$10:LK$19,$C12,1))&gt;0,INDEX(Database!LK$10:LK$19,$C12,1),""),"")</f>
        <v/>
      </c>
      <c r="N12" s="268" t="str">
        <f t="array" ref="N12">IFERROR(IF(LEN(INDEX(Database!LL$10:LL$19,$C12,1))&gt;0,INDEX(Database!LL$10:LL$19,$C12,1),""),"")</f>
        <v/>
      </c>
      <c r="O12" s="267" t="str">
        <f t="array" ref="O12">IFERROR(IF(LEN(INDEX(Database!LM$10:LM$19,$C12,1))&gt;0,INDEX(Database!LM$10:LM$19,$C12,1),""),"")</f>
        <v/>
      </c>
      <c r="P12" s="115"/>
      <c r="Q12" s="269"/>
      <c r="R12" s="269"/>
      <c r="S12" s="269"/>
      <c r="T12" s="269"/>
      <c r="U12" s="269"/>
      <c r="V12" s="269"/>
      <c r="W12" s="117"/>
    </row>
    <row r="13" spans="1:24" x14ac:dyDescent="0.25">
      <c r="B13" s="116"/>
      <c r="C13" s="212">
        <v>6</v>
      </c>
      <c r="D13" s="211" t="str">
        <f t="array" ref="D13">IFERROR(IF(LEN(INDEX(Database!$G$10:$G$19,$C13,1))&gt;0,INDEX(Database!$G$10:$G$19,$C13,1),""),"")</f>
        <v/>
      </c>
      <c r="E13" s="211" t="str">
        <f t="shared" si="0"/>
        <v/>
      </c>
      <c r="F13" s="270" t="str">
        <f t="array" ref="F13">IFERROR(IF(LEN(INDEX(Database!$LC$10:$LC$19,$C13,1))&gt;0,INDEX(Database!$LC$10:$LC$19,$C13,1),""),"")</f>
        <v/>
      </c>
      <c r="G13" s="270" t="str">
        <f t="array" ref="G13">IFERROR(IF(LEN(INDEX(Database!$LD$10:$LD$19,$C13,1))&gt;0,INDEX(Database!$LD$10:$LD$19,$C13,1),""),"")</f>
        <v/>
      </c>
      <c r="H13" s="270" t="str">
        <f t="array" ref="H13">IFERROR(IF(LEN(INDEX(Database!$LE$10:$LE$19,$C13,1))&gt;0,INDEX(Database!$LE$10:$LE$19,$C13,1),""),"")</f>
        <v/>
      </c>
      <c r="I13" s="270" t="str">
        <f t="array" ref="I13">IFERROR(IF(LEN(INDEX(Database!$LF$10:$LF$19,$C13,1))&gt;0,INDEX(Database!$LF$10:$LF$19,$C13,1),""),"")</f>
        <v/>
      </c>
      <c r="J13" s="270" t="str">
        <f t="array" ref="J13">IFERROR(IF(LEN(INDEX(Database!LH$10:LH$19,$C13,1))&gt;0,INDEX(Database!LH$10:LH$19,$C13,1),""),"")</f>
        <v/>
      </c>
      <c r="K13" s="268" t="str">
        <f t="array" ref="K13">IFERROR(IF(LEN(INDEX(Database!LI$10:LI$19,$C13,1))&gt;0,INDEX(Database!LI$10:LI$19,$C13,1),""),"")</f>
        <v/>
      </c>
      <c r="L13" s="268" t="str">
        <f t="array" ref="L13">IFERROR(IF(LEN(INDEX(Database!LJ$10:LJ$19,$C13,1))&gt;0,-INDEX(Database!LJ$10:LJ$19,$C13,1),""),"")</f>
        <v/>
      </c>
      <c r="M13" s="268" t="str">
        <f t="array" ref="M13">IFERROR(IF(LEN(INDEX(Database!LK$10:LK$19,$C13,1))&gt;0,INDEX(Database!LK$10:LK$19,$C13,1),""),"")</f>
        <v/>
      </c>
      <c r="N13" s="268" t="str">
        <f t="array" ref="N13">IFERROR(IF(LEN(INDEX(Database!LL$10:LL$19,$C13,1))&gt;0,INDEX(Database!LL$10:LL$19,$C13,1),""),"")</f>
        <v/>
      </c>
      <c r="O13" s="267" t="str">
        <f t="array" ref="O13">IFERROR(IF(LEN(INDEX(Database!LM$10:LM$19,$C13,1))&gt;0,INDEX(Database!LM$10:LM$19,$C13,1),""),"")</f>
        <v/>
      </c>
      <c r="P13" s="115"/>
      <c r="Q13" s="269"/>
      <c r="R13" s="269"/>
      <c r="S13" s="269"/>
      <c r="T13" s="269"/>
      <c r="U13" s="269"/>
      <c r="V13" s="269"/>
      <c r="W13" s="117"/>
    </row>
    <row r="14" spans="1:24" x14ac:dyDescent="0.25">
      <c r="B14" s="116"/>
      <c r="C14" s="212">
        <v>7</v>
      </c>
      <c r="D14" s="211" t="str">
        <f t="array" ref="D14">IFERROR(IF(LEN(INDEX(Database!$G$10:$G$19,$C14,1))&gt;0,INDEX(Database!$G$10:$G$19,$C14,1),""),"")</f>
        <v/>
      </c>
      <c r="E14" s="211" t="str">
        <f t="shared" si="0"/>
        <v/>
      </c>
      <c r="F14" s="270" t="str">
        <f t="array" ref="F14">IFERROR(IF(LEN(INDEX(Database!$LC$10:$LC$19,$C14,1))&gt;0,INDEX(Database!$LC$10:$LC$19,$C14,1),""),"")</f>
        <v/>
      </c>
      <c r="G14" s="270" t="str">
        <f t="array" ref="G14">IFERROR(IF(LEN(INDEX(Database!$LD$10:$LD$19,$C14,1))&gt;0,INDEX(Database!$LD$10:$LD$19,$C14,1),""),"")</f>
        <v/>
      </c>
      <c r="H14" s="270" t="str">
        <f t="array" ref="H14">IFERROR(IF(LEN(INDEX(Database!$LE$10:$LE$19,$C14,1))&gt;0,INDEX(Database!$LE$10:$LE$19,$C14,1),""),"")</f>
        <v/>
      </c>
      <c r="I14" s="270" t="str">
        <f t="array" ref="I14">IFERROR(IF(LEN(INDEX(Database!$LF$10:$LF$19,$C14,1))&gt;0,INDEX(Database!$LF$10:$LF$19,$C14,1),""),"")</f>
        <v/>
      </c>
      <c r="J14" s="270" t="str">
        <f t="array" ref="J14">IFERROR(IF(LEN(INDEX(Database!LH$10:LH$19,$C14,1))&gt;0,INDEX(Database!LH$10:LH$19,$C14,1),""),"")</f>
        <v/>
      </c>
      <c r="K14" s="268" t="str">
        <f t="array" ref="K14">IFERROR(IF(LEN(INDEX(Database!LI$10:LI$19,$C14,1))&gt;0,INDEX(Database!LI$10:LI$19,$C14,1),""),"")</f>
        <v/>
      </c>
      <c r="L14" s="268" t="str">
        <f t="array" ref="L14">IFERROR(IF(LEN(INDEX(Database!LJ$10:LJ$19,$C14,1))&gt;0,-INDEX(Database!LJ$10:LJ$19,$C14,1),""),"")</f>
        <v/>
      </c>
      <c r="M14" s="268" t="str">
        <f t="array" ref="M14">IFERROR(IF(LEN(INDEX(Database!LK$10:LK$19,$C14,1))&gt;0,INDEX(Database!LK$10:LK$19,$C14,1),""),"")</f>
        <v/>
      </c>
      <c r="N14" s="268" t="str">
        <f t="array" ref="N14">IFERROR(IF(LEN(INDEX(Database!LL$10:LL$19,$C14,1))&gt;0,INDEX(Database!LL$10:LL$19,$C14,1),""),"")</f>
        <v/>
      </c>
      <c r="O14" s="267" t="str">
        <f t="array" ref="O14">IFERROR(IF(LEN(INDEX(Database!LM$10:LM$19,$C14,1))&gt;0,INDEX(Database!LM$10:LM$19,$C14,1),""),"")</f>
        <v/>
      </c>
      <c r="P14" s="115"/>
      <c r="Q14" s="269"/>
      <c r="R14" s="269"/>
      <c r="S14" s="269"/>
      <c r="T14" s="269"/>
      <c r="U14" s="269"/>
      <c r="V14" s="269"/>
      <c r="W14" s="117"/>
    </row>
    <row r="15" spans="1:24" x14ac:dyDescent="0.25">
      <c r="B15" s="116"/>
      <c r="C15" s="212">
        <v>8</v>
      </c>
      <c r="D15" s="211" t="str">
        <f t="array" ref="D15">IFERROR(IF(LEN(INDEX(Database!$G$10:$G$19,$C15,1))&gt;0,INDEX(Database!$G$10:$G$19,$C15,1),""),"")</f>
        <v/>
      </c>
      <c r="E15" s="211" t="str">
        <f t="shared" si="0"/>
        <v/>
      </c>
      <c r="F15" s="270" t="str">
        <f t="array" ref="F15">IFERROR(IF(LEN(INDEX(Database!$LC$10:$LC$19,$C15,1))&gt;0,INDEX(Database!$LC$10:$LC$19,$C15,1),""),"")</f>
        <v/>
      </c>
      <c r="G15" s="270" t="str">
        <f t="array" ref="G15">IFERROR(IF(LEN(INDEX(Database!$LD$10:$LD$19,$C15,1))&gt;0,INDEX(Database!$LD$10:$LD$19,$C15,1),""),"")</f>
        <v/>
      </c>
      <c r="H15" s="270" t="str">
        <f t="array" ref="H15">IFERROR(IF(LEN(INDEX(Database!$LE$10:$LE$19,$C15,1))&gt;0,INDEX(Database!$LE$10:$LE$19,$C15,1),""),"")</f>
        <v/>
      </c>
      <c r="I15" s="270" t="str">
        <f t="array" ref="I15">IFERROR(IF(LEN(INDEX(Database!$LF$10:$LF$19,$C15,1))&gt;0,INDEX(Database!$LF$10:$LF$19,$C15,1),""),"")</f>
        <v/>
      </c>
      <c r="J15" s="270" t="str">
        <f t="array" ref="J15">IFERROR(IF(LEN(INDEX(Database!LH$10:LH$19,$C15,1))&gt;0,INDEX(Database!LH$10:LH$19,$C15,1),""),"")</f>
        <v/>
      </c>
      <c r="K15" s="268" t="str">
        <f t="array" ref="K15">IFERROR(IF(LEN(INDEX(Database!LI$10:LI$19,$C15,1))&gt;0,INDEX(Database!LI$10:LI$19,$C15,1),""),"")</f>
        <v/>
      </c>
      <c r="L15" s="268" t="str">
        <f t="array" ref="L15">IFERROR(IF(LEN(INDEX(Database!LJ$10:LJ$19,$C15,1))&gt;0,-INDEX(Database!LJ$10:LJ$19,$C15,1),""),"")</f>
        <v/>
      </c>
      <c r="M15" s="268" t="str">
        <f t="array" ref="M15">IFERROR(IF(LEN(INDEX(Database!LK$10:LK$19,$C15,1))&gt;0,INDEX(Database!LK$10:LK$19,$C15,1),""),"")</f>
        <v/>
      </c>
      <c r="N15" s="268" t="str">
        <f t="array" ref="N15">IFERROR(IF(LEN(INDEX(Database!LL$10:LL$19,$C15,1))&gt;0,INDEX(Database!LL$10:LL$19,$C15,1),""),"")</f>
        <v/>
      </c>
      <c r="O15" s="267" t="str">
        <f t="array" ref="O15">IFERROR(IF(LEN(INDEX(Database!LM$10:LM$19,$C15,1))&gt;0,INDEX(Database!LM$10:LM$19,$C15,1),""),"")</f>
        <v/>
      </c>
      <c r="P15" s="115"/>
      <c r="Q15" s="269"/>
      <c r="R15" s="269"/>
      <c r="S15" s="269"/>
      <c r="T15" s="269"/>
      <c r="U15" s="269"/>
      <c r="V15" s="269"/>
      <c r="W15" s="117"/>
    </row>
    <row r="16" spans="1:24" x14ac:dyDescent="0.25">
      <c r="B16" s="116"/>
      <c r="C16" s="212">
        <v>9</v>
      </c>
      <c r="D16" s="211" t="str">
        <f t="array" ref="D16">IFERROR(IF(LEN(INDEX(Database!$G$10:$G$19,$C16,1))&gt;0,INDEX(Database!$G$10:$G$19,$C16,1),""),"")</f>
        <v/>
      </c>
      <c r="E16" s="211" t="str">
        <f t="shared" si="0"/>
        <v/>
      </c>
      <c r="F16" s="270" t="str">
        <f t="array" ref="F16">IFERROR(IF(LEN(INDEX(Database!$LC$10:$LC$19,$C16,1))&gt;0,INDEX(Database!$LC$10:$LC$19,$C16,1),""),"")</f>
        <v/>
      </c>
      <c r="G16" s="270" t="str">
        <f t="array" ref="G16">IFERROR(IF(LEN(INDEX(Database!$LD$10:$LD$19,$C16,1))&gt;0,INDEX(Database!$LD$10:$LD$19,$C16,1),""),"")</f>
        <v/>
      </c>
      <c r="H16" s="270" t="str">
        <f t="array" ref="H16">IFERROR(IF(LEN(INDEX(Database!$LE$10:$LE$19,$C16,1))&gt;0,INDEX(Database!$LE$10:$LE$19,$C16,1),""),"")</f>
        <v/>
      </c>
      <c r="I16" s="270" t="str">
        <f t="array" ref="I16">IFERROR(IF(LEN(INDEX(Database!$LF$10:$LF$19,$C16,1))&gt;0,INDEX(Database!$LF$10:$LF$19,$C16,1),""),"")</f>
        <v/>
      </c>
      <c r="J16" s="270" t="str">
        <f t="array" ref="J16">IFERROR(IF(LEN(INDEX(Database!LH$10:LH$19,$C16,1))&gt;0,INDEX(Database!LH$10:LH$19,$C16,1),""),"")</f>
        <v/>
      </c>
      <c r="K16" s="268" t="str">
        <f t="array" ref="K16">IFERROR(IF(LEN(INDEX(Database!LI$10:LI$19,$C16,1))&gt;0,INDEX(Database!LI$10:LI$19,$C16,1),""),"")</f>
        <v/>
      </c>
      <c r="L16" s="268" t="str">
        <f t="array" ref="L16">IFERROR(IF(LEN(INDEX(Database!LJ$10:LJ$19,$C16,1))&gt;0,-INDEX(Database!LJ$10:LJ$19,$C16,1),""),"")</f>
        <v/>
      </c>
      <c r="M16" s="268" t="str">
        <f t="array" ref="M16">IFERROR(IF(LEN(INDEX(Database!LK$10:LK$19,$C16,1))&gt;0,INDEX(Database!LK$10:LK$19,$C16,1),""),"")</f>
        <v/>
      </c>
      <c r="N16" s="268" t="str">
        <f t="array" ref="N16">IFERROR(IF(LEN(INDEX(Database!LL$10:LL$19,$C16,1))&gt;0,INDEX(Database!LL$10:LL$19,$C16,1),""),"")</f>
        <v/>
      </c>
      <c r="O16" s="267" t="str">
        <f t="array" ref="O16">IFERROR(IF(LEN(INDEX(Database!LM$10:LM$19,$C16,1))&gt;0,INDEX(Database!LM$10:LM$19,$C16,1),""),"")</f>
        <v/>
      </c>
      <c r="P16" s="115"/>
      <c r="Q16" s="269"/>
      <c r="R16" s="269"/>
      <c r="S16" s="269"/>
      <c r="T16" s="269"/>
      <c r="U16" s="269"/>
      <c r="V16" s="269"/>
      <c r="W16" s="117"/>
    </row>
    <row r="17" spans="2:23" x14ac:dyDescent="0.25">
      <c r="B17" s="116"/>
      <c r="C17" s="423">
        <v>10</v>
      </c>
      <c r="D17" s="211" t="str">
        <f t="array" ref="D17">IFERROR(IF(LEN(INDEX(Database!$G$10:$G$19,$C17,1))&gt;0,INDEX(Database!$G$10:$G$19,$C17,1),""),"")</f>
        <v/>
      </c>
      <c r="E17" s="211" t="str">
        <f t="shared" si="0"/>
        <v/>
      </c>
      <c r="F17" s="270" t="str">
        <f t="array" ref="F17">IFERROR(IF(LEN(INDEX(Database!$LC$10:$LC$19,$C17,1))&gt;0,INDEX(Database!$LC$10:$LC$19,$C17,1),""),"")</f>
        <v/>
      </c>
      <c r="G17" s="270" t="str">
        <f t="array" ref="G17">IFERROR(IF(LEN(INDEX(Database!$LD$10:$LD$19,$C17,1))&gt;0,INDEX(Database!$LD$10:$LD$19,$C17,1),""),"")</f>
        <v/>
      </c>
      <c r="H17" s="270" t="str">
        <f t="array" ref="H17">IFERROR(IF(LEN(INDEX(Database!$LE$10:$LE$19,$C17,1))&gt;0,INDEX(Database!$LE$10:$LE$19,$C17,1),""),"")</f>
        <v/>
      </c>
      <c r="I17" s="270" t="str">
        <f t="array" ref="I17">IFERROR(IF(LEN(INDEX(Database!$LF$10:$LF$19,$C17,1))&gt;0,INDEX(Database!$LF$10:$LF$19,$C17,1),""),"")</f>
        <v/>
      </c>
      <c r="J17" s="270" t="str">
        <f t="array" ref="J17">IFERROR(IF(LEN(INDEX(Database!LH$10:LH$19,$C17,1))&gt;0,INDEX(Database!LH$10:LH$19,$C17,1),""),"")</f>
        <v/>
      </c>
      <c r="K17" s="268" t="str">
        <f t="array" ref="K17">IFERROR(IF(LEN(INDEX(Database!LI$10:LI$19,$C17,1))&gt;0,INDEX(Database!LI$10:LI$19,$C17,1),""),"")</f>
        <v/>
      </c>
      <c r="L17" s="268" t="str">
        <f t="array" ref="L17">IFERROR(IF(LEN(INDEX(Database!LJ$10:LJ$19,$C17,1))&gt;0,-INDEX(Database!LJ$10:LJ$19,$C17,1),""),"")</f>
        <v/>
      </c>
      <c r="M17" s="268" t="str">
        <f t="array" ref="M17">IFERROR(IF(LEN(INDEX(Database!LK$10:LK$19,$C17,1))&gt;0,INDEX(Database!LK$10:LK$19,$C17,1),""),"")</f>
        <v/>
      </c>
      <c r="N17" s="268" t="str">
        <f t="array" ref="N17">IFERROR(IF(LEN(INDEX(Database!LL$10:LL$19,$C17,1))&gt;0,INDEX(Database!LL$10:LL$19,$C17,1),""),"")</f>
        <v/>
      </c>
      <c r="O17" s="267" t="str">
        <f t="array" ref="O17">IFERROR(IF(LEN(INDEX(Database!LM$10:LM$19,$C17,1))&gt;0,INDEX(Database!LM$10:LM$19,$C17,1),""),"")</f>
        <v/>
      </c>
      <c r="P17" s="115"/>
      <c r="Q17" s="428"/>
      <c r="R17" s="428"/>
      <c r="S17" s="428"/>
      <c r="T17" s="428"/>
      <c r="U17" s="428"/>
      <c r="V17" s="428"/>
      <c r="W17" s="117"/>
    </row>
    <row r="18" spans="2:23" x14ac:dyDescent="0.25">
      <c r="B18" s="116"/>
      <c r="C18" s="424"/>
      <c r="D18" s="425"/>
      <c r="E18" s="425"/>
      <c r="F18" s="399"/>
      <c r="G18" s="399"/>
      <c r="H18" s="399"/>
      <c r="I18" s="399"/>
      <c r="J18" s="399"/>
      <c r="K18" s="426"/>
      <c r="L18" s="426"/>
      <c r="M18" s="426"/>
      <c r="N18" s="426"/>
      <c r="O18" s="427"/>
      <c r="P18" s="115"/>
      <c r="Q18" s="429"/>
      <c r="R18" s="429"/>
      <c r="S18" s="429"/>
      <c r="T18" s="429"/>
      <c r="U18" s="429"/>
      <c r="V18" s="429"/>
      <c r="W18" s="117"/>
    </row>
    <row r="19" spans="2:23" x14ac:dyDescent="0.25">
      <c r="B19" s="116"/>
      <c r="C19" s="424"/>
      <c r="D19" s="425"/>
      <c r="E19" s="425"/>
      <c r="F19" s="399"/>
      <c r="G19" s="399"/>
      <c r="H19" s="399"/>
      <c r="I19" s="399"/>
      <c r="J19" s="399"/>
      <c r="K19" s="426"/>
      <c r="L19" s="426"/>
      <c r="M19" s="426"/>
      <c r="N19" s="426"/>
      <c r="O19" s="427"/>
      <c r="P19" s="115"/>
      <c r="Q19" s="429"/>
      <c r="R19" s="429"/>
      <c r="S19" s="429"/>
      <c r="T19" s="429"/>
      <c r="U19" s="429"/>
      <c r="V19" s="429"/>
      <c r="W19" s="117"/>
    </row>
    <row r="20" spans="2:23" x14ac:dyDescent="0.25">
      <c r="B20" s="116"/>
      <c r="C20" s="424"/>
      <c r="D20" s="425"/>
      <c r="E20" s="425"/>
      <c r="F20" s="399"/>
      <c r="G20" s="399"/>
      <c r="H20" s="399"/>
      <c r="I20" s="399"/>
      <c r="J20" s="399"/>
      <c r="K20" s="426"/>
      <c r="L20" s="426"/>
      <c r="M20" s="426"/>
      <c r="N20" s="426"/>
      <c r="O20" s="427"/>
      <c r="P20" s="115"/>
      <c r="Q20" s="429"/>
      <c r="R20" s="429"/>
      <c r="S20" s="429"/>
      <c r="T20" s="429"/>
      <c r="U20" s="429"/>
      <c r="V20" s="429"/>
      <c r="W20" s="117"/>
    </row>
    <row r="21" spans="2:23" x14ac:dyDescent="0.25">
      <c r="B21" s="116"/>
      <c r="C21" s="424"/>
      <c r="D21" s="425"/>
      <c r="E21" s="425"/>
      <c r="F21" s="399"/>
      <c r="G21" s="399"/>
      <c r="H21" s="399"/>
      <c r="I21" s="399"/>
      <c r="J21" s="399"/>
      <c r="K21" s="426"/>
      <c r="L21" s="426"/>
      <c r="M21" s="426"/>
      <c r="N21" s="426"/>
      <c r="O21" s="427"/>
      <c r="P21" s="115"/>
      <c r="Q21" s="429"/>
      <c r="R21" s="429"/>
      <c r="S21" s="429"/>
      <c r="T21" s="429"/>
      <c r="U21" s="429"/>
      <c r="V21" s="429"/>
      <c r="W21" s="117"/>
    </row>
    <row r="22" spans="2:23" x14ac:dyDescent="0.25">
      <c r="B22" s="116"/>
      <c r="C22" s="424"/>
      <c r="D22" s="425"/>
      <c r="E22" s="425"/>
      <c r="F22" s="399"/>
      <c r="G22" s="399"/>
      <c r="H22" s="399"/>
      <c r="I22" s="399"/>
      <c r="J22" s="399"/>
      <c r="K22" s="426"/>
      <c r="L22" s="426"/>
      <c r="M22" s="426"/>
      <c r="N22" s="426"/>
      <c r="O22" s="427"/>
      <c r="P22" s="115"/>
      <c r="Q22" s="429"/>
      <c r="R22" s="429"/>
      <c r="S22" s="429"/>
      <c r="T22" s="429"/>
      <c r="U22" s="429"/>
      <c r="V22" s="429"/>
      <c r="W22" s="117"/>
    </row>
    <row r="23" spans="2:23" x14ac:dyDescent="0.25">
      <c r="B23" s="116"/>
      <c r="C23" s="424"/>
      <c r="D23" s="425"/>
      <c r="E23" s="425"/>
      <c r="F23" s="399"/>
      <c r="G23" s="399"/>
      <c r="H23" s="399"/>
      <c r="I23" s="399"/>
      <c r="J23" s="399"/>
      <c r="K23" s="426"/>
      <c r="L23" s="426"/>
      <c r="M23" s="426"/>
      <c r="N23" s="426"/>
      <c r="O23" s="427"/>
      <c r="P23" s="115"/>
      <c r="Q23" s="429"/>
      <c r="R23" s="429"/>
      <c r="S23" s="429"/>
      <c r="T23" s="429"/>
      <c r="U23" s="429"/>
      <c r="V23" s="429"/>
      <c r="W23" s="117"/>
    </row>
    <row r="24" spans="2:23" x14ac:dyDescent="0.25">
      <c r="B24" s="116"/>
      <c r="C24" s="424"/>
      <c r="D24" s="425"/>
      <c r="E24" s="425"/>
      <c r="F24" s="399"/>
      <c r="G24" s="399"/>
      <c r="H24" s="399"/>
      <c r="I24" s="399"/>
      <c r="J24" s="399"/>
      <c r="K24" s="426"/>
      <c r="L24" s="426"/>
      <c r="M24" s="426"/>
      <c r="N24" s="426"/>
      <c r="O24" s="427"/>
      <c r="P24" s="115"/>
      <c r="Q24" s="429"/>
      <c r="R24" s="429"/>
      <c r="S24" s="429"/>
      <c r="T24" s="429"/>
      <c r="U24" s="429"/>
      <c r="V24" s="429"/>
      <c r="W24" s="117"/>
    </row>
    <row r="25" spans="2:23" x14ac:dyDescent="0.25">
      <c r="B25" s="116"/>
      <c r="C25" s="424"/>
      <c r="D25" s="425"/>
      <c r="E25" s="425"/>
      <c r="F25" s="399"/>
      <c r="G25" s="399"/>
      <c r="H25" s="399"/>
      <c r="I25" s="399"/>
      <c r="J25" s="399"/>
      <c r="K25" s="426"/>
      <c r="L25" s="426"/>
      <c r="M25" s="426"/>
      <c r="N25" s="426"/>
      <c r="O25" s="427"/>
      <c r="P25" s="115"/>
      <c r="Q25" s="429"/>
      <c r="R25" s="429"/>
      <c r="S25" s="429"/>
      <c r="T25" s="429"/>
      <c r="U25" s="429"/>
      <c r="V25" s="429"/>
      <c r="W25" s="117"/>
    </row>
    <row r="26" spans="2:23" x14ac:dyDescent="0.25">
      <c r="B26" s="116"/>
      <c r="C26" s="424"/>
      <c r="D26" s="425"/>
      <c r="E26" s="425"/>
      <c r="F26" s="399"/>
      <c r="G26" s="399"/>
      <c r="H26" s="399"/>
      <c r="I26" s="399"/>
      <c r="J26" s="399"/>
      <c r="K26" s="426"/>
      <c r="L26" s="426"/>
      <c r="M26" s="426"/>
      <c r="N26" s="426"/>
      <c r="O26" s="427"/>
      <c r="P26" s="115"/>
      <c r="Q26" s="429"/>
      <c r="R26" s="429"/>
      <c r="S26" s="429"/>
      <c r="T26" s="429"/>
      <c r="U26" s="429"/>
      <c r="V26" s="429"/>
      <c r="W26" s="117"/>
    </row>
    <row r="27" spans="2:23" x14ac:dyDescent="0.25">
      <c r="B27" s="116"/>
      <c r="C27" s="424"/>
      <c r="D27" s="425"/>
      <c r="E27" s="425"/>
      <c r="F27" s="399"/>
      <c r="G27" s="399"/>
      <c r="H27" s="399"/>
      <c r="I27" s="399"/>
      <c r="J27" s="399"/>
      <c r="K27" s="426"/>
      <c r="L27" s="426"/>
      <c r="M27" s="426"/>
      <c r="N27" s="426"/>
      <c r="O27" s="427"/>
      <c r="P27" s="115"/>
      <c r="Q27" s="429"/>
      <c r="R27" s="429"/>
      <c r="S27" s="429"/>
      <c r="T27" s="429"/>
      <c r="U27" s="429"/>
      <c r="V27" s="429"/>
      <c r="W27" s="117"/>
    </row>
    <row r="28" spans="2:23" x14ac:dyDescent="0.25">
      <c r="B28" s="116"/>
      <c r="C28" s="424"/>
      <c r="D28" s="425"/>
      <c r="E28" s="425"/>
      <c r="F28" s="399"/>
      <c r="G28" s="399"/>
      <c r="H28" s="399"/>
      <c r="I28" s="399"/>
      <c r="J28" s="399"/>
      <c r="K28" s="426"/>
      <c r="L28" s="426"/>
      <c r="M28" s="426"/>
      <c r="N28" s="426"/>
      <c r="O28" s="427"/>
      <c r="P28" s="115"/>
      <c r="Q28" s="429"/>
      <c r="R28" s="429"/>
      <c r="S28" s="429"/>
      <c r="T28" s="429"/>
      <c r="U28" s="429"/>
      <c r="V28" s="429"/>
      <c r="W28" s="117"/>
    </row>
    <row r="29" spans="2:23" x14ac:dyDescent="0.25">
      <c r="B29" s="116"/>
      <c r="C29" s="424"/>
      <c r="D29" s="425"/>
      <c r="E29" s="425"/>
      <c r="F29" s="399"/>
      <c r="G29" s="399"/>
      <c r="H29" s="399"/>
      <c r="I29" s="399"/>
      <c r="J29" s="399"/>
      <c r="K29" s="426"/>
      <c r="L29" s="426"/>
      <c r="M29" s="426"/>
      <c r="N29" s="426"/>
      <c r="O29" s="427"/>
      <c r="P29" s="115"/>
      <c r="Q29" s="429"/>
      <c r="R29" s="429"/>
      <c r="S29" s="429"/>
      <c r="T29" s="429"/>
      <c r="U29" s="429"/>
      <c r="V29" s="429"/>
      <c r="W29" s="117"/>
    </row>
    <row r="30" spans="2:23" x14ac:dyDescent="0.25">
      <c r="B30" s="116"/>
      <c r="C30" s="424"/>
      <c r="D30" s="425"/>
      <c r="E30" s="425"/>
      <c r="F30" s="399"/>
      <c r="G30" s="399"/>
      <c r="H30" s="399"/>
      <c r="I30" s="399"/>
      <c r="J30" s="399"/>
      <c r="K30" s="426"/>
      <c r="L30" s="426"/>
      <c r="M30" s="426"/>
      <c r="N30" s="426"/>
      <c r="O30" s="427"/>
      <c r="P30" s="115"/>
      <c r="Q30" s="429"/>
      <c r="R30" s="429"/>
      <c r="S30" s="429"/>
      <c r="T30" s="429"/>
      <c r="U30" s="429"/>
      <c r="V30" s="429"/>
      <c r="W30" s="117"/>
    </row>
    <row r="31" spans="2:23" x14ac:dyDescent="0.25">
      <c r="B31" s="116"/>
      <c r="C31" s="424"/>
      <c r="D31" s="425"/>
      <c r="E31" s="425"/>
      <c r="F31" s="399"/>
      <c r="G31" s="399"/>
      <c r="H31" s="399"/>
      <c r="I31" s="399"/>
      <c r="J31" s="399"/>
      <c r="K31" s="426"/>
      <c r="L31" s="426"/>
      <c r="M31" s="426"/>
      <c r="N31" s="426"/>
      <c r="O31" s="427"/>
      <c r="P31" s="115"/>
      <c r="Q31" s="429"/>
      <c r="R31" s="429"/>
      <c r="S31" s="429"/>
      <c r="T31" s="429"/>
      <c r="U31" s="429"/>
      <c r="V31" s="429"/>
      <c r="W31" s="117"/>
    </row>
    <row r="32" spans="2:23" x14ac:dyDescent="0.25">
      <c r="B32" s="116"/>
      <c r="C32" s="424"/>
      <c r="D32" s="425"/>
      <c r="E32" s="425"/>
      <c r="F32" s="399"/>
      <c r="G32" s="399"/>
      <c r="H32" s="399"/>
      <c r="I32" s="399"/>
      <c r="J32" s="399"/>
      <c r="K32" s="426"/>
      <c r="L32" s="426"/>
      <c r="M32" s="426"/>
      <c r="N32" s="426"/>
      <c r="O32" s="427"/>
      <c r="P32" s="115"/>
      <c r="Q32" s="429"/>
      <c r="R32" s="429"/>
      <c r="S32" s="429"/>
      <c r="T32" s="429"/>
      <c r="U32" s="429"/>
      <c r="V32" s="429"/>
      <c r="W32" s="117"/>
    </row>
    <row r="33" spans="2:23" x14ac:dyDescent="0.25">
      <c r="B33" s="116"/>
      <c r="C33" s="424"/>
      <c r="D33" s="425"/>
      <c r="E33" s="425"/>
      <c r="F33" s="399"/>
      <c r="G33" s="399"/>
      <c r="H33" s="399"/>
      <c r="I33" s="399"/>
      <c r="J33" s="399"/>
      <c r="K33" s="426"/>
      <c r="L33" s="426"/>
      <c r="M33" s="426"/>
      <c r="N33" s="426"/>
      <c r="O33" s="427"/>
      <c r="P33" s="115"/>
      <c r="Q33" s="429"/>
      <c r="R33" s="429"/>
      <c r="S33" s="429"/>
      <c r="T33" s="429"/>
      <c r="U33" s="429"/>
      <c r="V33" s="429"/>
      <c r="W33" s="117"/>
    </row>
    <row r="34" spans="2:23" x14ac:dyDescent="0.25">
      <c r="B34" s="116"/>
      <c r="C34" s="424"/>
      <c r="D34" s="425"/>
      <c r="E34" s="425"/>
      <c r="F34" s="399"/>
      <c r="G34" s="399"/>
      <c r="H34" s="399"/>
      <c r="I34" s="399"/>
      <c r="J34" s="399"/>
      <c r="K34" s="426"/>
      <c r="L34" s="426"/>
      <c r="M34" s="426"/>
      <c r="N34" s="426"/>
      <c r="O34" s="427"/>
      <c r="P34" s="115"/>
      <c r="Q34" s="429"/>
      <c r="R34" s="429"/>
      <c r="S34" s="429"/>
      <c r="T34" s="429"/>
      <c r="U34" s="429"/>
      <c r="V34" s="429"/>
      <c r="W34" s="117"/>
    </row>
    <row r="35" spans="2:23" x14ac:dyDescent="0.25">
      <c r="B35" s="116"/>
      <c r="C35" s="424"/>
      <c r="D35" s="425"/>
      <c r="E35" s="425"/>
      <c r="F35" s="399"/>
      <c r="G35" s="399"/>
      <c r="H35" s="399"/>
      <c r="I35" s="399"/>
      <c r="J35" s="399"/>
      <c r="K35" s="426"/>
      <c r="L35" s="426"/>
      <c r="M35" s="426"/>
      <c r="N35" s="426"/>
      <c r="O35" s="427"/>
      <c r="P35" s="115"/>
      <c r="Q35" s="429"/>
      <c r="R35" s="429"/>
      <c r="S35" s="429"/>
      <c r="T35" s="429"/>
      <c r="U35" s="429"/>
      <c r="V35" s="429"/>
      <c r="W35" s="117"/>
    </row>
    <row r="36" spans="2:23" x14ac:dyDescent="0.25">
      <c r="B36" s="116"/>
      <c r="C36" s="424"/>
      <c r="D36" s="425"/>
      <c r="E36" s="425"/>
      <c r="F36" s="399"/>
      <c r="G36" s="399"/>
      <c r="H36" s="399"/>
      <c r="I36" s="399"/>
      <c r="J36" s="399"/>
      <c r="K36" s="426"/>
      <c r="L36" s="426"/>
      <c r="M36" s="426"/>
      <c r="N36" s="426"/>
      <c r="O36" s="427"/>
      <c r="P36" s="115"/>
      <c r="Q36" s="429"/>
      <c r="R36" s="429"/>
      <c r="S36" s="429"/>
      <c r="T36" s="429"/>
      <c r="U36" s="429"/>
      <c r="V36" s="429"/>
      <c r="W36" s="117"/>
    </row>
    <row r="37" spans="2:23" x14ac:dyDescent="0.25">
      <c r="B37" s="116"/>
      <c r="C37" s="424"/>
      <c r="D37" s="425"/>
      <c r="E37" s="425"/>
      <c r="F37" s="399"/>
      <c r="G37" s="399"/>
      <c r="H37" s="399"/>
      <c r="I37" s="399"/>
      <c r="J37" s="399"/>
      <c r="K37" s="426"/>
      <c r="L37" s="426"/>
      <c r="M37" s="426"/>
      <c r="N37" s="426"/>
      <c r="O37" s="427"/>
      <c r="P37" s="115"/>
      <c r="Q37" s="429"/>
      <c r="R37" s="429"/>
      <c r="S37" s="429"/>
      <c r="T37" s="429"/>
      <c r="U37" s="429"/>
      <c r="V37" s="429"/>
      <c r="W37" s="117"/>
    </row>
    <row r="38" spans="2:23" x14ac:dyDescent="0.25">
      <c r="B38" s="116"/>
      <c r="C38" s="424"/>
      <c r="D38" s="425"/>
      <c r="E38" s="425"/>
      <c r="F38" s="399"/>
      <c r="G38" s="399"/>
      <c r="H38" s="399"/>
      <c r="I38" s="399"/>
      <c r="J38" s="399"/>
      <c r="K38" s="426"/>
      <c r="L38" s="426"/>
      <c r="M38" s="426"/>
      <c r="N38" s="426"/>
      <c r="O38" s="427"/>
      <c r="P38" s="115"/>
      <c r="Q38" s="429"/>
      <c r="R38" s="429"/>
      <c r="S38" s="429"/>
      <c r="T38" s="429"/>
      <c r="U38" s="429"/>
      <c r="V38" s="429"/>
      <c r="W38" s="117"/>
    </row>
    <row r="39" spans="2:23" x14ac:dyDescent="0.25">
      <c r="B39" s="116"/>
      <c r="C39" s="424"/>
      <c r="D39" s="425"/>
      <c r="E39" s="425"/>
      <c r="F39" s="399"/>
      <c r="G39" s="399"/>
      <c r="H39" s="399"/>
      <c r="I39" s="399"/>
      <c r="J39" s="399"/>
      <c r="K39" s="426"/>
      <c r="L39" s="426"/>
      <c r="M39" s="426"/>
      <c r="N39" s="426"/>
      <c r="O39" s="427"/>
      <c r="P39" s="115"/>
      <c r="Q39" s="429"/>
      <c r="R39" s="429"/>
      <c r="S39" s="429"/>
      <c r="T39" s="429"/>
      <c r="U39" s="429"/>
      <c r="V39" s="429"/>
      <c r="W39" s="117"/>
    </row>
    <row r="40" spans="2:23" x14ac:dyDescent="0.25">
      <c r="B40" s="116"/>
      <c r="C40" s="424"/>
      <c r="D40" s="425"/>
      <c r="E40" s="425"/>
      <c r="F40" s="399"/>
      <c r="G40" s="399"/>
      <c r="H40" s="399"/>
      <c r="I40" s="399"/>
      <c r="J40" s="399"/>
      <c r="K40" s="426"/>
      <c r="L40" s="426"/>
      <c r="M40" s="426"/>
      <c r="N40" s="426"/>
      <c r="O40" s="427"/>
      <c r="P40" s="115"/>
      <c r="Q40" s="429"/>
      <c r="R40" s="429"/>
      <c r="S40" s="429"/>
      <c r="T40" s="429"/>
      <c r="U40" s="429"/>
      <c r="V40" s="429"/>
      <c r="W40" s="117"/>
    </row>
    <row r="41" spans="2:23" x14ac:dyDescent="0.25">
      <c r="B41" s="116"/>
      <c r="C41" s="424"/>
      <c r="D41" s="425"/>
      <c r="E41" s="425"/>
      <c r="F41" s="399"/>
      <c r="G41" s="399"/>
      <c r="H41" s="399"/>
      <c r="I41" s="399"/>
      <c r="J41" s="399"/>
      <c r="K41" s="426"/>
      <c r="L41" s="426"/>
      <c r="M41" s="426"/>
      <c r="N41" s="426"/>
      <c r="O41" s="427"/>
      <c r="P41" s="115"/>
      <c r="Q41" s="429"/>
      <c r="R41" s="429"/>
      <c r="S41" s="429"/>
      <c r="T41" s="429"/>
      <c r="U41" s="429"/>
      <c r="V41" s="429"/>
      <c r="W41" s="117"/>
    </row>
    <row r="42" spans="2:23" x14ac:dyDescent="0.25">
      <c r="B42" s="116"/>
      <c r="C42" s="424"/>
      <c r="D42" s="425"/>
      <c r="E42" s="425"/>
      <c r="F42" s="399"/>
      <c r="G42" s="399"/>
      <c r="H42" s="399"/>
      <c r="I42" s="399"/>
      <c r="J42" s="399"/>
      <c r="K42" s="426"/>
      <c r="L42" s="426"/>
      <c r="M42" s="426"/>
      <c r="N42" s="426"/>
      <c r="O42" s="427"/>
      <c r="P42" s="115"/>
      <c r="Q42" s="429"/>
      <c r="R42" s="429"/>
      <c r="S42" s="429"/>
      <c r="T42" s="429"/>
      <c r="U42" s="429"/>
      <c r="V42" s="429"/>
      <c r="W42" s="117"/>
    </row>
    <row r="43" spans="2:23" x14ac:dyDescent="0.25">
      <c r="B43" s="116"/>
      <c r="C43" s="424"/>
      <c r="D43" s="425"/>
      <c r="E43" s="425"/>
      <c r="F43" s="399"/>
      <c r="G43" s="399"/>
      <c r="H43" s="399"/>
      <c r="I43" s="399"/>
      <c r="J43" s="399"/>
      <c r="K43" s="426"/>
      <c r="L43" s="426"/>
      <c r="M43" s="426"/>
      <c r="N43" s="426"/>
      <c r="O43" s="427"/>
      <c r="P43" s="115"/>
      <c r="Q43" s="429"/>
      <c r="R43" s="429"/>
      <c r="S43" s="429"/>
      <c r="T43" s="429"/>
      <c r="U43" s="429"/>
      <c r="V43" s="429"/>
      <c r="W43" s="117"/>
    </row>
    <row r="44" spans="2:23" x14ac:dyDescent="0.25">
      <c r="B44" s="116"/>
      <c r="C44" s="424"/>
      <c r="D44" s="425"/>
      <c r="E44" s="425"/>
      <c r="F44" s="399"/>
      <c r="G44" s="399"/>
      <c r="H44" s="399"/>
      <c r="I44" s="399"/>
      <c r="J44" s="399"/>
      <c r="K44" s="426"/>
      <c r="L44" s="426"/>
      <c r="M44" s="426"/>
      <c r="N44" s="426"/>
      <c r="O44" s="427"/>
      <c r="P44" s="115"/>
      <c r="Q44" s="429"/>
      <c r="R44" s="429"/>
      <c r="S44" s="429"/>
      <c r="T44" s="429"/>
      <c r="U44" s="429"/>
      <c r="V44" s="429"/>
      <c r="W44" s="117"/>
    </row>
    <row r="45" spans="2:23" x14ac:dyDescent="0.25">
      <c r="B45" s="116"/>
      <c r="C45" s="424"/>
      <c r="D45" s="425"/>
      <c r="E45" s="425"/>
      <c r="F45" s="399"/>
      <c r="G45" s="399"/>
      <c r="H45" s="399"/>
      <c r="I45" s="399"/>
      <c r="J45" s="399"/>
      <c r="K45" s="426"/>
      <c r="L45" s="426"/>
      <c r="M45" s="426"/>
      <c r="N45" s="426"/>
      <c r="O45" s="427"/>
      <c r="P45" s="115"/>
      <c r="Q45" s="429"/>
      <c r="R45" s="429"/>
      <c r="S45" s="429"/>
      <c r="T45" s="429"/>
      <c r="U45" s="429"/>
      <c r="V45" s="429"/>
      <c r="W45" s="117"/>
    </row>
    <row r="46" spans="2:23" x14ac:dyDescent="0.25">
      <c r="B46" s="116"/>
      <c r="C46" s="424"/>
      <c r="D46" s="425"/>
      <c r="E46" s="425"/>
      <c r="F46" s="399"/>
      <c r="G46" s="399"/>
      <c r="H46" s="399"/>
      <c r="I46" s="399"/>
      <c r="J46" s="399"/>
      <c r="K46" s="426"/>
      <c r="L46" s="426"/>
      <c r="M46" s="426"/>
      <c r="N46" s="426"/>
      <c r="O46" s="427"/>
      <c r="P46" s="115"/>
      <c r="Q46" s="429"/>
      <c r="R46" s="429"/>
      <c r="S46" s="429"/>
      <c r="T46" s="429"/>
      <c r="U46" s="429"/>
      <c r="V46" s="429"/>
      <c r="W46" s="117"/>
    </row>
    <row r="47" spans="2:23" x14ac:dyDescent="0.25">
      <c r="B47" s="116"/>
      <c r="C47" s="424"/>
      <c r="D47" s="425"/>
      <c r="E47" s="425"/>
      <c r="F47" s="399"/>
      <c r="G47" s="399"/>
      <c r="H47" s="399"/>
      <c r="I47" s="399"/>
      <c r="J47" s="399"/>
      <c r="K47" s="426"/>
      <c r="L47" s="426"/>
      <c r="M47" s="426"/>
      <c r="N47" s="426"/>
      <c r="O47" s="427"/>
      <c r="P47" s="115"/>
      <c r="Q47" s="429"/>
      <c r="R47" s="429"/>
      <c r="S47" s="429"/>
      <c r="T47" s="429"/>
      <c r="U47" s="429"/>
      <c r="V47" s="429"/>
      <c r="W47" s="117"/>
    </row>
    <row r="48" spans="2:23" x14ac:dyDescent="0.25">
      <c r="B48" s="116"/>
      <c r="C48" s="424"/>
      <c r="D48" s="425"/>
      <c r="E48" s="425"/>
      <c r="F48" s="399"/>
      <c r="G48" s="399"/>
      <c r="H48" s="399"/>
      <c r="I48" s="399"/>
      <c r="J48" s="399"/>
      <c r="K48" s="426"/>
      <c r="L48" s="426"/>
      <c r="M48" s="426"/>
      <c r="N48" s="426"/>
      <c r="O48" s="427"/>
      <c r="P48" s="115"/>
      <c r="Q48" s="429"/>
      <c r="R48" s="429"/>
      <c r="S48" s="429"/>
      <c r="T48" s="429"/>
      <c r="U48" s="429"/>
      <c r="V48" s="429"/>
      <c r="W48" s="117"/>
    </row>
    <row r="49" spans="2:23" x14ac:dyDescent="0.25">
      <c r="B49" s="116"/>
      <c r="C49" s="424"/>
      <c r="D49" s="425"/>
      <c r="E49" s="425"/>
      <c r="F49" s="399"/>
      <c r="G49" s="399"/>
      <c r="H49" s="399"/>
      <c r="I49" s="399"/>
      <c r="J49" s="399"/>
      <c r="K49" s="426"/>
      <c r="L49" s="426"/>
      <c r="M49" s="426"/>
      <c r="N49" s="426"/>
      <c r="O49" s="427"/>
      <c r="P49" s="115"/>
      <c r="Q49" s="429"/>
      <c r="R49" s="429"/>
      <c r="S49" s="429"/>
      <c r="T49" s="429"/>
      <c r="U49" s="429"/>
      <c r="V49" s="429"/>
      <c r="W49" s="117"/>
    </row>
    <row r="50" spans="2:23" x14ac:dyDescent="0.25">
      <c r="B50" s="116"/>
      <c r="C50" s="424"/>
      <c r="D50" s="425"/>
      <c r="E50" s="425"/>
      <c r="F50" s="399"/>
      <c r="G50" s="399"/>
      <c r="H50" s="399"/>
      <c r="I50" s="399"/>
      <c r="J50" s="399"/>
      <c r="K50" s="426"/>
      <c r="L50" s="426"/>
      <c r="M50" s="426"/>
      <c r="N50" s="426"/>
      <c r="O50" s="427"/>
      <c r="P50" s="115"/>
      <c r="Q50" s="429"/>
      <c r="R50" s="429"/>
      <c r="S50" s="429"/>
      <c r="T50" s="429"/>
      <c r="U50" s="429"/>
      <c r="V50" s="429"/>
      <c r="W50" s="117"/>
    </row>
    <row r="51" spans="2:23" x14ac:dyDescent="0.25">
      <c r="B51" s="116"/>
      <c r="C51" s="424"/>
      <c r="D51" s="425"/>
      <c r="E51" s="425"/>
      <c r="F51" s="399"/>
      <c r="G51" s="399"/>
      <c r="H51" s="399"/>
      <c r="I51" s="399"/>
      <c r="J51" s="399"/>
      <c r="K51" s="426"/>
      <c r="L51" s="426"/>
      <c r="M51" s="426"/>
      <c r="N51" s="426"/>
      <c r="O51" s="427"/>
      <c r="P51" s="115"/>
      <c r="Q51" s="429"/>
      <c r="R51" s="429"/>
      <c r="S51" s="429"/>
      <c r="T51" s="429"/>
      <c r="U51" s="429"/>
      <c r="V51" s="429"/>
      <c r="W51" s="117"/>
    </row>
    <row r="52" spans="2:23" x14ac:dyDescent="0.25">
      <c r="B52" s="116"/>
      <c r="C52" s="424"/>
      <c r="D52" s="425"/>
      <c r="E52" s="425"/>
      <c r="F52" s="399"/>
      <c r="G52" s="399"/>
      <c r="H52" s="399"/>
      <c r="I52" s="399"/>
      <c r="J52" s="399"/>
      <c r="K52" s="426"/>
      <c r="L52" s="426"/>
      <c r="M52" s="426"/>
      <c r="N52" s="426"/>
      <c r="O52" s="427"/>
      <c r="P52" s="115"/>
      <c r="Q52" s="429"/>
      <c r="R52" s="429"/>
      <c r="S52" s="429"/>
      <c r="T52" s="429"/>
      <c r="U52" s="429"/>
      <c r="V52" s="429"/>
      <c r="W52" s="117"/>
    </row>
    <row r="53" spans="2:23" x14ac:dyDescent="0.25">
      <c r="B53" s="116"/>
      <c r="C53" s="424"/>
      <c r="D53" s="425"/>
      <c r="E53" s="425"/>
      <c r="F53" s="399"/>
      <c r="G53" s="399"/>
      <c r="H53" s="399"/>
      <c r="I53" s="399"/>
      <c r="J53" s="399"/>
      <c r="K53" s="426"/>
      <c r="L53" s="426"/>
      <c r="M53" s="426"/>
      <c r="N53" s="426"/>
      <c r="O53" s="427"/>
      <c r="P53" s="115"/>
      <c r="Q53" s="429"/>
      <c r="R53" s="429"/>
      <c r="S53" s="429"/>
      <c r="T53" s="429"/>
      <c r="U53" s="429"/>
      <c r="V53" s="429"/>
      <c r="W53" s="117"/>
    </row>
    <row r="54" spans="2:23" x14ac:dyDescent="0.25">
      <c r="B54" s="116"/>
      <c r="C54" s="424"/>
      <c r="D54" s="425"/>
      <c r="E54" s="425"/>
      <c r="F54" s="399"/>
      <c r="G54" s="399"/>
      <c r="H54" s="399"/>
      <c r="I54" s="399"/>
      <c r="J54" s="399"/>
      <c r="K54" s="426"/>
      <c r="L54" s="426"/>
      <c r="M54" s="426"/>
      <c r="N54" s="426"/>
      <c r="O54" s="427"/>
      <c r="P54" s="115"/>
      <c r="Q54" s="429"/>
      <c r="R54" s="429"/>
      <c r="S54" s="429"/>
      <c r="T54" s="429"/>
      <c r="U54" s="429"/>
      <c r="V54" s="429"/>
      <c r="W54" s="117"/>
    </row>
    <row r="55" spans="2:23" x14ac:dyDescent="0.25">
      <c r="B55" s="116"/>
      <c r="C55" s="424"/>
      <c r="D55" s="425"/>
      <c r="E55" s="425"/>
      <c r="F55" s="399"/>
      <c r="G55" s="399"/>
      <c r="H55" s="399"/>
      <c r="I55" s="399"/>
      <c r="J55" s="399"/>
      <c r="K55" s="426"/>
      <c r="L55" s="426"/>
      <c r="M55" s="426"/>
      <c r="N55" s="426"/>
      <c r="O55" s="427"/>
      <c r="P55" s="115"/>
      <c r="Q55" s="429"/>
      <c r="R55" s="429"/>
      <c r="S55" s="429"/>
      <c r="T55" s="429"/>
      <c r="U55" s="429"/>
      <c r="V55" s="429"/>
      <c r="W55" s="117"/>
    </row>
    <row r="56" spans="2:23" x14ac:dyDescent="0.25">
      <c r="B56" s="116"/>
      <c r="C56" s="424"/>
      <c r="D56" s="425"/>
      <c r="E56" s="425"/>
      <c r="F56" s="399"/>
      <c r="G56" s="399"/>
      <c r="H56" s="399"/>
      <c r="I56" s="399"/>
      <c r="J56" s="399"/>
      <c r="K56" s="426"/>
      <c r="L56" s="426"/>
      <c r="M56" s="426"/>
      <c r="N56" s="426"/>
      <c r="O56" s="427"/>
      <c r="P56" s="115"/>
      <c r="Q56" s="429"/>
      <c r="R56" s="429"/>
      <c r="S56" s="429"/>
      <c r="T56" s="429"/>
      <c r="U56" s="429"/>
      <c r="V56" s="429"/>
      <c r="W56" s="117"/>
    </row>
    <row r="57" spans="2:23" x14ac:dyDescent="0.25">
      <c r="B57" s="116"/>
      <c r="C57" s="424"/>
      <c r="D57" s="425"/>
      <c r="E57" s="425"/>
      <c r="F57" s="399"/>
      <c r="G57" s="399"/>
      <c r="H57" s="399"/>
      <c r="I57" s="399"/>
      <c r="J57" s="399"/>
      <c r="K57" s="426"/>
      <c r="L57" s="426"/>
      <c r="M57" s="426"/>
      <c r="N57" s="426"/>
      <c r="O57" s="427"/>
      <c r="P57" s="115"/>
      <c r="Q57" s="429"/>
      <c r="R57" s="429"/>
      <c r="S57" s="429"/>
      <c r="T57" s="429"/>
      <c r="U57" s="429"/>
      <c r="V57" s="429"/>
      <c r="W57" s="117"/>
    </row>
    <row r="58" spans="2:23" x14ac:dyDescent="0.25">
      <c r="B58" s="116"/>
      <c r="C58" s="424"/>
      <c r="D58" s="425"/>
      <c r="E58" s="425"/>
      <c r="F58" s="399"/>
      <c r="G58" s="399"/>
      <c r="H58" s="399"/>
      <c r="I58" s="399"/>
      <c r="J58" s="399"/>
      <c r="K58" s="426"/>
      <c r="L58" s="426"/>
      <c r="M58" s="426"/>
      <c r="N58" s="426"/>
      <c r="O58" s="427"/>
      <c r="P58" s="115"/>
      <c r="Q58" s="429"/>
      <c r="R58" s="429"/>
      <c r="S58" s="429"/>
      <c r="T58" s="429"/>
      <c r="U58" s="429"/>
      <c r="V58" s="429"/>
      <c r="W58" s="117"/>
    </row>
    <row r="59" spans="2:23" x14ac:dyDescent="0.25">
      <c r="B59" s="116"/>
      <c r="C59" s="424"/>
      <c r="D59" s="425"/>
      <c r="E59" s="425"/>
      <c r="F59" s="399"/>
      <c r="G59" s="399"/>
      <c r="H59" s="399"/>
      <c r="I59" s="399"/>
      <c r="J59" s="399"/>
      <c r="K59" s="426"/>
      <c r="L59" s="426"/>
      <c r="M59" s="426"/>
      <c r="N59" s="426"/>
      <c r="O59" s="427"/>
      <c r="P59" s="115"/>
      <c r="Q59" s="429"/>
      <c r="R59" s="429"/>
      <c r="S59" s="429"/>
      <c r="T59" s="429"/>
      <c r="U59" s="429"/>
      <c r="V59" s="429"/>
      <c r="W59" s="117"/>
    </row>
    <row r="60" spans="2:23" x14ac:dyDescent="0.25">
      <c r="B60" s="116"/>
      <c r="C60" s="424"/>
      <c r="D60" s="425"/>
      <c r="E60" s="425"/>
      <c r="F60" s="399"/>
      <c r="G60" s="399"/>
      <c r="H60" s="399"/>
      <c r="I60" s="399"/>
      <c r="J60" s="399"/>
      <c r="K60" s="426"/>
      <c r="L60" s="426"/>
      <c r="M60" s="426"/>
      <c r="N60" s="426"/>
      <c r="O60" s="427"/>
      <c r="P60" s="115"/>
      <c r="Q60" s="429"/>
      <c r="R60" s="429"/>
      <c r="S60" s="429"/>
      <c r="T60" s="429"/>
      <c r="U60" s="429"/>
      <c r="V60" s="429"/>
      <c r="W60" s="117"/>
    </row>
    <row r="61" spans="2:23" x14ac:dyDescent="0.25">
      <c r="B61" s="116"/>
      <c r="C61" s="424"/>
      <c r="D61" s="425"/>
      <c r="E61" s="425"/>
      <c r="F61" s="399"/>
      <c r="G61" s="399"/>
      <c r="H61" s="399"/>
      <c r="I61" s="399"/>
      <c r="J61" s="399"/>
      <c r="K61" s="426"/>
      <c r="L61" s="426"/>
      <c r="M61" s="426"/>
      <c r="N61" s="426"/>
      <c r="O61" s="427"/>
      <c r="P61" s="115"/>
      <c r="Q61" s="429"/>
      <c r="R61" s="429"/>
      <c r="S61" s="429"/>
      <c r="T61" s="429"/>
      <c r="U61" s="429"/>
      <c r="V61" s="429"/>
      <c r="W61" s="117"/>
    </row>
    <row r="62" spans="2:23" x14ac:dyDescent="0.25">
      <c r="B62" s="116"/>
      <c r="C62" s="424"/>
      <c r="D62" s="425"/>
      <c r="E62" s="425"/>
      <c r="F62" s="399"/>
      <c r="G62" s="399"/>
      <c r="H62" s="399"/>
      <c r="I62" s="399"/>
      <c r="J62" s="399"/>
      <c r="K62" s="426"/>
      <c r="L62" s="426"/>
      <c r="M62" s="426"/>
      <c r="N62" s="426"/>
      <c r="O62" s="427"/>
      <c r="P62" s="115"/>
      <c r="Q62" s="429"/>
      <c r="R62" s="429"/>
      <c r="S62" s="429"/>
      <c r="T62" s="429"/>
      <c r="U62" s="429"/>
      <c r="V62" s="429"/>
      <c r="W62" s="117"/>
    </row>
    <row r="63" spans="2:23" x14ac:dyDescent="0.25">
      <c r="B63" s="116"/>
      <c r="C63" s="424"/>
      <c r="D63" s="425"/>
      <c r="E63" s="425"/>
      <c r="F63" s="399"/>
      <c r="G63" s="399"/>
      <c r="H63" s="399"/>
      <c r="I63" s="399"/>
      <c r="J63" s="399"/>
      <c r="K63" s="426"/>
      <c r="L63" s="426"/>
      <c r="M63" s="426"/>
      <c r="N63" s="426"/>
      <c r="O63" s="427"/>
      <c r="P63" s="115"/>
      <c r="Q63" s="429"/>
      <c r="R63" s="429"/>
      <c r="S63" s="429"/>
      <c r="T63" s="429"/>
      <c r="U63" s="429"/>
      <c r="V63" s="429"/>
      <c r="W63" s="117"/>
    </row>
    <row r="64" spans="2:23" x14ac:dyDescent="0.25">
      <c r="B64" s="116"/>
      <c r="C64" s="424"/>
      <c r="D64" s="425"/>
      <c r="E64" s="425"/>
      <c r="F64" s="399"/>
      <c r="G64" s="399"/>
      <c r="H64" s="399"/>
      <c r="I64" s="399"/>
      <c r="J64" s="399"/>
      <c r="K64" s="426"/>
      <c r="L64" s="426"/>
      <c r="M64" s="426"/>
      <c r="N64" s="426"/>
      <c r="O64" s="427"/>
      <c r="P64" s="115"/>
      <c r="Q64" s="429"/>
      <c r="R64" s="429"/>
      <c r="S64" s="429"/>
      <c r="T64" s="429"/>
      <c r="U64" s="429"/>
      <c r="V64" s="429"/>
      <c r="W64" s="117"/>
    </row>
    <row r="65" spans="2:23" x14ac:dyDescent="0.25">
      <c r="B65" s="116"/>
      <c r="C65" s="424"/>
      <c r="D65" s="425"/>
      <c r="E65" s="425"/>
      <c r="F65" s="399"/>
      <c r="G65" s="399"/>
      <c r="H65" s="399"/>
      <c r="I65" s="399"/>
      <c r="J65" s="399"/>
      <c r="K65" s="426"/>
      <c r="L65" s="426"/>
      <c r="M65" s="426"/>
      <c r="N65" s="426"/>
      <c r="O65" s="427"/>
      <c r="P65" s="115"/>
      <c r="Q65" s="429"/>
      <c r="R65" s="429"/>
      <c r="S65" s="429"/>
      <c r="T65" s="429"/>
      <c r="U65" s="429"/>
      <c r="V65" s="429"/>
      <c r="W65" s="117"/>
    </row>
    <row r="66" spans="2:23" x14ac:dyDescent="0.25">
      <c r="B66" s="116"/>
      <c r="C66" s="424"/>
      <c r="D66" s="425"/>
      <c r="E66" s="425"/>
      <c r="F66" s="399"/>
      <c r="G66" s="399"/>
      <c r="H66" s="399"/>
      <c r="I66" s="399"/>
      <c r="J66" s="399"/>
      <c r="K66" s="426"/>
      <c r="L66" s="426"/>
      <c r="M66" s="426"/>
      <c r="N66" s="426"/>
      <c r="O66" s="427"/>
      <c r="P66" s="115"/>
      <c r="Q66" s="429"/>
      <c r="R66" s="429"/>
      <c r="S66" s="429"/>
      <c r="T66" s="429"/>
      <c r="U66" s="429"/>
      <c r="V66" s="429"/>
      <c r="W66" s="117"/>
    </row>
    <row r="67" spans="2:23" x14ac:dyDescent="0.25">
      <c r="B67" s="116"/>
      <c r="C67" s="424"/>
      <c r="D67" s="425"/>
      <c r="E67" s="425"/>
      <c r="F67" s="399"/>
      <c r="G67" s="399"/>
      <c r="H67" s="399"/>
      <c r="I67" s="399"/>
      <c r="J67" s="399"/>
      <c r="K67" s="426"/>
      <c r="L67" s="426"/>
      <c r="M67" s="426"/>
      <c r="N67" s="426"/>
      <c r="O67" s="427"/>
      <c r="P67" s="115"/>
      <c r="Q67" s="429"/>
      <c r="R67" s="429"/>
      <c r="S67" s="429"/>
      <c r="T67" s="429"/>
      <c r="U67" s="429"/>
      <c r="V67" s="429"/>
      <c r="W67" s="117"/>
    </row>
    <row r="68" spans="2:23" x14ac:dyDescent="0.25">
      <c r="B68" s="116"/>
      <c r="C68" s="424"/>
      <c r="D68" s="425"/>
      <c r="E68" s="425"/>
      <c r="F68" s="399"/>
      <c r="G68" s="399"/>
      <c r="H68" s="399"/>
      <c r="I68" s="399"/>
      <c r="J68" s="399"/>
      <c r="K68" s="426"/>
      <c r="L68" s="426"/>
      <c r="M68" s="426"/>
      <c r="N68" s="426"/>
      <c r="O68" s="427"/>
      <c r="P68" s="115"/>
      <c r="Q68" s="429"/>
      <c r="R68" s="429"/>
      <c r="S68" s="429"/>
      <c r="T68" s="429"/>
      <c r="U68" s="429"/>
      <c r="V68" s="429"/>
      <c r="W68" s="117"/>
    </row>
    <row r="69" spans="2:23" x14ac:dyDescent="0.25">
      <c r="B69" s="116"/>
      <c r="C69" s="424"/>
      <c r="D69" s="425"/>
      <c r="E69" s="425"/>
      <c r="F69" s="399"/>
      <c r="G69" s="399"/>
      <c r="H69" s="399"/>
      <c r="I69" s="399"/>
      <c r="J69" s="399"/>
      <c r="K69" s="426"/>
      <c r="L69" s="426"/>
      <c r="M69" s="426"/>
      <c r="N69" s="426"/>
      <c r="O69" s="427"/>
      <c r="P69" s="115"/>
      <c r="Q69" s="429"/>
      <c r="R69" s="429"/>
      <c r="S69" s="429"/>
      <c r="T69" s="429"/>
      <c r="U69" s="429"/>
      <c r="V69" s="429"/>
      <c r="W69" s="117"/>
    </row>
    <row r="70" spans="2:23" x14ac:dyDescent="0.25">
      <c r="B70" s="116"/>
      <c r="C70" s="424"/>
      <c r="D70" s="425"/>
      <c r="E70" s="425"/>
      <c r="F70" s="399"/>
      <c r="G70" s="399"/>
      <c r="H70" s="399"/>
      <c r="I70" s="399"/>
      <c r="J70" s="399"/>
      <c r="K70" s="426"/>
      <c r="L70" s="426"/>
      <c r="M70" s="426"/>
      <c r="N70" s="426"/>
      <c r="O70" s="427"/>
      <c r="P70" s="115"/>
      <c r="Q70" s="429"/>
      <c r="R70" s="429"/>
      <c r="S70" s="429"/>
      <c r="T70" s="429"/>
      <c r="U70" s="429"/>
      <c r="V70" s="429"/>
      <c r="W70" s="117"/>
    </row>
    <row r="71" spans="2:23" x14ac:dyDescent="0.25">
      <c r="B71" s="116"/>
      <c r="C71" s="424"/>
      <c r="D71" s="425"/>
      <c r="E71" s="425"/>
      <c r="F71" s="399"/>
      <c r="G71" s="399"/>
      <c r="H71" s="399"/>
      <c r="I71" s="399"/>
      <c r="J71" s="399"/>
      <c r="K71" s="426"/>
      <c r="L71" s="426"/>
      <c r="M71" s="426"/>
      <c r="N71" s="426"/>
      <c r="O71" s="427"/>
      <c r="P71" s="115"/>
      <c r="Q71" s="429"/>
      <c r="R71" s="429"/>
      <c r="S71" s="429"/>
      <c r="T71" s="429"/>
      <c r="U71" s="429"/>
      <c r="V71" s="429"/>
      <c r="W71" s="117"/>
    </row>
    <row r="72" spans="2:23" x14ac:dyDescent="0.25">
      <c r="B72" s="116"/>
      <c r="C72" s="424"/>
      <c r="D72" s="425"/>
      <c r="E72" s="425"/>
      <c r="F72" s="399"/>
      <c r="G72" s="399"/>
      <c r="H72" s="399"/>
      <c r="I72" s="399"/>
      <c r="J72" s="399"/>
      <c r="K72" s="426"/>
      <c r="L72" s="426"/>
      <c r="M72" s="426"/>
      <c r="N72" s="426"/>
      <c r="O72" s="427"/>
      <c r="P72" s="115"/>
      <c r="Q72" s="429"/>
      <c r="R72" s="429"/>
      <c r="S72" s="429"/>
      <c r="T72" s="429"/>
      <c r="U72" s="429"/>
      <c r="V72" s="429"/>
      <c r="W72" s="117"/>
    </row>
    <row r="73" spans="2:23" x14ac:dyDescent="0.25">
      <c r="B73" s="116"/>
      <c r="C73" s="424"/>
      <c r="D73" s="425"/>
      <c r="E73" s="425"/>
      <c r="F73" s="399"/>
      <c r="G73" s="399"/>
      <c r="H73" s="399"/>
      <c r="I73" s="399"/>
      <c r="J73" s="399"/>
      <c r="K73" s="426"/>
      <c r="L73" s="426"/>
      <c r="M73" s="426"/>
      <c r="N73" s="426"/>
      <c r="O73" s="427"/>
      <c r="P73" s="115"/>
      <c r="Q73" s="429"/>
      <c r="R73" s="429"/>
      <c r="S73" s="429"/>
      <c r="T73" s="429"/>
      <c r="U73" s="429"/>
      <c r="V73" s="429"/>
      <c r="W73" s="117"/>
    </row>
    <row r="74" spans="2:23" x14ac:dyDescent="0.25">
      <c r="B74" s="116"/>
      <c r="C74" s="424"/>
      <c r="D74" s="425"/>
      <c r="E74" s="425"/>
      <c r="F74" s="399"/>
      <c r="G74" s="399"/>
      <c r="H74" s="399"/>
      <c r="I74" s="399"/>
      <c r="J74" s="399"/>
      <c r="K74" s="426"/>
      <c r="L74" s="426"/>
      <c r="M74" s="426"/>
      <c r="N74" s="426"/>
      <c r="O74" s="427"/>
      <c r="P74" s="115"/>
      <c r="Q74" s="429"/>
      <c r="R74" s="429"/>
      <c r="S74" s="429"/>
      <c r="T74" s="429"/>
      <c r="U74" s="429"/>
      <c r="V74" s="429"/>
      <c r="W74" s="117"/>
    </row>
    <row r="75" spans="2:23" x14ac:dyDescent="0.25">
      <c r="B75" s="116"/>
      <c r="C75" s="424"/>
      <c r="D75" s="425"/>
      <c r="E75" s="425"/>
      <c r="F75" s="399"/>
      <c r="G75" s="399"/>
      <c r="H75" s="399"/>
      <c r="I75" s="399"/>
      <c r="J75" s="399"/>
      <c r="K75" s="426"/>
      <c r="L75" s="426"/>
      <c r="M75" s="426"/>
      <c r="N75" s="426"/>
      <c r="O75" s="427"/>
      <c r="P75" s="115"/>
      <c r="Q75" s="429"/>
      <c r="R75" s="429"/>
      <c r="S75" s="429"/>
      <c r="T75" s="429"/>
      <c r="U75" s="429"/>
      <c r="V75" s="429"/>
      <c r="W75" s="117"/>
    </row>
    <row r="76" spans="2:23" x14ac:dyDescent="0.25">
      <c r="B76" s="116"/>
      <c r="C76" s="424"/>
      <c r="D76" s="425"/>
      <c r="E76" s="425"/>
      <c r="F76" s="399"/>
      <c r="G76" s="399"/>
      <c r="H76" s="399"/>
      <c r="I76" s="399"/>
      <c r="J76" s="399"/>
      <c r="K76" s="426"/>
      <c r="L76" s="426"/>
      <c r="M76" s="426"/>
      <c r="N76" s="426"/>
      <c r="O76" s="427"/>
      <c r="P76" s="115"/>
      <c r="Q76" s="429"/>
      <c r="R76" s="429"/>
      <c r="S76" s="429"/>
      <c r="T76" s="429"/>
      <c r="U76" s="429"/>
      <c r="V76" s="429"/>
      <c r="W76" s="117"/>
    </row>
    <row r="77" spans="2:23" x14ac:dyDescent="0.25">
      <c r="B77" s="116"/>
      <c r="C77" s="424"/>
      <c r="D77" s="425"/>
      <c r="E77" s="425"/>
      <c r="F77" s="399"/>
      <c r="G77" s="399"/>
      <c r="H77" s="399"/>
      <c r="I77" s="399"/>
      <c r="J77" s="399"/>
      <c r="K77" s="426"/>
      <c r="L77" s="426"/>
      <c r="M77" s="426"/>
      <c r="N77" s="426"/>
      <c r="O77" s="427"/>
      <c r="P77" s="115"/>
      <c r="Q77" s="429"/>
      <c r="R77" s="429"/>
      <c r="S77" s="429"/>
      <c r="T77" s="429"/>
      <c r="U77" s="429"/>
      <c r="V77" s="429"/>
      <c r="W77" s="117"/>
    </row>
    <row r="78" spans="2:23" x14ac:dyDescent="0.25">
      <c r="B78" s="116"/>
      <c r="C78" s="424"/>
      <c r="D78" s="425"/>
      <c r="E78" s="425"/>
      <c r="F78" s="399"/>
      <c r="G78" s="399"/>
      <c r="H78" s="399"/>
      <c r="I78" s="399"/>
      <c r="J78" s="399"/>
      <c r="K78" s="426"/>
      <c r="L78" s="426"/>
      <c r="M78" s="426"/>
      <c r="N78" s="426"/>
      <c r="O78" s="427"/>
      <c r="P78" s="115"/>
      <c r="Q78" s="429"/>
      <c r="R78" s="429"/>
      <c r="S78" s="429"/>
      <c r="T78" s="429"/>
      <c r="U78" s="429"/>
      <c r="V78" s="429"/>
      <c r="W78" s="117"/>
    </row>
    <row r="79" spans="2:23" x14ac:dyDescent="0.25">
      <c r="B79" s="116"/>
      <c r="C79" s="424"/>
      <c r="D79" s="425"/>
      <c r="E79" s="425"/>
      <c r="F79" s="399"/>
      <c r="G79" s="399"/>
      <c r="H79" s="399"/>
      <c r="I79" s="399"/>
      <c r="J79" s="399"/>
      <c r="K79" s="426"/>
      <c r="L79" s="426"/>
      <c r="M79" s="426"/>
      <c r="N79" s="426"/>
      <c r="O79" s="427"/>
      <c r="P79" s="115"/>
      <c r="Q79" s="429"/>
      <c r="R79" s="429"/>
      <c r="S79" s="429"/>
      <c r="T79" s="429"/>
      <c r="U79" s="429"/>
      <c r="V79" s="429"/>
      <c r="W79" s="117"/>
    </row>
    <row r="80" spans="2:23" x14ac:dyDescent="0.25">
      <c r="B80" s="116"/>
      <c r="C80" s="424"/>
      <c r="D80" s="425"/>
      <c r="E80" s="425"/>
      <c r="F80" s="399"/>
      <c r="G80" s="399"/>
      <c r="H80" s="399"/>
      <c r="I80" s="399"/>
      <c r="J80" s="399"/>
      <c r="K80" s="426"/>
      <c r="L80" s="426"/>
      <c r="M80" s="426"/>
      <c r="N80" s="426"/>
      <c r="O80" s="427"/>
      <c r="P80" s="115"/>
      <c r="Q80" s="429"/>
      <c r="R80" s="429"/>
      <c r="S80" s="429"/>
      <c r="T80" s="429"/>
      <c r="U80" s="429"/>
      <c r="V80" s="429"/>
      <c r="W80" s="117"/>
    </row>
    <row r="81" spans="2:23" x14ac:dyDescent="0.25">
      <c r="B81" s="116"/>
      <c r="C81" s="424"/>
      <c r="D81" s="425"/>
      <c r="E81" s="425"/>
      <c r="F81" s="399"/>
      <c r="G81" s="399"/>
      <c r="H81" s="399"/>
      <c r="I81" s="399"/>
      <c r="J81" s="399"/>
      <c r="K81" s="426"/>
      <c r="L81" s="426"/>
      <c r="M81" s="426"/>
      <c r="N81" s="426"/>
      <c r="O81" s="427"/>
      <c r="P81" s="115"/>
      <c r="Q81" s="429"/>
      <c r="R81" s="429"/>
      <c r="S81" s="429"/>
      <c r="T81" s="429"/>
      <c r="U81" s="429"/>
      <c r="V81" s="429"/>
      <c r="W81" s="117"/>
    </row>
    <row r="82" spans="2:23" x14ac:dyDescent="0.25">
      <c r="B82" s="116"/>
      <c r="C82" s="424"/>
      <c r="D82" s="425"/>
      <c r="E82" s="425"/>
      <c r="F82" s="399"/>
      <c r="G82" s="399"/>
      <c r="H82" s="399"/>
      <c r="I82" s="399"/>
      <c r="J82" s="399"/>
      <c r="K82" s="426"/>
      <c r="L82" s="426"/>
      <c r="M82" s="426"/>
      <c r="N82" s="426"/>
      <c r="O82" s="427"/>
      <c r="P82" s="115"/>
      <c r="Q82" s="429"/>
      <c r="R82" s="429"/>
      <c r="S82" s="429"/>
      <c r="T82" s="429"/>
      <c r="U82" s="429"/>
      <c r="V82" s="429"/>
      <c r="W82" s="117"/>
    </row>
    <row r="83" spans="2:23" x14ac:dyDescent="0.25">
      <c r="B83" s="116"/>
      <c r="C83" s="424"/>
      <c r="D83" s="425"/>
      <c r="E83" s="425"/>
      <c r="F83" s="399"/>
      <c r="G83" s="399"/>
      <c r="H83" s="399"/>
      <c r="I83" s="399"/>
      <c r="J83" s="399"/>
      <c r="K83" s="426"/>
      <c r="L83" s="426"/>
      <c r="M83" s="426"/>
      <c r="N83" s="426"/>
      <c r="O83" s="427"/>
      <c r="P83" s="115"/>
      <c r="Q83" s="429"/>
      <c r="R83" s="429"/>
      <c r="S83" s="429"/>
      <c r="T83" s="429"/>
      <c r="U83" s="429"/>
      <c r="V83" s="429"/>
      <c r="W83" s="117"/>
    </row>
    <row r="84" spans="2:23" x14ac:dyDescent="0.25">
      <c r="B84" s="116"/>
      <c r="C84" s="424"/>
      <c r="D84" s="425"/>
      <c r="E84" s="425"/>
      <c r="F84" s="399"/>
      <c r="G84" s="399"/>
      <c r="H84" s="399"/>
      <c r="I84" s="399"/>
      <c r="J84" s="399"/>
      <c r="K84" s="426"/>
      <c r="L84" s="426"/>
      <c r="M84" s="426"/>
      <c r="N84" s="426"/>
      <c r="O84" s="427"/>
      <c r="P84" s="115"/>
      <c r="Q84" s="429"/>
      <c r="R84" s="429"/>
      <c r="S84" s="429"/>
      <c r="T84" s="429"/>
      <c r="U84" s="429"/>
      <c r="V84" s="429"/>
      <c r="W84" s="117"/>
    </row>
    <row r="85" spans="2:23" x14ac:dyDescent="0.25">
      <c r="B85" s="116"/>
      <c r="C85" s="424"/>
      <c r="D85" s="425"/>
      <c r="E85" s="425"/>
      <c r="F85" s="399"/>
      <c r="G85" s="399"/>
      <c r="H85" s="399"/>
      <c r="I85" s="399"/>
      <c r="J85" s="399"/>
      <c r="K85" s="426"/>
      <c r="L85" s="426"/>
      <c r="M85" s="426"/>
      <c r="N85" s="426"/>
      <c r="O85" s="427"/>
      <c r="P85" s="115"/>
      <c r="Q85" s="429"/>
      <c r="R85" s="429"/>
      <c r="S85" s="429"/>
      <c r="T85" s="429"/>
      <c r="U85" s="429"/>
      <c r="V85" s="429"/>
      <c r="W85" s="117"/>
    </row>
    <row r="86" spans="2:23" x14ac:dyDescent="0.25">
      <c r="B86" s="116"/>
      <c r="C86" s="424"/>
      <c r="D86" s="425"/>
      <c r="E86" s="425"/>
      <c r="F86" s="399"/>
      <c r="G86" s="399"/>
      <c r="H86" s="399"/>
      <c r="I86" s="399"/>
      <c r="J86" s="399"/>
      <c r="K86" s="426"/>
      <c r="L86" s="426"/>
      <c r="M86" s="426"/>
      <c r="N86" s="426"/>
      <c r="O86" s="427"/>
      <c r="P86" s="115"/>
      <c r="Q86" s="429"/>
      <c r="R86" s="429"/>
      <c r="S86" s="429"/>
      <c r="T86" s="429"/>
      <c r="U86" s="429"/>
      <c r="V86" s="429"/>
      <c r="W86" s="117"/>
    </row>
    <row r="87" spans="2:23" x14ac:dyDescent="0.25">
      <c r="B87" s="116"/>
      <c r="C87" s="424"/>
      <c r="D87" s="425"/>
      <c r="E87" s="425"/>
      <c r="F87" s="399"/>
      <c r="G87" s="399"/>
      <c r="H87" s="399"/>
      <c r="I87" s="399"/>
      <c r="J87" s="399"/>
      <c r="K87" s="426"/>
      <c r="L87" s="426"/>
      <c r="M87" s="426"/>
      <c r="N87" s="426"/>
      <c r="O87" s="427"/>
      <c r="P87" s="115"/>
      <c r="Q87" s="429"/>
      <c r="R87" s="429"/>
      <c r="S87" s="429"/>
      <c r="T87" s="429"/>
      <c r="U87" s="429"/>
      <c r="V87" s="429"/>
      <c r="W87" s="117"/>
    </row>
    <row r="88" spans="2:23" x14ac:dyDescent="0.25">
      <c r="B88" s="116"/>
      <c r="C88" s="424"/>
      <c r="D88" s="425"/>
      <c r="E88" s="425"/>
      <c r="F88" s="399"/>
      <c r="G88" s="399"/>
      <c r="H88" s="399"/>
      <c r="I88" s="399"/>
      <c r="J88" s="399"/>
      <c r="K88" s="426"/>
      <c r="L88" s="426"/>
      <c r="M88" s="426"/>
      <c r="N88" s="426"/>
      <c r="O88" s="427"/>
      <c r="P88" s="115"/>
      <c r="Q88" s="429"/>
      <c r="R88" s="429"/>
      <c r="S88" s="429"/>
      <c r="T88" s="429"/>
      <c r="U88" s="429"/>
      <c r="V88" s="429"/>
      <c r="W88" s="117"/>
    </row>
    <row r="89" spans="2:23" x14ac:dyDescent="0.25">
      <c r="B89" s="116"/>
      <c r="C89" s="424"/>
      <c r="D89" s="425"/>
      <c r="E89" s="425"/>
      <c r="F89" s="399"/>
      <c r="G89" s="399"/>
      <c r="H89" s="399"/>
      <c r="I89" s="399"/>
      <c r="J89" s="399"/>
      <c r="K89" s="426"/>
      <c r="L89" s="426"/>
      <c r="M89" s="426"/>
      <c r="N89" s="426"/>
      <c r="O89" s="427"/>
      <c r="P89" s="115"/>
      <c r="Q89" s="429"/>
      <c r="R89" s="429"/>
      <c r="S89" s="429"/>
      <c r="T89" s="429"/>
      <c r="U89" s="429"/>
      <c r="V89" s="429"/>
      <c r="W89" s="117"/>
    </row>
    <row r="90" spans="2:23" x14ac:dyDescent="0.25">
      <c r="B90" s="116"/>
      <c r="C90" s="424"/>
      <c r="D90" s="425"/>
      <c r="E90" s="425"/>
      <c r="F90" s="399"/>
      <c r="G90" s="399"/>
      <c r="H90" s="399"/>
      <c r="I90" s="399"/>
      <c r="J90" s="399"/>
      <c r="K90" s="426"/>
      <c r="L90" s="426"/>
      <c r="M90" s="426"/>
      <c r="N90" s="426"/>
      <c r="O90" s="427"/>
      <c r="P90" s="115"/>
      <c r="Q90" s="429"/>
      <c r="R90" s="429"/>
      <c r="S90" s="429"/>
      <c r="T90" s="429"/>
      <c r="U90" s="429"/>
      <c r="V90" s="429"/>
      <c r="W90" s="117"/>
    </row>
    <row r="91" spans="2:23" x14ac:dyDescent="0.25">
      <c r="B91" s="116"/>
      <c r="C91" s="424"/>
      <c r="D91" s="425"/>
      <c r="E91" s="425"/>
      <c r="F91" s="399"/>
      <c r="G91" s="399"/>
      <c r="H91" s="399"/>
      <c r="I91" s="399"/>
      <c r="J91" s="399"/>
      <c r="K91" s="426"/>
      <c r="L91" s="426"/>
      <c r="M91" s="426"/>
      <c r="N91" s="426"/>
      <c r="O91" s="427"/>
      <c r="P91" s="115"/>
      <c r="Q91" s="429"/>
      <c r="R91" s="429"/>
      <c r="S91" s="429"/>
      <c r="T91" s="429"/>
      <c r="U91" s="429"/>
      <c r="V91" s="429"/>
      <c r="W91" s="117"/>
    </row>
    <row r="92" spans="2:23" x14ac:dyDescent="0.25">
      <c r="B92" s="116"/>
      <c r="C92" s="424"/>
      <c r="D92" s="425"/>
      <c r="E92" s="425"/>
      <c r="F92" s="399"/>
      <c r="G92" s="399"/>
      <c r="H92" s="399"/>
      <c r="I92" s="399"/>
      <c r="J92" s="399"/>
      <c r="K92" s="426"/>
      <c r="L92" s="426"/>
      <c r="M92" s="426"/>
      <c r="N92" s="426"/>
      <c r="O92" s="427"/>
      <c r="P92" s="115"/>
      <c r="Q92" s="429"/>
      <c r="R92" s="429"/>
      <c r="S92" s="429"/>
      <c r="T92" s="429"/>
      <c r="U92" s="429"/>
      <c r="V92" s="429"/>
      <c r="W92" s="117"/>
    </row>
    <row r="93" spans="2:23" x14ac:dyDescent="0.25">
      <c r="B93" s="116"/>
      <c r="C93" s="424"/>
      <c r="D93" s="425"/>
      <c r="E93" s="425"/>
      <c r="F93" s="399"/>
      <c r="G93" s="399"/>
      <c r="H93" s="399"/>
      <c r="I93" s="399"/>
      <c r="J93" s="399"/>
      <c r="K93" s="426"/>
      <c r="L93" s="426"/>
      <c r="M93" s="426"/>
      <c r="N93" s="426"/>
      <c r="O93" s="427"/>
      <c r="P93" s="115"/>
      <c r="Q93" s="429"/>
      <c r="R93" s="429"/>
      <c r="S93" s="429"/>
      <c r="T93" s="429"/>
      <c r="U93" s="429"/>
      <c r="V93" s="429"/>
      <c r="W93" s="117"/>
    </row>
    <row r="94" spans="2:23" x14ac:dyDescent="0.25">
      <c r="B94" s="116"/>
      <c r="C94" s="424"/>
      <c r="D94" s="425"/>
      <c r="E94" s="425"/>
      <c r="F94" s="399"/>
      <c r="G94" s="399"/>
      <c r="H94" s="399"/>
      <c r="I94" s="399"/>
      <c r="J94" s="399"/>
      <c r="K94" s="426"/>
      <c r="L94" s="426"/>
      <c r="M94" s="426"/>
      <c r="N94" s="426"/>
      <c r="O94" s="427"/>
      <c r="P94" s="115"/>
      <c r="Q94" s="429"/>
      <c r="R94" s="429"/>
      <c r="S94" s="429"/>
      <c r="T94" s="429"/>
      <c r="U94" s="429"/>
      <c r="V94" s="429"/>
      <c r="W94" s="117"/>
    </row>
    <row r="95" spans="2:23" x14ac:dyDescent="0.25">
      <c r="B95" s="116"/>
      <c r="C95" s="424"/>
      <c r="D95" s="425"/>
      <c r="E95" s="425"/>
      <c r="F95" s="399"/>
      <c r="G95" s="399"/>
      <c r="H95" s="399"/>
      <c r="I95" s="399"/>
      <c r="J95" s="399"/>
      <c r="K95" s="426"/>
      <c r="L95" s="426"/>
      <c r="M95" s="426"/>
      <c r="N95" s="426"/>
      <c r="O95" s="427"/>
      <c r="P95" s="115"/>
      <c r="Q95" s="429"/>
      <c r="R95" s="429"/>
      <c r="S95" s="429"/>
      <c r="T95" s="429"/>
      <c r="U95" s="429"/>
      <c r="V95" s="429"/>
      <c r="W95" s="117"/>
    </row>
    <row r="96" spans="2:23" x14ac:dyDescent="0.25">
      <c r="B96" s="116"/>
      <c r="C96" s="424"/>
      <c r="D96" s="425"/>
      <c r="E96" s="425"/>
      <c r="F96" s="399"/>
      <c r="G96" s="399"/>
      <c r="H96" s="399"/>
      <c r="I96" s="399"/>
      <c r="J96" s="399"/>
      <c r="K96" s="426"/>
      <c r="L96" s="426"/>
      <c r="M96" s="426"/>
      <c r="N96" s="426"/>
      <c r="O96" s="427"/>
      <c r="P96" s="115"/>
      <c r="Q96" s="429"/>
      <c r="R96" s="429"/>
      <c r="S96" s="429"/>
      <c r="T96" s="429"/>
      <c r="U96" s="429"/>
      <c r="V96" s="429"/>
      <c r="W96" s="117"/>
    </row>
    <row r="97" spans="2:23" x14ac:dyDescent="0.25">
      <c r="B97" s="116"/>
      <c r="C97" s="424"/>
      <c r="D97" s="425"/>
      <c r="E97" s="425"/>
      <c r="F97" s="399"/>
      <c r="G97" s="399"/>
      <c r="H97" s="399"/>
      <c r="I97" s="399"/>
      <c r="J97" s="399"/>
      <c r="K97" s="426"/>
      <c r="L97" s="426"/>
      <c r="M97" s="426"/>
      <c r="N97" s="426"/>
      <c r="O97" s="427"/>
      <c r="P97" s="115"/>
      <c r="Q97" s="429"/>
      <c r="R97" s="429"/>
      <c r="S97" s="429"/>
      <c r="T97" s="429"/>
      <c r="U97" s="429"/>
      <c r="V97" s="429"/>
      <c r="W97" s="117"/>
    </row>
    <row r="98" spans="2:23" x14ac:dyDescent="0.25">
      <c r="B98" s="116"/>
      <c r="C98" s="424"/>
      <c r="D98" s="425"/>
      <c r="E98" s="425"/>
      <c r="F98" s="399"/>
      <c r="G98" s="399"/>
      <c r="H98" s="399"/>
      <c r="I98" s="399"/>
      <c r="J98" s="399"/>
      <c r="K98" s="426"/>
      <c r="L98" s="426"/>
      <c r="M98" s="426"/>
      <c r="N98" s="426"/>
      <c r="O98" s="427"/>
      <c r="P98" s="115"/>
      <c r="Q98" s="429"/>
      <c r="R98" s="429"/>
      <c r="S98" s="429"/>
      <c r="T98" s="429"/>
      <c r="U98" s="429"/>
      <c r="V98" s="429"/>
      <c r="W98" s="117"/>
    </row>
    <row r="99" spans="2:23" x14ac:dyDescent="0.25">
      <c r="B99" s="116"/>
      <c r="C99" s="424"/>
      <c r="D99" s="425"/>
      <c r="E99" s="425"/>
      <c r="F99" s="399"/>
      <c r="G99" s="399"/>
      <c r="H99" s="399"/>
      <c r="I99" s="399"/>
      <c r="J99" s="399"/>
      <c r="K99" s="426"/>
      <c r="L99" s="426"/>
      <c r="M99" s="426"/>
      <c r="N99" s="426"/>
      <c r="O99" s="427"/>
      <c r="P99" s="115"/>
      <c r="Q99" s="429"/>
      <c r="R99" s="429"/>
      <c r="S99" s="429"/>
      <c r="T99" s="429"/>
      <c r="U99" s="429"/>
      <c r="V99" s="429"/>
      <c r="W99" s="117"/>
    </row>
    <row r="100" spans="2:23" x14ac:dyDescent="0.25">
      <c r="B100" s="116"/>
      <c r="C100" s="424"/>
      <c r="D100" s="425"/>
      <c r="E100" s="425"/>
      <c r="F100" s="399"/>
      <c r="G100" s="399"/>
      <c r="H100" s="399"/>
      <c r="I100" s="399"/>
      <c r="J100" s="399"/>
      <c r="K100" s="426"/>
      <c r="L100" s="426"/>
      <c r="M100" s="426"/>
      <c r="N100" s="426"/>
      <c r="O100" s="427"/>
      <c r="P100" s="115"/>
      <c r="Q100" s="429"/>
      <c r="R100" s="429"/>
      <c r="S100" s="429"/>
      <c r="T100" s="429"/>
      <c r="U100" s="429"/>
      <c r="V100" s="429"/>
      <c r="W100" s="117"/>
    </row>
    <row r="101" spans="2:23" x14ac:dyDescent="0.25">
      <c r="B101" s="116"/>
      <c r="C101" s="424"/>
      <c r="D101" s="425"/>
      <c r="E101" s="425"/>
      <c r="F101" s="399"/>
      <c r="G101" s="399"/>
      <c r="H101" s="399"/>
      <c r="I101" s="399"/>
      <c r="J101" s="399"/>
      <c r="K101" s="426"/>
      <c r="L101" s="426"/>
      <c r="M101" s="426"/>
      <c r="N101" s="426"/>
      <c r="O101" s="427"/>
      <c r="P101" s="115"/>
      <c r="Q101" s="429"/>
      <c r="R101" s="429"/>
      <c r="S101" s="429"/>
      <c r="T101" s="429"/>
      <c r="U101" s="429"/>
      <c r="V101" s="429"/>
      <c r="W101" s="117"/>
    </row>
    <row r="102" spans="2:23" x14ac:dyDescent="0.25">
      <c r="B102" s="116"/>
      <c r="C102" s="424"/>
      <c r="D102" s="425"/>
      <c r="E102" s="425"/>
      <c r="F102" s="399"/>
      <c r="G102" s="399"/>
      <c r="H102" s="399"/>
      <c r="I102" s="399"/>
      <c r="J102" s="399"/>
      <c r="K102" s="426"/>
      <c r="L102" s="426"/>
      <c r="M102" s="426"/>
      <c r="N102" s="426"/>
      <c r="O102" s="427"/>
      <c r="P102" s="115"/>
      <c r="Q102" s="429"/>
      <c r="R102" s="429"/>
      <c r="S102" s="429"/>
      <c r="T102" s="429"/>
      <c r="U102" s="429"/>
      <c r="V102" s="429"/>
      <c r="W102" s="117"/>
    </row>
    <row r="103" spans="2:23" x14ac:dyDescent="0.25">
      <c r="B103" s="116"/>
      <c r="C103" s="424"/>
      <c r="D103" s="425"/>
      <c r="E103" s="425"/>
      <c r="F103" s="399"/>
      <c r="G103" s="399"/>
      <c r="H103" s="399"/>
      <c r="I103" s="399"/>
      <c r="J103" s="399"/>
      <c r="K103" s="426"/>
      <c r="L103" s="426"/>
      <c r="M103" s="426"/>
      <c r="N103" s="426"/>
      <c r="O103" s="427"/>
      <c r="P103" s="115"/>
      <c r="Q103" s="429"/>
      <c r="R103" s="429"/>
      <c r="S103" s="429"/>
      <c r="T103" s="429"/>
      <c r="U103" s="429"/>
      <c r="V103" s="429"/>
      <c r="W103" s="117"/>
    </row>
    <row r="104" spans="2:23" x14ac:dyDescent="0.25">
      <c r="B104" s="116"/>
      <c r="C104" s="424"/>
      <c r="D104" s="425"/>
      <c r="E104" s="425"/>
      <c r="F104" s="399"/>
      <c r="G104" s="399"/>
      <c r="H104" s="399"/>
      <c r="I104" s="399"/>
      <c r="J104" s="399"/>
      <c r="K104" s="426"/>
      <c r="L104" s="426"/>
      <c r="M104" s="426"/>
      <c r="N104" s="426"/>
      <c r="O104" s="427"/>
      <c r="P104" s="115"/>
      <c r="Q104" s="429"/>
      <c r="R104" s="429"/>
      <c r="S104" s="429"/>
      <c r="T104" s="429"/>
      <c r="U104" s="429"/>
      <c r="V104" s="429"/>
      <c r="W104" s="117"/>
    </row>
    <row r="105" spans="2:23" x14ac:dyDescent="0.25">
      <c r="B105" s="116"/>
      <c r="C105" s="424"/>
      <c r="D105" s="425"/>
      <c r="E105" s="425"/>
      <c r="F105" s="399"/>
      <c r="G105" s="399"/>
      <c r="H105" s="399"/>
      <c r="I105" s="399"/>
      <c r="J105" s="399"/>
      <c r="K105" s="426"/>
      <c r="L105" s="426"/>
      <c r="M105" s="426"/>
      <c r="N105" s="426"/>
      <c r="O105" s="427"/>
      <c r="P105" s="115"/>
      <c r="Q105" s="429"/>
      <c r="R105" s="429"/>
      <c r="S105" s="429"/>
      <c r="T105" s="429"/>
      <c r="U105" s="429"/>
      <c r="V105" s="429"/>
      <c r="W105" s="117"/>
    </row>
    <row r="106" spans="2:23" x14ac:dyDescent="0.25">
      <c r="B106" s="116"/>
      <c r="C106" s="424"/>
      <c r="D106" s="425"/>
      <c r="E106" s="425"/>
      <c r="F106" s="399"/>
      <c r="G106" s="399"/>
      <c r="H106" s="399"/>
      <c r="I106" s="399"/>
      <c r="J106" s="399"/>
      <c r="K106" s="426"/>
      <c r="L106" s="426"/>
      <c r="M106" s="426"/>
      <c r="N106" s="426"/>
      <c r="O106" s="427"/>
      <c r="P106" s="115"/>
      <c r="Q106" s="429"/>
      <c r="R106" s="429"/>
      <c r="S106" s="429"/>
      <c r="T106" s="429"/>
      <c r="U106" s="429"/>
      <c r="V106" s="429"/>
      <c r="W106" s="117"/>
    </row>
    <row r="107" spans="2:23" x14ac:dyDescent="0.25">
      <c r="B107" s="116"/>
      <c r="C107" s="424"/>
      <c r="D107" s="425"/>
      <c r="E107" s="425"/>
      <c r="F107" s="399"/>
      <c r="G107" s="399"/>
      <c r="H107" s="399"/>
      <c r="I107" s="399"/>
      <c r="J107" s="399"/>
      <c r="K107" s="426"/>
      <c r="L107" s="426"/>
      <c r="M107" s="426"/>
      <c r="N107" s="426"/>
      <c r="O107" s="427"/>
      <c r="P107" s="115"/>
      <c r="Q107" s="430"/>
      <c r="R107" s="430"/>
      <c r="S107" s="430"/>
      <c r="T107" s="430"/>
      <c r="U107" s="430"/>
      <c r="V107" s="430"/>
      <c r="W107" s="117"/>
    </row>
    <row r="108" spans="2:23" x14ac:dyDescent="0.25">
      <c r="B108" s="107"/>
      <c r="C108" s="108"/>
      <c r="D108" s="108"/>
      <c r="E108" s="108"/>
      <c r="F108" s="108"/>
      <c r="G108" s="108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08"/>
      <c r="W108" s="109"/>
    </row>
    <row r="109" spans="2:23" ht="7.15" customHeight="1" x14ac:dyDescent="0.25"/>
    <row r="110" spans="2:23" s="114" customFormat="1" ht="22.9" customHeight="1" x14ac:dyDescent="0.25">
      <c r="B110" s="111"/>
      <c r="C110" s="111"/>
      <c r="D110" s="111"/>
      <c r="E110" s="112"/>
      <c r="F110" s="113"/>
      <c r="G110" s="113"/>
      <c r="H110" s="113"/>
      <c r="I110" s="113"/>
      <c r="J110" s="113"/>
      <c r="K110" s="113"/>
      <c r="L110" s="113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</row>
  </sheetData>
  <sheetProtection algorithmName="SHA-512" hashValue="kLgT4qUldcAZ1//3fenBHh1+kGIrzz6+TOT+0C2moAqyZ197UErWcO9ZiSS6dV02uyJpOVQtT1oSVsH1lHXXEg==" saltValue="658DYTdGtBZKfxWH6sb6Lw==" spinCount="100000" sheet="1" objects="1" scenarios="1" formatColumns="0"/>
  <phoneticPr fontId="25" type="noConversion"/>
  <dataValidations count="1">
    <dataValidation type="decimal" operator="greaterThanOrEqual" allowBlank="1" showInputMessage="1" showErrorMessage="1" errorTitle="Warning!" error="Please enter a number." sqref="Q8:V107" xr:uid="{38FF4A25-EB03-4892-847E-99B1793B7F4B}">
      <formula1>0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5E8DC-5299-4C73-AF4D-C3F5EC11194C}">
  <sheetPr codeName="Sheet5">
    <pageSetUpPr autoPageBreaks="0" fitToPage="1"/>
  </sheetPr>
  <dimension ref="A1:O37"/>
  <sheetViews>
    <sheetView showGridLines="0" showRowColHeaders="0" zoomScaleNormal="100" zoomScaleSheetLayoutView="85" workbookViewId="0">
      <pane ySplit="4" topLeftCell="A5" activePane="bottomLeft" state="frozen"/>
      <selection activeCell="N8" sqref="N8"/>
      <selection pane="bottomLeft" activeCell="A5" sqref="A5"/>
    </sheetView>
  </sheetViews>
  <sheetFormatPr defaultColWidth="8.85546875" defaultRowHeight="15" x14ac:dyDescent="0.25"/>
  <cols>
    <col min="1" max="1" width="3.7109375" style="180" customWidth="1"/>
    <col min="2" max="2" width="2.7109375" style="180" customWidth="1"/>
    <col min="3" max="3" width="7.28515625" style="180" customWidth="1"/>
    <col min="4" max="4" width="30.85546875" style="180" customWidth="1"/>
    <col min="5" max="5" width="30.7109375" style="180" customWidth="1"/>
    <col min="6" max="6" width="7.28515625" style="180" customWidth="1"/>
    <col min="7" max="7" width="2.7109375" style="180" customWidth="1"/>
    <col min="8" max="13" width="12.7109375" style="180" customWidth="1"/>
    <col min="14" max="14" width="2.7109375" style="180" customWidth="1"/>
    <col min="15" max="15" width="1.7109375" style="180" customWidth="1"/>
    <col min="16" max="16384" width="8.85546875" style="180"/>
  </cols>
  <sheetData>
    <row r="1" spans="1:15" s="164" customFormat="1" ht="6.75" customHeight="1" x14ac:dyDescent="0.25">
      <c r="B1" s="165"/>
      <c r="C1" s="165"/>
      <c r="F1" s="166"/>
    </row>
    <row r="2" spans="1:15" s="167" customFormat="1" ht="20.100000000000001" customHeight="1" x14ac:dyDescent="0.25">
      <c r="B2" s="168"/>
      <c r="C2" s="123" t="s">
        <v>247</v>
      </c>
      <c r="D2" s="169"/>
      <c r="E2" s="170"/>
      <c r="F2" s="170"/>
      <c r="G2" s="170"/>
      <c r="H2" s="170"/>
      <c r="I2" s="171"/>
      <c r="J2" s="171"/>
      <c r="K2" s="171"/>
      <c r="L2" s="171"/>
      <c r="M2" s="171"/>
      <c r="N2" s="170"/>
      <c r="O2" s="172"/>
    </row>
    <row r="3" spans="1:15" s="173" customFormat="1" ht="24" customHeight="1" x14ac:dyDescent="0.25">
      <c r="B3" s="174"/>
      <c r="C3" s="130" t="s">
        <v>0</v>
      </c>
      <c r="D3" s="175"/>
      <c r="E3" s="176"/>
      <c r="F3" s="176"/>
      <c r="G3" s="176"/>
      <c r="H3" s="176"/>
      <c r="I3" s="177"/>
      <c r="J3" s="177"/>
      <c r="K3" s="177"/>
      <c r="L3" s="177"/>
      <c r="M3" s="177"/>
      <c r="N3" s="176"/>
      <c r="O3" s="178"/>
    </row>
    <row r="4" spans="1:15" ht="4.9000000000000004" customHeight="1" x14ac:dyDescent="0.25">
      <c r="A4" s="179"/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</row>
    <row r="5" spans="1:15" ht="4.9000000000000004" customHeight="1" x14ac:dyDescent="0.25">
      <c r="A5" s="179"/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</row>
    <row r="6" spans="1:15" ht="9.9499999999999993" customHeight="1" x14ac:dyDescent="0.25">
      <c r="A6" s="179"/>
      <c r="B6" s="250"/>
      <c r="C6" s="251"/>
      <c r="D6" s="251"/>
      <c r="E6" s="251"/>
      <c r="F6" s="251"/>
      <c r="G6" s="251"/>
      <c r="H6" s="251"/>
      <c r="I6" s="251"/>
      <c r="J6" s="251"/>
      <c r="K6" s="251"/>
      <c r="L6" s="251"/>
      <c r="M6" s="251"/>
      <c r="N6" s="252"/>
      <c r="O6" s="179"/>
    </row>
    <row r="7" spans="1:15" ht="21" customHeight="1" x14ac:dyDescent="0.25">
      <c r="B7" s="238"/>
      <c r="C7" s="239"/>
      <c r="D7" s="220" t="s">
        <v>161</v>
      </c>
      <c r="E7" s="184" t="s">
        <v>265</v>
      </c>
      <c r="F7" s="248"/>
      <c r="G7" s="248"/>
      <c r="H7" s="249"/>
      <c r="I7" s="239"/>
      <c r="J7" s="249"/>
      <c r="K7" s="249"/>
      <c r="L7" s="249"/>
      <c r="M7" s="249"/>
      <c r="N7" s="240"/>
    </row>
    <row r="8" spans="1:15" ht="15.95" customHeight="1" x14ac:dyDescent="0.25">
      <c r="B8" s="238"/>
      <c r="C8" s="239"/>
      <c r="D8" s="246"/>
      <c r="E8" s="247"/>
      <c r="F8" s="239"/>
      <c r="G8" s="239"/>
      <c r="H8" s="239"/>
      <c r="I8" s="239"/>
      <c r="J8" s="239"/>
      <c r="K8" s="239"/>
      <c r="L8" s="239"/>
      <c r="M8" s="239"/>
      <c r="N8" s="240"/>
    </row>
    <row r="9" spans="1:15" ht="18.95" customHeight="1" x14ac:dyDescent="0.25">
      <c r="B9" s="238"/>
      <c r="C9" s="239"/>
      <c r="D9" s="228" t="str">
        <f>"Cash to Start (" &amp; currency &amp; "):"</f>
        <v>Cash to Start ($):</v>
      </c>
      <c r="E9" s="271">
        <f>IFERROR(Calc!$AD$12,"")</f>
        <v>723.22857142857151</v>
      </c>
      <c r="F9" s="239"/>
      <c r="G9" s="239"/>
      <c r="H9" s="239"/>
      <c r="I9" s="239"/>
      <c r="J9" s="239"/>
      <c r="K9" s="239"/>
      <c r="L9" s="239"/>
      <c r="M9" s="239"/>
      <c r="N9" s="240"/>
    </row>
    <row r="10" spans="1:15" ht="18.95" customHeight="1" x14ac:dyDescent="0.25">
      <c r="B10" s="238"/>
      <c r="C10" s="239"/>
      <c r="D10" s="228" t="s">
        <v>160</v>
      </c>
      <c r="E10" s="186" t="str">
        <f>IFERROR(IF(LEN(Calc!$AD$13)&gt;0,Calc!$AD$13 &amp; " Products",""),"")</f>
        <v>3 Products</v>
      </c>
      <c r="F10" s="239"/>
      <c r="G10" s="239"/>
      <c r="H10" s="239"/>
      <c r="I10" s="239"/>
      <c r="J10" s="239"/>
      <c r="K10" s="239"/>
      <c r="L10" s="239"/>
      <c r="M10" s="239"/>
      <c r="N10" s="240"/>
    </row>
    <row r="11" spans="1:15" ht="9.9499999999999993" customHeight="1" x14ac:dyDescent="0.25">
      <c r="B11" s="238"/>
      <c r="C11" s="239"/>
      <c r="D11" s="244"/>
      <c r="E11" s="239"/>
      <c r="F11" s="239"/>
      <c r="G11" s="239"/>
      <c r="H11" s="239"/>
      <c r="I11" s="239"/>
      <c r="J11" s="239"/>
      <c r="K11" s="239"/>
      <c r="L11" s="239"/>
      <c r="M11" s="239"/>
      <c r="N11" s="240"/>
    </row>
    <row r="12" spans="1:15" ht="18.95" customHeight="1" x14ac:dyDescent="0.25">
      <c r="B12" s="238"/>
      <c r="C12" s="239"/>
      <c r="D12" s="381" t="str">
        <f>IFERROR(IF(LEN(Calc!$AC$16)&gt;0,Calc!$AC$16,""),"")</f>
        <v>Current Markup (%):</v>
      </c>
      <c r="E12" s="355">
        <f>IFERROR(IF(LEN(Calc!$AD$16)&gt;0,Calc!$AD$16,""),"")</f>
        <v>50</v>
      </c>
      <c r="F12" s="239"/>
      <c r="G12" s="239"/>
      <c r="H12" s="239"/>
      <c r="I12" s="239"/>
      <c r="J12" s="239"/>
      <c r="K12" s="239"/>
      <c r="L12" s="239"/>
      <c r="M12" s="239"/>
      <c r="N12" s="240"/>
    </row>
    <row r="13" spans="1:15" ht="18.95" customHeight="1" x14ac:dyDescent="0.25">
      <c r="B13" s="238"/>
      <c r="C13" s="239"/>
      <c r="D13" s="381" t="str">
        <f>IFERROR(IF(LEN(Calc!$AC$17)&gt;0,Calc!$AC$17,""),"")</f>
        <v>Current Discount (%):</v>
      </c>
      <c r="E13" s="343">
        <f>IFERROR(IF(LEN(Calc!$AD$17)&gt;0,Calc!$AD$17,""),"")</f>
        <v>10</v>
      </c>
      <c r="F13" s="239"/>
      <c r="G13" s="239"/>
      <c r="H13" s="239"/>
      <c r="I13" s="239"/>
      <c r="J13" s="239"/>
      <c r="K13" s="239"/>
      <c r="L13" s="239"/>
      <c r="M13" s="239"/>
      <c r="N13" s="240"/>
    </row>
    <row r="14" spans="1:15" ht="9.9499999999999993" customHeight="1" x14ac:dyDescent="0.25">
      <c r="B14" s="238"/>
      <c r="C14" s="239"/>
      <c r="D14" s="244"/>
      <c r="E14" s="239"/>
      <c r="F14" s="239"/>
      <c r="G14" s="239"/>
      <c r="H14" s="239"/>
      <c r="I14" s="239"/>
      <c r="J14" s="239"/>
      <c r="K14" s="239"/>
      <c r="L14" s="239"/>
      <c r="M14" s="239"/>
      <c r="N14" s="240"/>
    </row>
    <row r="15" spans="1:15" ht="18.95" customHeight="1" x14ac:dyDescent="0.25">
      <c r="B15" s="238"/>
      <c r="C15" s="239"/>
      <c r="D15" s="229" t="str">
        <f>IFERROR(IF(LEN(Calc!$AF$16)&gt;0,Calc!$AF$16,""),"")</f>
        <v>New Markup (%):</v>
      </c>
      <c r="E15" s="273"/>
      <c r="F15" s="245"/>
      <c r="G15" s="239"/>
      <c r="H15" s="239"/>
      <c r="I15" s="239"/>
      <c r="J15" s="239"/>
      <c r="K15" s="239"/>
      <c r="L15" s="239"/>
      <c r="M15" s="239"/>
      <c r="N15" s="240"/>
    </row>
    <row r="16" spans="1:15" ht="18.95" customHeight="1" x14ac:dyDescent="0.25">
      <c r="B16" s="238"/>
      <c r="C16" s="239"/>
      <c r="D16" s="229" t="str">
        <f>IFERROR(IF(LEN(Calc!$AF$17)&gt;0,Calc!$AF$17,""),"")</f>
        <v>New Discount (%):</v>
      </c>
      <c r="E16" s="356"/>
      <c r="F16" s="239"/>
      <c r="G16" s="239"/>
      <c r="H16" s="239"/>
      <c r="I16" s="239"/>
      <c r="J16" s="239"/>
      <c r="K16" s="239"/>
      <c r="L16" s="239"/>
      <c r="M16" s="239"/>
      <c r="N16" s="240"/>
    </row>
    <row r="17" spans="2:14" ht="18.95" customHeight="1" x14ac:dyDescent="0.25">
      <c r="B17" s="238"/>
      <c r="C17" s="239"/>
      <c r="D17" s="335"/>
      <c r="E17" s="389"/>
      <c r="F17" s="245"/>
      <c r="G17" s="239"/>
      <c r="H17" s="239"/>
      <c r="I17" s="239"/>
      <c r="J17" s="239"/>
      <c r="K17" s="239"/>
      <c r="L17" s="239"/>
      <c r="M17" s="239"/>
      <c r="N17" s="240"/>
    </row>
    <row r="18" spans="2:14" ht="18.95" customHeight="1" x14ac:dyDescent="0.25">
      <c r="B18" s="238"/>
      <c r="C18" s="239"/>
      <c r="D18" s="344" t="str">
        <f>IFERROR(IF(OR(Calc!$AL$4=Calc!$C$15,Calc!$AL$4=Calc!$C$16),Calc!$AJ$16,Calc!$AJ$17),"")</f>
        <v>New Final Sales Price ($):</v>
      </c>
      <c r="E18" s="272" t="str">
        <f>IFERROR(IF(OR(Calc!$AL$4=Calc!$C$15,Calc!$AL$4=Calc!$C$16),Calc!$AK$16,Calc!$AK$17),"")</f>
        <v/>
      </c>
      <c r="F18" s="239"/>
      <c r="G18" s="239"/>
      <c r="H18" s="239"/>
      <c r="I18" s="239"/>
      <c r="J18" s="239"/>
      <c r="K18" s="239"/>
      <c r="L18" s="239"/>
      <c r="M18" s="239"/>
      <c r="N18" s="240"/>
    </row>
    <row r="19" spans="2:14" ht="15" customHeight="1" x14ac:dyDescent="0.25">
      <c r="B19" s="238"/>
      <c r="C19" s="239"/>
      <c r="D19" s="239"/>
      <c r="E19" s="239"/>
      <c r="F19" s="239"/>
      <c r="G19" s="239"/>
      <c r="H19" s="239"/>
      <c r="I19" s="239"/>
      <c r="J19" s="239"/>
      <c r="K19" s="239"/>
      <c r="L19" s="239"/>
      <c r="M19" s="239"/>
      <c r="N19" s="240"/>
    </row>
    <row r="20" spans="2:14" ht="14.85" customHeight="1" x14ac:dyDescent="0.25">
      <c r="B20" s="238"/>
      <c r="C20" s="239"/>
      <c r="D20" s="239"/>
      <c r="E20" s="239"/>
      <c r="F20" s="239"/>
      <c r="G20" s="239"/>
      <c r="H20" s="239"/>
      <c r="I20" s="239"/>
      <c r="J20" s="239"/>
      <c r="K20" s="239"/>
      <c r="L20" s="239"/>
      <c r="M20" s="239"/>
      <c r="N20" s="240"/>
    </row>
    <row r="21" spans="2:14" ht="14.85" customHeight="1" x14ac:dyDescent="0.25">
      <c r="B21" s="238"/>
      <c r="C21" s="239"/>
      <c r="D21" s="239"/>
      <c r="E21" s="239"/>
      <c r="F21" s="239"/>
      <c r="G21" s="239"/>
      <c r="H21" s="239"/>
      <c r="I21" s="239"/>
      <c r="J21" s="239"/>
      <c r="K21" s="239"/>
      <c r="L21" s="239"/>
      <c r="M21" s="239"/>
      <c r="N21" s="240"/>
    </row>
    <row r="22" spans="2:14" ht="14.85" customHeight="1" x14ac:dyDescent="0.25">
      <c r="B22" s="238"/>
      <c r="C22" s="239"/>
      <c r="D22" s="239"/>
      <c r="E22" s="239"/>
      <c r="F22" s="239"/>
      <c r="G22" s="239"/>
      <c r="H22" s="239"/>
      <c r="I22" s="239"/>
      <c r="J22" s="239"/>
      <c r="K22" s="239"/>
      <c r="L22" s="239"/>
      <c r="M22" s="239"/>
      <c r="N22" s="240"/>
    </row>
    <row r="23" spans="2:14" ht="14.85" customHeight="1" x14ac:dyDescent="0.25">
      <c r="B23" s="238"/>
      <c r="C23" s="239"/>
      <c r="D23" s="239"/>
      <c r="E23" s="239"/>
      <c r="F23" s="239"/>
      <c r="G23" s="239"/>
      <c r="H23" s="239"/>
      <c r="I23" s="239"/>
      <c r="J23" s="239"/>
      <c r="K23" s="239"/>
      <c r="L23" s="239"/>
      <c r="M23" s="239"/>
      <c r="N23" s="240"/>
    </row>
    <row r="24" spans="2:14" ht="14.85" customHeight="1" x14ac:dyDescent="0.25">
      <c r="B24" s="238"/>
      <c r="C24" s="239"/>
      <c r="D24" s="239"/>
      <c r="E24" s="239"/>
      <c r="F24" s="239"/>
      <c r="G24" s="239"/>
      <c r="H24" s="239"/>
      <c r="I24" s="239"/>
      <c r="J24" s="239"/>
      <c r="K24" s="239"/>
      <c r="L24" s="239"/>
      <c r="M24" s="239"/>
      <c r="N24" s="240"/>
    </row>
    <row r="25" spans="2:14" ht="14.85" customHeight="1" x14ac:dyDescent="0.25">
      <c r="B25" s="238"/>
      <c r="C25" s="239"/>
      <c r="D25" s="239"/>
      <c r="E25" s="239"/>
      <c r="F25" s="239"/>
      <c r="G25" s="239"/>
      <c r="H25" s="239"/>
      <c r="I25" s="239"/>
      <c r="J25" s="239"/>
      <c r="K25" s="239"/>
      <c r="L25" s="239"/>
      <c r="M25" s="239"/>
      <c r="N25" s="240"/>
    </row>
    <row r="26" spans="2:14" ht="14.85" customHeight="1" x14ac:dyDescent="0.25">
      <c r="B26" s="238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40"/>
    </row>
    <row r="27" spans="2:14" ht="14.85" customHeight="1" x14ac:dyDescent="0.25">
      <c r="B27" s="238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40"/>
    </row>
    <row r="28" spans="2:14" ht="14.85" customHeight="1" x14ac:dyDescent="0.25">
      <c r="B28" s="238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40"/>
    </row>
    <row r="29" spans="2:14" ht="14.85" customHeight="1" x14ac:dyDescent="0.25">
      <c r="B29" s="238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40"/>
    </row>
    <row r="30" spans="2:14" ht="14.85" customHeight="1" x14ac:dyDescent="0.25">
      <c r="B30" s="238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40"/>
    </row>
    <row r="31" spans="2:14" ht="14.85" customHeight="1" x14ac:dyDescent="0.25">
      <c r="B31" s="238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40"/>
    </row>
    <row r="32" spans="2:14" ht="14.85" customHeight="1" x14ac:dyDescent="0.25">
      <c r="B32" s="238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40"/>
    </row>
    <row r="33" spans="2:14" ht="14.85" customHeight="1" x14ac:dyDescent="0.25">
      <c r="B33" s="238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40"/>
    </row>
    <row r="34" spans="2:14" ht="11.1" customHeight="1" x14ac:dyDescent="0.25">
      <c r="B34" s="238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40"/>
    </row>
    <row r="35" spans="2:14" ht="12" customHeight="1" x14ac:dyDescent="0.25">
      <c r="B35" s="241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3"/>
    </row>
    <row r="36" spans="2:14" ht="7.15" customHeight="1" x14ac:dyDescent="0.25"/>
    <row r="37" spans="2:14" s="164" customFormat="1" ht="22.9" customHeight="1" x14ac:dyDescent="0.25">
      <c r="B37" s="181"/>
      <c r="C37" s="181"/>
      <c r="D37" s="181"/>
      <c r="E37" s="182"/>
      <c r="F37" s="183"/>
      <c r="G37" s="181"/>
      <c r="H37" s="181"/>
      <c r="I37" s="181"/>
      <c r="J37" s="181"/>
      <c r="K37" s="181"/>
      <c r="L37" s="181"/>
      <c r="M37" s="181"/>
      <c r="N37" s="181"/>
    </row>
  </sheetData>
  <sheetProtection algorithmName="SHA-512" hashValue="/1NY+rjVoz117ydmxVKqXkpa8t+kOR6MVU+5rEA9qrbttU44/KFwaeQFXHwJYlkmlvcYWO/MVN5S1/ThyTirVg==" saltValue="0zeQlFHJPNSic+waXzOq5A==" spinCount="100000" sheet="1" objects="1" scenarios="1"/>
  <dataValidations count="1">
    <dataValidation type="decimal" operator="greaterThanOrEqual" allowBlank="1" showInputMessage="1" showErrorMessage="1" errorTitle="Warning!" error="Please enter a number." sqref="E15:E16" xr:uid="{A0102377-85F0-4F93-9B5B-E04730044551}">
      <formula1>0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87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62139C5-5DAA-4EB2-BCAA-771F23BB04B5}">
          <x14:formula1>
            <xm:f>OFFSET(Calc!$J$4,,,Calc!$J$2)</xm:f>
          </x14:formula1>
          <xm:sqref>E7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1BFEC-8078-4329-9691-A47AA2A19C8D}">
  <sheetPr codeName="sheetDb">
    <pageSetUpPr autoPageBreaks="0" fitToPage="1"/>
  </sheetPr>
  <dimension ref="A1:LS41"/>
  <sheetViews>
    <sheetView showGridLines="0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" max="1" width="3.7109375" style="15" customWidth="1"/>
    <col min="2" max="2" width="25.42578125" style="15" customWidth="1"/>
    <col min="3" max="3" width="21.28515625" style="15" customWidth="1"/>
    <col min="4" max="4" width="3.7109375" style="15" customWidth="1"/>
    <col min="5" max="5" width="2.7109375" style="15" customWidth="1"/>
    <col min="6" max="6" width="3.7109375" style="15" customWidth="1"/>
    <col min="7" max="7" width="25.7109375" style="15" customWidth="1"/>
    <col min="8" max="8" width="30.7109375" style="15" customWidth="1"/>
    <col min="9" max="11" width="15.7109375" style="15" customWidth="1"/>
    <col min="12" max="12" width="18.42578125" style="15" customWidth="1"/>
    <col min="13" max="13" width="40.7109375" style="15" customWidth="1"/>
    <col min="14" max="15" width="15.7109375" style="15" customWidth="1"/>
    <col min="16" max="16" width="40.7109375" style="15" customWidth="1"/>
    <col min="17" max="18" width="15.7109375" style="15" customWidth="1"/>
    <col min="19" max="19" width="18.7109375" style="15" customWidth="1"/>
    <col min="20" max="20" width="10.7109375" style="15" customWidth="1"/>
    <col min="21" max="21" width="18.7109375" style="15" customWidth="1"/>
    <col min="22" max="22" width="10.7109375" style="15" customWidth="1"/>
    <col min="23" max="23" width="18.7109375" style="15" customWidth="1"/>
    <col min="24" max="24" width="10.7109375" style="15" customWidth="1"/>
    <col min="25" max="25" width="18.7109375" style="15" customWidth="1"/>
    <col min="26" max="26" width="10.7109375" style="15" customWidth="1"/>
    <col min="27" max="27" width="18.7109375" style="15" customWidth="1"/>
    <col min="28" max="28" width="10.7109375" style="15" customWidth="1"/>
    <col min="29" max="29" width="18.7109375" style="15" customWidth="1"/>
    <col min="30" max="30" width="10.7109375" style="15" customWidth="1"/>
    <col min="31" max="31" width="18.7109375" style="15" customWidth="1"/>
    <col min="32" max="32" width="10.7109375" style="15" customWidth="1"/>
    <col min="33" max="33" width="18.7109375" style="15" customWidth="1"/>
    <col min="34" max="34" width="10.7109375" style="15" customWidth="1"/>
    <col min="35" max="35" width="18.7109375" style="15" customWidth="1"/>
    <col min="36" max="36" width="10.7109375" style="15" customWidth="1"/>
    <col min="37" max="37" width="18.7109375" style="15" customWidth="1"/>
    <col min="38" max="38" width="10.7109375" style="15" customWidth="1"/>
    <col min="39" max="39" width="18.7109375" style="15" customWidth="1"/>
    <col min="40" max="40" width="10.7109375" style="15" customWidth="1"/>
    <col min="41" max="41" width="18.7109375" style="15" customWidth="1"/>
    <col min="42" max="42" width="10.7109375" style="15" customWidth="1"/>
    <col min="43" max="43" width="18.7109375" style="15" customWidth="1"/>
    <col min="44" max="44" width="10.7109375" style="15" customWidth="1"/>
    <col min="45" max="45" width="18.7109375" style="15" customWidth="1"/>
    <col min="46" max="46" width="10.7109375" style="15" customWidth="1"/>
    <col min="47" max="47" width="18.7109375" style="15" customWidth="1"/>
    <col min="48" max="48" width="10.7109375" style="15" customWidth="1"/>
    <col min="49" max="49" width="18.7109375" style="15" customWidth="1"/>
    <col min="50" max="50" width="10.7109375" style="15" customWidth="1"/>
    <col min="51" max="51" width="18.7109375" style="15" customWidth="1"/>
    <col min="52" max="52" width="10.7109375" style="15" customWidth="1"/>
    <col min="53" max="53" width="18.7109375" style="15" customWidth="1"/>
    <col min="54" max="54" width="10.7109375" style="15" customWidth="1"/>
    <col min="55" max="55" width="18.7109375" style="15" customWidth="1"/>
    <col min="56" max="56" width="10.7109375" style="15" customWidth="1"/>
    <col min="57" max="57" width="18.7109375" style="15" customWidth="1"/>
    <col min="58" max="58" width="10.7109375" style="15" customWidth="1"/>
    <col min="59" max="59" width="18.7109375" style="15" customWidth="1"/>
    <col min="60" max="60" width="10.7109375" style="15" customWidth="1"/>
    <col min="61" max="61" width="18.7109375" style="15" customWidth="1"/>
    <col min="62" max="62" width="10.7109375" style="15" customWidth="1"/>
    <col min="63" max="63" width="18.7109375" style="15" customWidth="1"/>
    <col min="64" max="64" width="10.7109375" style="15" customWidth="1"/>
    <col min="65" max="65" width="18.7109375" style="15" customWidth="1"/>
    <col min="66" max="66" width="10.7109375" style="15" customWidth="1"/>
    <col min="67" max="67" width="18.7109375" style="15" customWidth="1"/>
    <col min="68" max="68" width="10.7109375" style="15" customWidth="1"/>
    <col min="69" max="69" width="18.7109375" style="15" customWidth="1"/>
    <col min="70" max="70" width="10.7109375" style="15" customWidth="1"/>
    <col min="71" max="71" width="18.7109375" style="15" customWidth="1"/>
    <col min="72" max="72" width="10.7109375" style="15" customWidth="1"/>
    <col min="73" max="73" width="18.7109375" style="15" customWidth="1"/>
    <col min="74" max="74" width="10.7109375" style="15" customWidth="1"/>
    <col min="75" max="75" width="18.7109375" style="15" customWidth="1"/>
    <col min="76" max="76" width="10.7109375" style="15" customWidth="1"/>
    <col min="77" max="77" width="18.7109375" style="15" customWidth="1"/>
    <col min="78" max="78" width="10.7109375" style="15" customWidth="1"/>
    <col min="79" max="79" width="18.7109375" style="15" customWidth="1"/>
    <col min="80" max="80" width="10.7109375" style="15" customWidth="1"/>
    <col min="81" max="81" width="18.7109375" style="15" customWidth="1"/>
    <col min="82" max="82" width="10.7109375" style="15" customWidth="1"/>
    <col min="83" max="83" width="18.7109375" style="15" customWidth="1"/>
    <col min="84" max="84" width="10.7109375" style="15" customWidth="1"/>
    <col min="85" max="85" width="18.7109375" style="15" customWidth="1"/>
    <col min="86" max="86" width="10.7109375" style="15" customWidth="1"/>
    <col min="87" max="87" width="18.7109375" style="15" customWidth="1"/>
    <col min="88" max="88" width="10.7109375" style="15" customWidth="1"/>
    <col min="89" max="89" width="18.7109375" style="15" customWidth="1"/>
    <col min="90" max="90" width="10.7109375" style="15" customWidth="1"/>
    <col min="91" max="91" width="18.7109375" style="15" customWidth="1"/>
    <col min="92" max="92" width="10.7109375" style="15" customWidth="1"/>
    <col min="93" max="93" width="18.7109375" style="15" customWidth="1"/>
    <col min="94" max="94" width="10.7109375" style="15" customWidth="1"/>
    <col min="95" max="95" width="18.7109375" style="15" customWidth="1"/>
    <col min="96" max="96" width="10.7109375" style="15" customWidth="1"/>
    <col min="97" max="97" width="18.7109375" style="15" customWidth="1"/>
    <col min="98" max="98" width="10.7109375" style="15" customWidth="1"/>
    <col min="99" max="138" width="25.7109375" style="15" customWidth="1"/>
    <col min="139" max="139" width="10.7109375" style="15" customWidth="1"/>
    <col min="140" max="142" width="25.7109375" style="15" customWidth="1"/>
    <col min="143" max="143" width="10.7109375" style="15" customWidth="1"/>
    <col min="144" max="146" width="25.7109375" style="15" customWidth="1"/>
    <col min="147" max="147" width="10.7109375" style="15" customWidth="1"/>
    <col min="148" max="150" width="25.7109375" style="15" customWidth="1"/>
    <col min="151" max="151" width="10.7109375" style="15" customWidth="1"/>
    <col min="152" max="190" width="25.7109375" style="15" customWidth="1"/>
    <col min="191" max="191" width="10.7109375" style="15" customWidth="1"/>
    <col min="192" max="274" width="25.7109375" style="15" customWidth="1"/>
    <col min="275" max="277" width="10.7109375" style="15" customWidth="1"/>
    <col min="278" max="278" width="25.7109375" style="15" customWidth="1"/>
    <col min="279" max="281" width="10.7109375" style="15" customWidth="1"/>
    <col min="282" max="282" width="25.7109375" style="15" customWidth="1"/>
    <col min="283" max="285" width="10.7109375" style="15" customWidth="1"/>
    <col min="286" max="286" width="25.7109375" style="15" customWidth="1"/>
    <col min="287" max="289" width="10.7109375" style="15" customWidth="1"/>
    <col min="290" max="290" width="25.7109375" style="15" customWidth="1"/>
    <col min="291" max="293" width="10.7109375" style="15" customWidth="1"/>
    <col min="294" max="294" width="25.7109375" style="15" customWidth="1"/>
    <col min="295" max="297" width="10.7109375" style="15" customWidth="1"/>
    <col min="298" max="298" width="25.7109375" style="15" customWidth="1"/>
    <col min="299" max="301" width="10.7109375" style="15" customWidth="1"/>
    <col min="302" max="302" width="25.7109375" style="15" customWidth="1"/>
    <col min="303" max="305" width="10.7109375" style="15" customWidth="1"/>
    <col min="306" max="306" width="25.7109375" style="15" customWidth="1"/>
    <col min="307" max="309" width="10.7109375" style="15" customWidth="1"/>
    <col min="310" max="310" width="25.7109375" style="15" customWidth="1"/>
    <col min="311" max="314" width="10.7109375" style="15" customWidth="1"/>
    <col min="315" max="315" width="15.42578125" style="15" customWidth="1"/>
    <col min="316" max="316" width="17.85546875" style="15" customWidth="1"/>
    <col min="317" max="317" width="14" style="15" customWidth="1"/>
    <col min="318" max="325" width="16" style="15" customWidth="1"/>
    <col min="326" max="326" width="2.7109375" style="15" customWidth="1"/>
    <col min="327" max="327" width="1.7109375" style="15" customWidth="1"/>
    <col min="328" max="16384" width="8.85546875" style="15"/>
  </cols>
  <sheetData>
    <row r="1" spans="1:331" s="1" customFormat="1" ht="6.75" customHeight="1" x14ac:dyDescent="0.25">
      <c r="E1" s="2"/>
      <c r="F1" s="2"/>
      <c r="G1" s="2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</row>
    <row r="2" spans="1:331" s="4" customFormat="1" ht="20.100000000000001" customHeight="1" x14ac:dyDescent="0.25">
      <c r="E2" s="5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8"/>
    </row>
    <row r="3" spans="1:331" s="9" customFormat="1" ht="24" customHeight="1" x14ac:dyDescent="0.25">
      <c r="E3" s="10"/>
      <c r="F3" s="10"/>
      <c r="G3" s="10" t="s">
        <v>222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3"/>
    </row>
    <row r="4" spans="1:331" ht="4.9000000000000004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  <c r="IV4" s="14"/>
      <c r="IW4" s="14"/>
      <c r="IX4" s="14"/>
      <c r="IY4" s="14"/>
      <c r="IZ4" s="14"/>
      <c r="JA4" s="14"/>
      <c r="JB4" s="14"/>
      <c r="JC4" s="14"/>
      <c r="JD4" s="14"/>
      <c r="JE4" s="14"/>
      <c r="JF4" s="14"/>
      <c r="JG4" s="14"/>
      <c r="JH4" s="14"/>
      <c r="JI4" s="14"/>
      <c r="JJ4" s="14"/>
      <c r="JK4" s="14"/>
      <c r="JL4" s="14"/>
      <c r="JM4" s="14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</row>
    <row r="5" spans="1:331" ht="4.9000000000000004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14"/>
      <c r="IR5" s="14"/>
      <c r="IS5" s="14"/>
      <c r="IT5" s="14"/>
      <c r="IU5" s="14"/>
      <c r="IV5" s="14"/>
      <c r="IW5" s="14"/>
      <c r="IX5" s="14"/>
      <c r="IY5" s="14"/>
      <c r="IZ5" s="14"/>
      <c r="JA5" s="14"/>
      <c r="JB5" s="14"/>
      <c r="JC5" s="14"/>
      <c r="JD5" s="14"/>
      <c r="JE5" s="14"/>
      <c r="JF5" s="14"/>
      <c r="JG5" s="14"/>
      <c r="JH5" s="14"/>
      <c r="JI5" s="14"/>
      <c r="JJ5" s="14"/>
      <c r="JK5" s="14"/>
      <c r="JL5" s="14"/>
      <c r="JM5" s="14"/>
      <c r="JN5" s="14"/>
      <c r="JO5" s="14"/>
      <c r="JP5" s="14"/>
      <c r="JQ5" s="14"/>
      <c r="JR5" s="14"/>
      <c r="JS5" s="14"/>
      <c r="JT5" s="14"/>
      <c r="JU5" s="14"/>
      <c r="JV5" s="14"/>
      <c r="JW5" s="14"/>
      <c r="JX5" s="14"/>
      <c r="JY5" s="14"/>
      <c r="JZ5" s="14"/>
      <c r="KA5" s="14"/>
      <c r="KB5" s="14"/>
      <c r="KC5" s="14"/>
      <c r="KD5" s="14"/>
      <c r="KE5" s="14"/>
      <c r="KF5" s="14"/>
      <c r="KG5" s="14"/>
      <c r="KH5" s="14"/>
      <c r="KI5" s="14"/>
      <c r="KJ5" s="14"/>
      <c r="KK5" s="14"/>
      <c r="KL5" s="14"/>
      <c r="KM5" s="14"/>
      <c r="KN5" s="14"/>
      <c r="KO5" s="14"/>
      <c r="KP5" s="14"/>
      <c r="KQ5" s="14"/>
      <c r="KR5" s="14"/>
      <c r="KS5" s="14"/>
      <c r="KT5" s="14"/>
      <c r="KU5" s="14"/>
      <c r="KV5" s="14"/>
      <c r="KW5" s="14"/>
      <c r="KX5" s="14"/>
      <c r="KY5" s="14"/>
      <c r="KZ5" s="14"/>
      <c r="LA5" s="14"/>
      <c r="LB5" s="14"/>
      <c r="LC5" s="14"/>
      <c r="LD5" s="14"/>
      <c r="LE5" s="14"/>
      <c r="LF5" s="14"/>
      <c r="LG5" s="14"/>
      <c r="LH5" s="14"/>
      <c r="LI5" s="14"/>
      <c r="LJ5" s="14"/>
      <c r="LK5" s="14"/>
      <c r="LL5" s="14"/>
      <c r="LM5" s="14"/>
      <c r="LN5" s="14"/>
      <c r="LO5" s="14"/>
    </row>
    <row r="6" spans="1:331" ht="19.5" customHeight="1" x14ac:dyDescent="0.25">
      <c r="A6" s="14"/>
      <c r="B6" s="72" t="s">
        <v>221</v>
      </c>
      <c r="C6" s="73" cm="1">
        <f t="array" ref="C6">MIN(IF($H$10:$H$20="",ROW($G$10:$G$20)))</f>
        <v>13</v>
      </c>
      <c r="D6" s="14"/>
      <c r="E6" s="16"/>
      <c r="F6" s="17"/>
      <c r="G6" s="64" t="s">
        <v>70</v>
      </c>
      <c r="H6" s="64" t="s">
        <v>29</v>
      </c>
      <c r="I6" s="64" t="s">
        <v>71</v>
      </c>
      <c r="J6" s="64" t="s">
        <v>34</v>
      </c>
      <c r="K6" s="64" t="s">
        <v>57</v>
      </c>
      <c r="L6" s="47" t="s">
        <v>67</v>
      </c>
      <c r="M6" s="65" t="s">
        <v>294</v>
      </c>
      <c r="N6" s="65" t="s">
        <v>68</v>
      </c>
      <c r="O6" s="65" t="s">
        <v>69</v>
      </c>
      <c r="P6" s="65" t="s">
        <v>294</v>
      </c>
      <c r="Q6" s="65" t="s">
        <v>68</v>
      </c>
      <c r="R6" s="65" t="s">
        <v>69</v>
      </c>
      <c r="S6" s="30" t="s">
        <v>36</v>
      </c>
      <c r="T6" s="70" t="s">
        <v>181</v>
      </c>
      <c r="U6" s="70" t="s">
        <v>37</v>
      </c>
      <c r="V6" s="70" t="s">
        <v>182</v>
      </c>
      <c r="W6" s="70" t="s">
        <v>38</v>
      </c>
      <c r="X6" s="70" t="s">
        <v>183</v>
      </c>
      <c r="Y6" s="70" t="s">
        <v>39</v>
      </c>
      <c r="Z6" s="70" t="s">
        <v>184</v>
      </c>
      <c r="AA6" s="70" t="s">
        <v>40</v>
      </c>
      <c r="AB6" s="70" t="s">
        <v>185</v>
      </c>
      <c r="AC6" s="70" t="s">
        <v>41</v>
      </c>
      <c r="AD6" s="70" t="s">
        <v>186</v>
      </c>
      <c r="AE6" s="70" t="s">
        <v>42</v>
      </c>
      <c r="AF6" s="70" t="s">
        <v>187</v>
      </c>
      <c r="AG6" s="70" t="s">
        <v>43</v>
      </c>
      <c r="AH6" s="70" t="s">
        <v>188</v>
      </c>
      <c r="AI6" s="70" t="s">
        <v>44</v>
      </c>
      <c r="AJ6" s="70" t="s">
        <v>189</v>
      </c>
      <c r="AK6" s="70" t="s">
        <v>45</v>
      </c>
      <c r="AL6" s="70" t="s">
        <v>190</v>
      </c>
      <c r="AM6" s="70" t="s">
        <v>75</v>
      </c>
      <c r="AN6" s="70" t="s">
        <v>191</v>
      </c>
      <c r="AO6" s="70" t="s">
        <v>76</v>
      </c>
      <c r="AP6" s="70" t="s">
        <v>192</v>
      </c>
      <c r="AQ6" s="70" t="s">
        <v>77</v>
      </c>
      <c r="AR6" s="70" t="s">
        <v>193</v>
      </c>
      <c r="AS6" s="70" t="s">
        <v>78</v>
      </c>
      <c r="AT6" s="70" t="s">
        <v>194</v>
      </c>
      <c r="AU6" s="70" t="s">
        <v>79</v>
      </c>
      <c r="AV6" s="70" t="s">
        <v>195</v>
      </c>
      <c r="AW6" s="70" t="s">
        <v>80</v>
      </c>
      <c r="AX6" s="70" t="s">
        <v>196</v>
      </c>
      <c r="AY6" s="70" t="s">
        <v>81</v>
      </c>
      <c r="AZ6" s="70" t="s">
        <v>197</v>
      </c>
      <c r="BA6" s="70" t="s">
        <v>82</v>
      </c>
      <c r="BB6" s="70" t="s">
        <v>198</v>
      </c>
      <c r="BC6" s="70" t="s">
        <v>83</v>
      </c>
      <c r="BD6" s="70" t="s">
        <v>199</v>
      </c>
      <c r="BE6" s="70" t="s">
        <v>84</v>
      </c>
      <c r="BF6" s="70" t="s">
        <v>200</v>
      </c>
      <c r="BG6" s="70" t="s">
        <v>85</v>
      </c>
      <c r="BH6" s="70" t="s">
        <v>201</v>
      </c>
      <c r="BI6" s="70" t="s">
        <v>86</v>
      </c>
      <c r="BJ6" s="70" t="s">
        <v>202</v>
      </c>
      <c r="BK6" s="70" t="s">
        <v>87</v>
      </c>
      <c r="BL6" s="70" t="s">
        <v>203</v>
      </c>
      <c r="BM6" s="70" t="s">
        <v>88</v>
      </c>
      <c r="BN6" s="70" t="s">
        <v>204</v>
      </c>
      <c r="BO6" s="70" t="s">
        <v>89</v>
      </c>
      <c r="BP6" s="70" t="s">
        <v>205</v>
      </c>
      <c r="BQ6" s="70" t="s">
        <v>90</v>
      </c>
      <c r="BR6" s="70" t="s">
        <v>206</v>
      </c>
      <c r="BS6" s="70" t="s">
        <v>91</v>
      </c>
      <c r="BT6" s="70" t="s">
        <v>207</v>
      </c>
      <c r="BU6" s="70" t="s">
        <v>92</v>
      </c>
      <c r="BV6" s="70" t="s">
        <v>208</v>
      </c>
      <c r="BW6" s="70" t="s">
        <v>93</v>
      </c>
      <c r="BX6" s="70" t="s">
        <v>209</v>
      </c>
      <c r="BY6" s="70" t="s">
        <v>94</v>
      </c>
      <c r="BZ6" s="70" t="s">
        <v>210</v>
      </c>
      <c r="CA6" s="70" t="s">
        <v>95</v>
      </c>
      <c r="CB6" s="70" t="s">
        <v>211</v>
      </c>
      <c r="CC6" s="70" t="s">
        <v>96</v>
      </c>
      <c r="CD6" s="70" t="s">
        <v>212</v>
      </c>
      <c r="CE6" s="70" t="s">
        <v>97</v>
      </c>
      <c r="CF6" s="70" t="s">
        <v>213</v>
      </c>
      <c r="CG6" s="70" t="s">
        <v>98</v>
      </c>
      <c r="CH6" s="70" t="s">
        <v>214</v>
      </c>
      <c r="CI6" s="70" t="s">
        <v>99</v>
      </c>
      <c r="CJ6" s="70" t="s">
        <v>215</v>
      </c>
      <c r="CK6" s="70" t="s">
        <v>100</v>
      </c>
      <c r="CL6" s="70" t="s">
        <v>216</v>
      </c>
      <c r="CM6" s="70" t="s">
        <v>101</v>
      </c>
      <c r="CN6" s="70" t="s">
        <v>217</v>
      </c>
      <c r="CO6" s="70" t="s">
        <v>102</v>
      </c>
      <c r="CP6" s="70" t="s">
        <v>218</v>
      </c>
      <c r="CQ6" s="70" t="s">
        <v>103</v>
      </c>
      <c r="CR6" s="70" t="s">
        <v>219</v>
      </c>
      <c r="CS6" s="70" t="s">
        <v>104</v>
      </c>
      <c r="CT6" s="70" t="s">
        <v>220</v>
      </c>
      <c r="CU6" s="71" t="s">
        <v>165</v>
      </c>
      <c r="CV6" s="71" t="s">
        <v>166</v>
      </c>
      <c r="CW6" s="71" t="s">
        <v>167</v>
      </c>
      <c r="CX6" s="71" t="s">
        <v>177</v>
      </c>
      <c r="CY6" s="71" t="s">
        <v>178</v>
      </c>
      <c r="CZ6" s="71" t="s">
        <v>179</v>
      </c>
      <c r="DA6" s="71" t="s">
        <v>174</v>
      </c>
      <c r="DB6" s="71" t="s">
        <v>175</v>
      </c>
      <c r="DC6" s="71" t="s">
        <v>176</v>
      </c>
      <c r="DD6" s="71" t="s">
        <v>172</v>
      </c>
      <c r="DE6" s="71" t="s">
        <v>173</v>
      </c>
      <c r="DF6" s="71" t="s">
        <v>168</v>
      </c>
      <c r="DG6" s="71" t="s">
        <v>169</v>
      </c>
      <c r="DH6" s="71" t="s">
        <v>170</v>
      </c>
      <c r="DI6" s="71" t="s">
        <v>171</v>
      </c>
      <c r="DJ6" s="32" t="s">
        <v>46</v>
      </c>
      <c r="DK6" s="32" t="s">
        <v>2</v>
      </c>
      <c r="DL6" s="32" t="s">
        <v>3</v>
      </c>
      <c r="DM6" s="32" t="s">
        <v>180</v>
      </c>
      <c r="DN6" s="32" t="s">
        <v>47</v>
      </c>
      <c r="DO6" s="32" t="s">
        <v>2</v>
      </c>
      <c r="DP6" s="32" t="s">
        <v>3</v>
      </c>
      <c r="DQ6" s="32" t="s">
        <v>180</v>
      </c>
      <c r="DR6" s="71" t="s">
        <v>48</v>
      </c>
      <c r="DS6" s="32" t="s">
        <v>2</v>
      </c>
      <c r="DT6" s="32" t="s">
        <v>3</v>
      </c>
      <c r="DU6" s="32" t="s">
        <v>180</v>
      </c>
      <c r="DV6" s="71" t="s">
        <v>49</v>
      </c>
      <c r="DW6" s="32" t="s">
        <v>2</v>
      </c>
      <c r="DX6" s="32" t="s">
        <v>3</v>
      </c>
      <c r="DY6" s="32" t="s">
        <v>180</v>
      </c>
      <c r="DZ6" s="71" t="s">
        <v>50</v>
      </c>
      <c r="EA6" s="32" t="s">
        <v>2</v>
      </c>
      <c r="EB6" s="32" t="s">
        <v>3</v>
      </c>
      <c r="EC6" s="32" t="s">
        <v>180</v>
      </c>
      <c r="ED6" s="71" t="s">
        <v>51</v>
      </c>
      <c r="EE6" s="32" t="s">
        <v>2</v>
      </c>
      <c r="EF6" s="32" t="s">
        <v>3</v>
      </c>
      <c r="EG6" s="32" t="s">
        <v>180</v>
      </c>
      <c r="EH6" s="71" t="s">
        <v>52</v>
      </c>
      <c r="EI6" s="32" t="s">
        <v>2</v>
      </c>
      <c r="EJ6" s="32" t="s">
        <v>3</v>
      </c>
      <c r="EK6" s="32" t="s">
        <v>180</v>
      </c>
      <c r="EL6" s="71" t="s">
        <v>53</v>
      </c>
      <c r="EM6" s="32" t="s">
        <v>2</v>
      </c>
      <c r="EN6" s="32" t="s">
        <v>3</v>
      </c>
      <c r="EO6" s="32" t="s">
        <v>180</v>
      </c>
      <c r="EP6" s="71" t="s">
        <v>54</v>
      </c>
      <c r="EQ6" s="32" t="s">
        <v>2</v>
      </c>
      <c r="ER6" s="32" t="s">
        <v>3</v>
      </c>
      <c r="ES6" s="32" t="s">
        <v>180</v>
      </c>
      <c r="ET6" s="71" t="s">
        <v>55</v>
      </c>
      <c r="EU6" s="32" t="s">
        <v>2</v>
      </c>
      <c r="EV6" s="32" t="s">
        <v>3</v>
      </c>
      <c r="EW6" s="32" t="s">
        <v>180</v>
      </c>
      <c r="EX6" s="71" t="s">
        <v>111</v>
      </c>
      <c r="EY6" s="32" t="s">
        <v>2</v>
      </c>
      <c r="EZ6" s="32" t="s">
        <v>3</v>
      </c>
      <c r="FA6" s="32" t="s">
        <v>180</v>
      </c>
      <c r="FB6" s="71" t="s">
        <v>112</v>
      </c>
      <c r="FC6" s="32" t="s">
        <v>2</v>
      </c>
      <c r="FD6" s="32" t="s">
        <v>3</v>
      </c>
      <c r="FE6" s="32" t="s">
        <v>180</v>
      </c>
      <c r="FF6" s="71" t="s">
        <v>113</v>
      </c>
      <c r="FG6" s="32" t="s">
        <v>2</v>
      </c>
      <c r="FH6" s="32" t="s">
        <v>3</v>
      </c>
      <c r="FI6" s="32" t="s">
        <v>180</v>
      </c>
      <c r="FJ6" s="71" t="s">
        <v>114</v>
      </c>
      <c r="FK6" s="32" t="s">
        <v>2</v>
      </c>
      <c r="FL6" s="32" t="s">
        <v>3</v>
      </c>
      <c r="FM6" s="32" t="s">
        <v>180</v>
      </c>
      <c r="FN6" s="71" t="s">
        <v>110</v>
      </c>
      <c r="FO6" s="32" t="s">
        <v>2</v>
      </c>
      <c r="FP6" s="32" t="s">
        <v>3</v>
      </c>
      <c r="FQ6" s="32" t="s">
        <v>180</v>
      </c>
      <c r="FR6" s="71" t="s">
        <v>109</v>
      </c>
      <c r="FS6" s="32" t="s">
        <v>2</v>
      </c>
      <c r="FT6" s="32" t="s">
        <v>3</v>
      </c>
      <c r="FU6" s="32" t="s">
        <v>180</v>
      </c>
      <c r="FV6" s="71" t="s">
        <v>108</v>
      </c>
      <c r="FW6" s="32" t="s">
        <v>2</v>
      </c>
      <c r="FX6" s="32" t="s">
        <v>3</v>
      </c>
      <c r="FY6" s="32" t="s">
        <v>180</v>
      </c>
      <c r="FZ6" s="71" t="s">
        <v>107</v>
      </c>
      <c r="GA6" s="32" t="s">
        <v>2</v>
      </c>
      <c r="GB6" s="32" t="s">
        <v>3</v>
      </c>
      <c r="GC6" s="32" t="s">
        <v>180</v>
      </c>
      <c r="GD6" s="71" t="s">
        <v>106</v>
      </c>
      <c r="GE6" s="32" t="s">
        <v>2</v>
      </c>
      <c r="GF6" s="32" t="s">
        <v>3</v>
      </c>
      <c r="GG6" s="32" t="s">
        <v>180</v>
      </c>
      <c r="GH6" s="71" t="s">
        <v>105</v>
      </c>
      <c r="GI6" s="32" t="s">
        <v>2</v>
      </c>
      <c r="GJ6" s="32" t="s">
        <v>3</v>
      </c>
      <c r="GK6" s="32" t="s">
        <v>180</v>
      </c>
      <c r="GL6" s="71" t="s">
        <v>56</v>
      </c>
      <c r="GM6" s="71" t="s">
        <v>2</v>
      </c>
      <c r="GN6" s="71" t="s">
        <v>3</v>
      </c>
      <c r="GO6" s="71" t="s">
        <v>180</v>
      </c>
      <c r="GP6" s="32" t="s">
        <v>115</v>
      </c>
      <c r="GQ6" s="32" t="s">
        <v>2</v>
      </c>
      <c r="GR6" s="71" t="s">
        <v>3</v>
      </c>
      <c r="GS6" s="71" t="s">
        <v>180</v>
      </c>
      <c r="GT6" s="32" t="s">
        <v>116</v>
      </c>
      <c r="GU6" s="32" t="s">
        <v>2</v>
      </c>
      <c r="GV6" s="71" t="s">
        <v>3</v>
      </c>
      <c r="GW6" s="71" t="s">
        <v>180</v>
      </c>
      <c r="GX6" s="32" t="s">
        <v>117</v>
      </c>
      <c r="GY6" s="32" t="s">
        <v>2</v>
      </c>
      <c r="GZ6" s="71" t="s">
        <v>3</v>
      </c>
      <c r="HA6" s="71" t="s">
        <v>180</v>
      </c>
      <c r="HB6" s="32" t="s">
        <v>118</v>
      </c>
      <c r="HC6" s="32" t="s">
        <v>2</v>
      </c>
      <c r="HD6" s="71" t="s">
        <v>3</v>
      </c>
      <c r="HE6" s="71" t="s">
        <v>180</v>
      </c>
      <c r="HF6" s="32" t="s">
        <v>119</v>
      </c>
      <c r="HG6" s="32" t="s">
        <v>2</v>
      </c>
      <c r="HH6" s="71" t="s">
        <v>3</v>
      </c>
      <c r="HI6" s="71" t="s">
        <v>180</v>
      </c>
      <c r="HJ6" s="32" t="s">
        <v>120</v>
      </c>
      <c r="HK6" s="32" t="s">
        <v>2</v>
      </c>
      <c r="HL6" s="71" t="s">
        <v>3</v>
      </c>
      <c r="HM6" s="71" t="s">
        <v>180</v>
      </c>
      <c r="HN6" s="32" t="s">
        <v>121</v>
      </c>
      <c r="HO6" s="32" t="s">
        <v>2</v>
      </c>
      <c r="HP6" s="71" t="s">
        <v>3</v>
      </c>
      <c r="HQ6" s="71" t="s">
        <v>180</v>
      </c>
      <c r="HR6" s="32" t="s">
        <v>122</v>
      </c>
      <c r="HS6" s="32" t="s">
        <v>2</v>
      </c>
      <c r="HT6" s="71" t="s">
        <v>3</v>
      </c>
      <c r="HU6" s="71" t="s">
        <v>180</v>
      </c>
      <c r="HV6" s="32" t="s">
        <v>123</v>
      </c>
      <c r="HW6" s="32" t="s">
        <v>2</v>
      </c>
      <c r="HX6" s="71" t="s">
        <v>3</v>
      </c>
      <c r="HY6" s="71" t="s">
        <v>180</v>
      </c>
      <c r="HZ6" s="32" t="s">
        <v>124</v>
      </c>
      <c r="IA6" s="32" t="s">
        <v>2</v>
      </c>
      <c r="IB6" s="71" t="s">
        <v>3</v>
      </c>
      <c r="IC6" s="71" t="s">
        <v>180</v>
      </c>
      <c r="ID6" s="32" t="s">
        <v>125</v>
      </c>
      <c r="IE6" s="32" t="s">
        <v>2</v>
      </c>
      <c r="IF6" s="71" t="s">
        <v>3</v>
      </c>
      <c r="IG6" s="71" t="s">
        <v>180</v>
      </c>
      <c r="IH6" s="32" t="s">
        <v>126</v>
      </c>
      <c r="II6" s="32" t="s">
        <v>2</v>
      </c>
      <c r="IJ6" s="71" t="s">
        <v>3</v>
      </c>
      <c r="IK6" s="71" t="s">
        <v>180</v>
      </c>
      <c r="IL6" s="32" t="s">
        <v>127</v>
      </c>
      <c r="IM6" s="32" t="s">
        <v>2</v>
      </c>
      <c r="IN6" s="71" t="s">
        <v>3</v>
      </c>
      <c r="IO6" s="71" t="s">
        <v>180</v>
      </c>
      <c r="IP6" s="32" t="s">
        <v>128</v>
      </c>
      <c r="IQ6" s="32" t="s">
        <v>2</v>
      </c>
      <c r="IR6" s="71" t="s">
        <v>3</v>
      </c>
      <c r="IS6" s="71" t="s">
        <v>180</v>
      </c>
      <c r="IT6" s="32" t="s">
        <v>129</v>
      </c>
      <c r="IU6" s="32" t="s">
        <v>2</v>
      </c>
      <c r="IV6" s="71" t="s">
        <v>3</v>
      </c>
      <c r="IW6" s="71" t="s">
        <v>180</v>
      </c>
      <c r="IX6" s="32" t="s">
        <v>130</v>
      </c>
      <c r="IY6" s="32" t="s">
        <v>2</v>
      </c>
      <c r="IZ6" s="71" t="s">
        <v>3</v>
      </c>
      <c r="JA6" s="71" t="s">
        <v>180</v>
      </c>
      <c r="JB6" s="32" t="s">
        <v>131</v>
      </c>
      <c r="JC6" s="32" t="s">
        <v>2</v>
      </c>
      <c r="JD6" s="71" t="s">
        <v>3</v>
      </c>
      <c r="JE6" s="71" t="s">
        <v>180</v>
      </c>
      <c r="JF6" s="32" t="s">
        <v>132</v>
      </c>
      <c r="JG6" s="32" t="s">
        <v>2</v>
      </c>
      <c r="JH6" s="71" t="s">
        <v>3</v>
      </c>
      <c r="JI6" s="71" t="s">
        <v>180</v>
      </c>
      <c r="JJ6" s="32" t="s">
        <v>133</v>
      </c>
      <c r="JK6" s="32" t="s">
        <v>2</v>
      </c>
      <c r="JL6" s="71" t="s">
        <v>3</v>
      </c>
      <c r="JM6" s="71" t="s">
        <v>180</v>
      </c>
      <c r="JN6" s="32" t="s">
        <v>134</v>
      </c>
      <c r="JO6" s="32" t="s">
        <v>2</v>
      </c>
      <c r="JP6" s="71" t="s">
        <v>3</v>
      </c>
      <c r="JQ6" s="71" t="s">
        <v>180</v>
      </c>
      <c r="JR6" s="32" t="s">
        <v>135</v>
      </c>
      <c r="JS6" s="32" t="s">
        <v>2</v>
      </c>
      <c r="JT6" s="71" t="s">
        <v>3</v>
      </c>
      <c r="JU6" s="71" t="s">
        <v>180</v>
      </c>
      <c r="JV6" s="32" t="s">
        <v>136</v>
      </c>
      <c r="JW6" s="32" t="s">
        <v>2</v>
      </c>
      <c r="JX6" s="71" t="s">
        <v>3</v>
      </c>
      <c r="JY6" s="71" t="s">
        <v>180</v>
      </c>
      <c r="JZ6" s="32" t="s">
        <v>137</v>
      </c>
      <c r="KA6" s="32" t="s">
        <v>2</v>
      </c>
      <c r="KB6" s="71" t="s">
        <v>3</v>
      </c>
      <c r="KC6" s="71" t="s">
        <v>180</v>
      </c>
      <c r="KD6" s="32" t="s">
        <v>138</v>
      </c>
      <c r="KE6" s="32" t="s">
        <v>2</v>
      </c>
      <c r="KF6" s="71" t="s">
        <v>3</v>
      </c>
      <c r="KG6" s="71" t="s">
        <v>180</v>
      </c>
      <c r="KH6" s="32" t="s">
        <v>139</v>
      </c>
      <c r="KI6" s="32" t="s">
        <v>2</v>
      </c>
      <c r="KJ6" s="71" t="s">
        <v>3</v>
      </c>
      <c r="KK6" s="71" t="s">
        <v>180</v>
      </c>
      <c r="KL6" s="32" t="s">
        <v>140</v>
      </c>
      <c r="KM6" s="32" t="s">
        <v>2</v>
      </c>
      <c r="KN6" s="71" t="s">
        <v>3</v>
      </c>
      <c r="KO6" s="71" t="s">
        <v>180</v>
      </c>
      <c r="KP6" s="32" t="s">
        <v>141</v>
      </c>
      <c r="KQ6" s="32" t="s">
        <v>2</v>
      </c>
      <c r="KR6" s="71" t="s">
        <v>3</v>
      </c>
      <c r="KS6" s="71" t="s">
        <v>180</v>
      </c>
      <c r="KT6" s="32" t="s">
        <v>142</v>
      </c>
      <c r="KU6" s="32" t="s">
        <v>2</v>
      </c>
      <c r="KV6" s="71" t="s">
        <v>3</v>
      </c>
      <c r="KW6" s="71" t="s">
        <v>180</v>
      </c>
      <c r="KX6" s="32" t="s">
        <v>143</v>
      </c>
      <c r="KY6" s="32" t="s">
        <v>2</v>
      </c>
      <c r="KZ6" s="71" t="s">
        <v>3</v>
      </c>
      <c r="LA6" s="71" t="s">
        <v>180</v>
      </c>
      <c r="LB6" s="17"/>
      <c r="LC6" s="63" t="s">
        <v>151</v>
      </c>
      <c r="LD6" s="63" t="s">
        <v>152</v>
      </c>
      <c r="LE6" s="63" t="s">
        <v>153</v>
      </c>
      <c r="LF6" s="63" t="s">
        <v>150</v>
      </c>
      <c r="LG6" s="63"/>
      <c r="LH6" s="319" t="s">
        <v>295</v>
      </c>
      <c r="LI6" s="63" t="s">
        <v>237</v>
      </c>
      <c r="LJ6" s="63" t="s">
        <v>238</v>
      </c>
      <c r="LK6" s="63" t="s">
        <v>239</v>
      </c>
      <c r="LL6" s="63" t="s">
        <v>240</v>
      </c>
      <c r="LM6" s="63" t="s">
        <v>241</v>
      </c>
      <c r="LN6" s="18"/>
      <c r="LO6" s="14"/>
    </row>
    <row r="7" spans="1:331" ht="20.100000000000001" customHeight="1" thickBot="1" x14ac:dyDescent="0.3">
      <c r="A7" s="14"/>
      <c r="B7" s="74" t="s">
        <v>234</v>
      </c>
      <c r="C7" s="73" t="str">
        <f>IFERROR(IF(LEN(MATCH(callproduct,productNames,0))&gt;0,MATCH(callproduct,productNames,0)+9,""),"")</f>
        <v/>
      </c>
      <c r="D7" s="14"/>
      <c r="E7" s="19"/>
      <c r="F7" s="23"/>
      <c r="G7" s="38" t="str">
        <f>IFERROR(IF(LEN(PriceCalculator!D$7)&gt;0,PriceCalculator!D$7,""),"")</f>
        <v/>
      </c>
      <c r="H7" s="38" t="str">
        <f>IFERROR(IF(LEN(PriceCalculator!C$7)&gt;0,PriceCalculator!C$7,""),"")</f>
        <v/>
      </c>
      <c r="I7" s="38" t="str">
        <f>IFERROR(IF(LEN(PriceCalculator!E$7)&gt;0,PriceCalculator!E$7,""),"")</f>
        <v/>
      </c>
      <c r="J7" s="38" t="str">
        <f>IFERROR(IF(LEN(PriceCalculator!F$7)&gt;0,PriceCalculator!F$7,""),"")</f>
        <v/>
      </c>
      <c r="K7" s="38" t="str">
        <f>IFERROR(IF(LEN(PriceCalculator!G$7)&gt;0,PriceCalculator!G$7,""),"")</f>
        <v/>
      </c>
      <c r="L7" s="38" t="str">
        <f>IFERROR(IF(LEN(calculationtype)&gt;0,calculationtype,""),"")</f>
        <v>Markup (%)</v>
      </c>
      <c r="M7" s="103" t="str">
        <f>IFERROR(IF(LEN(PriceCalculator!$D$17)&gt;0,PriceCalculator!$D$17,""),"")</f>
        <v/>
      </c>
      <c r="N7" s="103" t="str">
        <f>IFERROR(IF(LEN(PriceCalculator!$D$21)&gt;0,PriceCalculator!$D$21,""),"")</f>
        <v/>
      </c>
      <c r="O7" s="103" t="str">
        <f>IFERROR(IF(LEN(PriceCalculator!$D$25)&gt;0,PriceCalculator!$D$25,""),"")</f>
        <v/>
      </c>
      <c r="P7" s="103" t="str">
        <f>IFERROR(IF(LEN(PriceCalculator!$E$17)&gt;0,PriceCalculator!$E$17,""),"")</f>
        <v/>
      </c>
      <c r="Q7" s="103" t="str">
        <f>IFERROR(IF(LEN(PriceCalculator!$E$21)&gt;0,PriceCalculator!$E$21,""),"")</f>
        <v/>
      </c>
      <c r="R7" s="103" t="str">
        <f>IFERROR(IF(LEN(PriceCalculator!$E$25)&gt;0,PriceCalculator!$E$25,""),"")</f>
        <v/>
      </c>
      <c r="S7" s="38" t="str">
        <f>IFERROR(IF(LEN(PriceCalculator!$C$38)&gt;0,PriceCalculator!$C$38,""),"")</f>
        <v/>
      </c>
      <c r="T7" s="38" t="str">
        <f>IFERROR(IF(LEN(PriceCalculator!$D$38)&gt;0,PriceCalculator!$D$38,""),"")</f>
        <v/>
      </c>
      <c r="U7" s="38" t="str">
        <f>IFERROR(IF(LEN(PriceCalculator!$C$39)&gt;0,PriceCalculator!$C$39,""),"")</f>
        <v/>
      </c>
      <c r="V7" s="38" t="str">
        <f>IFERROR(IF(LEN(PriceCalculator!$D$39)&gt;0,PriceCalculator!$D$39,""),"")</f>
        <v/>
      </c>
      <c r="W7" s="38" t="str">
        <f>IFERROR(IF(LEN(PriceCalculator!$C$40)&gt;0,PriceCalculator!$C$40,""),"")</f>
        <v/>
      </c>
      <c r="X7" s="38" t="str">
        <f>IFERROR(IF(LEN(PriceCalculator!$D$40)&gt;0,PriceCalculator!$D$40,""),"")</f>
        <v/>
      </c>
      <c r="Y7" s="38" t="str">
        <f>IFERROR(IF(LEN(PriceCalculator!$C$41)&gt;0,PriceCalculator!$C$41,""),"")</f>
        <v/>
      </c>
      <c r="Z7" s="38" t="str">
        <f>IFERROR(IF(LEN(PriceCalculator!$D$41)&gt;0,PriceCalculator!$D$41,""),"")</f>
        <v/>
      </c>
      <c r="AA7" s="38" t="str">
        <f>IFERROR(IF(LEN(PriceCalculator!$C$42)&gt;0,PriceCalculator!$C$42,""),"")</f>
        <v/>
      </c>
      <c r="AB7" s="38" t="str">
        <f>IFERROR(IF(LEN(PriceCalculator!$D$42)&gt;0,PriceCalculator!$D$42,""),"")</f>
        <v/>
      </c>
      <c r="AC7" s="38" t="str">
        <f>IFERROR(IF(LEN(PriceCalculator!$C$43)&gt;0,PriceCalculator!$C$43,""),"")</f>
        <v/>
      </c>
      <c r="AD7" s="38" t="str">
        <f>IFERROR(IF(LEN(PriceCalculator!$D$43)&gt;0,PriceCalculator!$D$43,""),"")</f>
        <v/>
      </c>
      <c r="AE7" s="38" t="str">
        <f>IFERROR(IF(LEN(PriceCalculator!$C$44)&gt;0,PriceCalculator!$C$44,""),"")</f>
        <v/>
      </c>
      <c r="AF7" s="38" t="str">
        <f>IFERROR(IF(LEN(PriceCalculator!$D$44)&gt;0,PriceCalculator!$D$44,""),"")</f>
        <v/>
      </c>
      <c r="AG7" s="38" t="str">
        <f>IFERROR(IF(LEN(PriceCalculator!$C$45)&gt;0,PriceCalculator!$C$45,""),"")</f>
        <v/>
      </c>
      <c r="AH7" s="38" t="str">
        <f>IFERROR(IF(LEN(PriceCalculator!$D$45)&gt;0,PriceCalculator!$D$45,""),"")</f>
        <v/>
      </c>
      <c r="AI7" s="38" t="str">
        <f>IFERROR(IF(LEN(PriceCalculator!$C$46)&gt;0,PriceCalculator!$C$46,""),"")</f>
        <v/>
      </c>
      <c r="AJ7" s="38" t="str">
        <f>IFERROR(IF(LEN(PriceCalculator!$D$46)&gt;0,PriceCalculator!$D$46,""),"")</f>
        <v/>
      </c>
      <c r="AK7" s="38" t="str">
        <f>IFERROR(IF(LEN(PriceCalculator!$C$47)&gt;0,PriceCalculator!$C$47,""),"")</f>
        <v/>
      </c>
      <c r="AL7" s="38" t="str">
        <f>IFERROR(IF(LEN(PriceCalculator!$D$47)&gt;0,PriceCalculator!$D$47,""),"")</f>
        <v/>
      </c>
      <c r="AM7" s="38" t="str">
        <f>IFERROR(IF(LEN(PriceCalculator!$C$48)&gt;0,PriceCalculator!$C$48,""),"")</f>
        <v/>
      </c>
      <c r="AN7" s="38" t="str">
        <f>IFERROR(IF(LEN(PriceCalculator!$D$48)&gt;0,PriceCalculator!$D$48,""),"")</f>
        <v/>
      </c>
      <c r="AO7" s="38" t="str">
        <f>IFERROR(IF(LEN(PriceCalculator!$C$49)&gt;0,PriceCalculator!$C$49,""),"")</f>
        <v/>
      </c>
      <c r="AP7" s="38" t="str">
        <f>IFERROR(IF(LEN(PriceCalculator!$D$49)&gt;0,PriceCalculator!$D$49,""),"")</f>
        <v/>
      </c>
      <c r="AQ7" s="38" t="str">
        <f>IFERROR(IF(LEN(PriceCalculator!$C$50)&gt;0,PriceCalculator!$C$50,""),"")</f>
        <v/>
      </c>
      <c r="AR7" s="38" t="str">
        <f>IFERROR(IF(LEN(PriceCalculator!$D$50)&gt;0,PriceCalculator!$D$50,""),"")</f>
        <v/>
      </c>
      <c r="AS7" s="38" t="str">
        <f>IFERROR(IF(LEN(PriceCalculator!$C$51)&gt;0,PriceCalculator!$C$51,""),"")</f>
        <v/>
      </c>
      <c r="AT7" s="38" t="str">
        <f>IFERROR(IF(LEN(PriceCalculator!$D$51)&gt;0,PriceCalculator!$D$51,""),"")</f>
        <v/>
      </c>
      <c r="AU7" s="38" t="str">
        <f>IFERROR(IF(LEN(PriceCalculator!$C$52)&gt;0,PriceCalculator!$C$52,""),"")</f>
        <v/>
      </c>
      <c r="AV7" s="38" t="str">
        <f>IFERROR(IF(LEN(PriceCalculator!$D$52)&gt;0,PriceCalculator!$D$52,""),"")</f>
        <v/>
      </c>
      <c r="AW7" s="38" t="str">
        <f>IFERROR(IF(LEN(PriceCalculator!$C$53)&gt;0,PriceCalculator!$C$53,""),"")</f>
        <v/>
      </c>
      <c r="AX7" s="38" t="str">
        <f>IFERROR(IF(LEN(PriceCalculator!$D$53)&gt;0,PriceCalculator!$D$53,""),"")</f>
        <v/>
      </c>
      <c r="AY7" s="38" t="str">
        <f>IFERROR(IF(LEN(PriceCalculator!$C$54)&gt;0,PriceCalculator!$C$54,""),"")</f>
        <v/>
      </c>
      <c r="AZ7" s="38" t="str">
        <f>IFERROR(IF(LEN(PriceCalculator!$D$54)&gt;0,PriceCalculator!$D$54,""),"")</f>
        <v/>
      </c>
      <c r="BA7" s="38" t="str">
        <f>IFERROR(IF(LEN(PriceCalculator!$C$55)&gt;0,PriceCalculator!$C$55,""),"")</f>
        <v/>
      </c>
      <c r="BB7" s="38" t="str">
        <f>IFERROR(IF(LEN(PriceCalculator!$D$55)&gt;0,PriceCalculator!$D$55,""),"")</f>
        <v/>
      </c>
      <c r="BC7" s="38" t="str">
        <f>IFERROR(IF(LEN(PriceCalculator!$C$56)&gt;0,PriceCalculator!$C$56,""),"")</f>
        <v/>
      </c>
      <c r="BD7" s="38" t="str">
        <f>IFERROR(IF(LEN(PriceCalculator!$D$56)&gt;0,PriceCalculator!$D$56,""),"")</f>
        <v/>
      </c>
      <c r="BE7" s="38" t="str">
        <f>IFERROR(IF(LEN(PriceCalculator!$C$57)&gt;0,PriceCalculator!$C$57,""),"")</f>
        <v/>
      </c>
      <c r="BF7" s="38" t="str">
        <f>IFERROR(IF(LEN(PriceCalculator!$D$57)&gt;0,PriceCalculator!$D$57,""),"")</f>
        <v/>
      </c>
      <c r="BG7" s="38" t="str">
        <f>IFERROR(IF(LEN(PriceCalculator!$C$58)&gt;0,PriceCalculator!$C$58,""),"")</f>
        <v/>
      </c>
      <c r="BH7" s="38" t="str">
        <f>IFERROR(IF(LEN(PriceCalculator!$D$58)&gt;0,PriceCalculator!$D$58,""),"")</f>
        <v/>
      </c>
      <c r="BI7" s="38" t="str">
        <f>IFERROR(IF(LEN(PriceCalculator!$C$59)&gt;0,PriceCalculator!$C$59,""),"")</f>
        <v/>
      </c>
      <c r="BJ7" s="38" t="str">
        <f>IFERROR(IF(LEN(PriceCalculator!$D$59)&gt;0,PriceCalculator!$D$59,""),"")</f>
        <v/>
      </c>
      <c r="BK7" s="38" t="str">
        <f>IFERROR(IF(LEN(PriceCalculator!$C$60)&gt;0,PriceCalculator!$C$60,""),"")</f>
        <v/>
      </c>
      <c r="BL7" s="38" t="str">
        <f>IFERROR(IF(LEN(PriceCalculator!$D$60)&gt;0,PriceCalculator!$D$60,""),"")</f>
        <v/>
      </c>
      <c r="BM7" s="38" t="str">
        <f>IFERROR(IF(LEN(PriceCalculator!$C$61)&gt;0,PriceCalculator!$C$61,""),"")</f>
        <v/>
      </c>
      <c r="BN7" s="38" t="str">
        <f>IFERROR(IF(LEN(PriceCalculator!$D$61)&gt;0,PriceCalculator!$D$61,""),"")</f>
        <v/>
      </c>
      <c r="BO7" s="38" t="str">
        <f>IFERROR(IF(LEN(PriceCalculator!$C$62)&gt;0,PriceCalculator!$C$62,""),"")</f>
        <v/>
      </c>
      <c r="BP7" s="38" t="str">
        <f>IFERROR(IF(LEN(PriceCalculator!$D$62)&gt;0,PriceCalculator!$D$62,""),"")</f>
        <v/>
      </c>
      <c r="BQ7" s="38" t="str">
        <f>IFERROR(IF(LEN(PriceCalculator!$C$63)&gt;0,PriceCalculator!$C$63,""),"")</f>
        <v/>
      </c>
      <c r="BR7" s="38" t="str">
        <f>IFERROR(IF(LEN(PriceCalculator!$D$63)&gt;0,PriceCalculator!$D$63,""),"")</f>
        <v/>
      </c>
      <c r="BS7" s="38" t="str">
        <f>IFERROR(IF(LEN(PriceCalculator!$C$64)&gt;0,PriceCalculator!$C$64,""),"")</f>
        <v/>
      </c>
      <c r="BT7" s="38" t="str">
        <f>IFERROR(IF(LEN(PriceCalculator!$D$64)&gt;0,PriceCalculator!$D$64,""),"")</f>
        <v/>
      </c>
      <c r="BU7" s="38" t="str">
        <f>IFERROR(IF(LEN(PriceCalculator!$C$65)&gt;0,PriceCalculator!$C$65,""),"")</f>
        <v/>
      </c>
      <c r="BV7" s="38" t="str">
        <f>IFERROR(IF(LEN(PriceCalculator!$D$65)&gt;0,PriceCalculator!$D$65,""),"")</f>
        <v/>
      </c>
      <c r="BW7" s="38" t="str">
        <f>IFERROR(IF(LEN(PriceCalculator!$C$66)&gt;0,PriceCalculator!$C$66,""),"")</f>
        <v/>
      </c>
      <c r="BX7" s="38" t="str">
        <f>IFERROR(IF(LEN(PriceCalculator!$D$66)&gt;0,PriceCalculator!$D$66,""),"")</f>
        <v/>
      </c>
      <c r="BY7" s="38" t="str">
        <f>IFERROR(IF(LEN(PriceCalculator!$C$67)&gt;0,PriceCalculator!$C$67,""),"")</f>
        <v/>
      </c>
      <c r="BZ7" s="38" t="str">
        <f>IFERROR(IF(LEN(PriceCalculator!$D$67)&gt;0,PriceCalculator!$D$67,""),"")</f>
        <v/>
      </c>
      <c r="CA7" s="38" t="str">
        <f>IFERROR(IF(LEN(PriceCalculator!$C$68)&gt;0,PriceCalculator!$C$68,""),"")</f>
        <v/>
      </c>
      <c r="CB7" s="38" t="str">
        <f>IFERROR(IF(LEN(PriceCalculator!$D$68)&gt;0,PriceCalculator!$D$68,""),"")</f>
        <v/>
      </c>
      <c r="CC7" s="38" t="str">
        <f>IFERROR(IF(LEN(PriceCalculator!$C$69)&gt;0,PriceCalculator!$C$69,""),"")</f>
        <v/>
      </c>
      <c r="CD7" s="38" t="str">
        <f>IFERROR(IF(LEN(PriceCalculator!$D$69)&gt;0,PriceCalculator!$D$69,""),"")</f>
        <v/>
      </c>
      <c r="CE7" s="38" t="str">
        <f>IFERROR(IF(LEN(PriceCalculator!$C$70)&gt;0,PriceCalculator!$C$70,""),"")</f>
        <v/>
      </c>
      <c r="CF7" s="38" t="str">
        <f>IFERROR(IF(LEN(PriceCalculator!$D$70)&gt;0,PriceCalculator!$D$70,""),"")</f>
        <v/>
      </c>
      <c r="CG7" s="38" t="str">
        <f>IFERROR(IF(LEN(PriceCalculator!$C$71)&gt;0,PriceCalculator!$C$71,""),"")</f>
        <v/>
      </c>
      <c r="CH7" s="38" t="str">
        <f>IFERROR(IF(LEN(PriceCalculator!$D$71)&gt;0,PriceCalculator!$D$71,""),"")</f>
        <v/>
      </c>
      <c r="CI7" s="38" t="str">
        <f>IFERROR(IF(LEN(PriceCalculator!$C$72)&gt;0,PriceCalculator!$C$72,""),"")</f>
        <v/>
      </c>
      <c r="CJ7" s="38" t="str">
        <f>IFERROR(IF(LEN(PriceCalculator!$D$72)&gt;0,PriceCalculator!$D$72,""),"")</f>
        <v/>
      </c>
      <c r="CK7" s="38" t="str">
        <f>IFERROR(IF(LEN(PriceCalculator!$C$73)&gt;0,PriceCalculator!$C$73,""),"")</f>
        <v/>
      </c>
      <c r="CL7" s="38" t="str">
        <f>IFERROR(IF(LEN(PriceCalculator!$D$73)&gt;0,PriceCalculator!$D$73,""),"")</f>
        <v/>
      </c>
      <c r="CM7" s="38" t="str">
        <f>IFERROR(IF(LEN(PriceCalculator!$C$74)&gt;0,PriceCalculator!$C$74,""),"")</f>
        <v/>
      </c>
      <c r="CN7" s="38" t="str">
        <f>IFERROR(IF(LEN(PriceCalculator!$D$74)&gt;0,PriceCalculator!$D$74,""),"")</f>
        <v/>
      </c>
      <c r="CO7" s="38" t="str">
        <f>IFERROR(IF(LEN(PriceCalculator!$C$75)&gt;0,PriceCalculator!$C$75,""),"")</f>
        <v/>
      </c>
      <c r="CP7" s="38" t="str">
        <f>IFERROR(IF(LEN(PriceCalculator!$D$75)&gt;0,PriceCalculator!$D$75,""),"")</f>
        <v/>
      </c>
      <c r="CQ7" s="38" t="str">
        <f>IFERROR(IF(LEN(PriceCalculator!$C$76)&gt;0,PriceCalculator!$C$76,""),"")</f>
        <v/>
      </c>
      <c r="CR7" s="38" t="str">
        <f>IFERROR(IF(LEN(PriceCalculator!$D$76)&gt;0,PriceCalculator!$D$76,""),"")</f>
        <v/>
      </c>
      <c r="CS7" s="38" t="str">
        <f>IFERROR(IF(LEN(PriceCalculator!$C$77)&gt;0,PriceCalculator!$C$77,""),"")</f>
        <v/>
      </c>
      <c r="CT7" s="38" t="str">
        <f>IFERROR(IF(LEN(PriceCalculator!$D$77)&gt;0,PriceCalculator!$D$77,""),"")</f>
        <v/>
      </c>
      <c r="CU7" s="38">
        <f>IFERROR(IF(LEN(PriceCalculator!$D$106)&gt;0,PriceCalculator!$D$106,""),"")</f>
        <v>1</v>
      </c>
      <c r="CV7" s="38" t="str">
        <f>IFERROR(IF(LEN(PriceCalculator!$F$106)&gt;0,PriceCalculator!$F$106,""),"")</f>
        <v/>
      </c>
      <c r="CW7" s="38" t="str">
        <f>IFERROR(IF(LEN(PriceCalculator!$G$106)&gt;0,PriceCalculator!$G$106,""),"")</f>
        <v/>
      </c>
      <c r="CX7" s="38" t="str">
        <f>IFERROR(IF(LEN(PriceCalculator!$D$107)&gt;0,PriceCalculator!$D$107,""),"")</f>
        <v/>
      </c>
      <c r="CY7" s="38" t="str">
        <f>IFERROR(IF(LEN(PriceCalculator!$F$107)&gt;0,PriceCalculator!$F$107,""),"")</f>
        <v/>
      </c>
      <c r="CZ7" s="38" t="str">
        <f>IFERROR(IF(LEN(PriceCalculator!$G$107)&gt;0,PriceCalculator!$G$107,""),"")</f>
        <v/>
      </c>
      <c r="DA7" s="38" t="str">
        <f>IFERROR(IF(LEN(PriceCalculator!$D$108)&gt;0,PriceCalculator!$D$108,""),"")</f>
        <v/>
      </c>
      <c r="DB7" s="38" t="str">
        <f>IFERROR(IF(LEN(PriceCalculator!$F$108)&gt;0,PriceCalculator!$F$108,""),"")</f>
        <v/>
      </c>
      <c r="DC7" s="38" t="str">
        <f>IFERROR(IF(LEN(PriceCalculator!$G$108)&gt;0,PriceCalculator!$G$108,""),"")</f>
        <v/>
      </c>
      <c r="DD7" s="38" t="str">
        <f>IFERROR(IF(LEN(PriceCalculator!$D$109)&gt;0,PriceCalculator!$D$109,""),"")</f>
        <v/>
      </c>
      <c r="DE7" s="38" t="str">
        <f>IFERROR(IF(LEN(PriceCalculator!$F$109)&gt;0,PriceCalculator!$F$109,""),"")</f>
        <v/>
      </c>
      <c r="DF7" s="38" t="str">
        <f>IFERROR(IF(LEN(PriceCalculator!$G$109)&gt;0,PriceCalculator!$G$109,""),"")</f>
        <v/>
      </c>
      <c r="DG7" s="38" t="str">
        <f>IFERROR(IF(LEN(PriceCalculator!$D$110)&gt;0,PriceCalculator!$D$110,""),"")</f>
        <v/>
      </c>
      <c r="DH7" s="38" t="str">
        <f>IFERROR(IF(LEN(PriceCalculator!$F$110)&gt;0,PriceCalculator!$F$110,""),"")</f>
        <v/>
      </c>
      <c r="DI7" s="38" t="str">
        <f>IFERROR(IF(LEN(PriceCalculator!$G$110)&gt;0,PriceCalculator!$G$110,""),"")</f>
        <v/>
      </c>
      <c r="DJ7" s="38" t="str">
        <f>IFERROR(IF(LEN(PriceCalculator!$C$82)&gt;0,PriceCalculator!$C$82,""),"")</f>
        <v/>
      </c>
      <c r="DK7" s="38" t="str">
        <f>IFERROR(IF(LEN(PriceCalculator!$D$82)&gt;0,PriceCalculator!$D$82,""),"")</f>
        <v/>
      </c>
      <c r="DL7" s="38" t="str">
        <f>IFERROR(IF(LEN(PriceCalculator!$E$82)&gt;0,PriceCalculator!$E$82,""),"")</f>
        <v/>
      </c>
      <c r="DM7" s="38" t="str">
        <f>IFERROR(IF(LEN(PriceCalculator!$F$82)&gt;0,PriceCalculator!$F$82,""),"")</f>
        <v/>
      </c>
      <c r="DN7" s="38" t="str">
        <f>IFERROR(IF(LEN(PriceCalculator!$C$83)&gt;0,PriceCalculator!$C$83,""),"")</f>
        <v/>
      </c>
      <c r="DO7" s="38" t="str">
        <f>IFERROR(IF(LEN(PriceCalculator!$D$83)&gt;0,PriceCalculator!$D$83,""),"")</f>
        <v/>
      </c>
      <c r="DP7" s="38" t="str">
        <f>IFERROR(IF(LEN(PriceCalculator!$E$83)&gt;0,PriceCalculator!$E$83,""),"")</f>
        <v/>
      </c>
      <c r="DQ7" s="38" t="str">
        <f>IFERROR(IF(LEN(PriceCalculator!$F$83)&gt;0,PriceCalculator!$F$83,""),"")</f>
        <v/>
      </c>
      <c r="DR7" s="38" t="str">
        <f>IFERROR(IF(LEN(PriceCalculator!$C$84)&gt;0,PriceCalculator!$C$84,""),"")</f>
        <v/>
      </c>
      <c r="DS7" s="38" t="str">
        <f>IFERROR(IF(LEN(PriceCalculator!$D$84)&gt;0,PriceCalculator!$D$84,""),"")</f>
        <v/>
      </c>
      <c r="DT7" s="38" t="str">
        <f>IFERROR(IF(LEN(PriceCalculator!$E$84)&gt;0,PriceCalculator!$E$84,""),"")</f>
        <v/>
      </c>
      <c r="DU7" s="38" t="str">
        <f>IFERROR(IF(LEN(PriceCalculator!$F$84)&gt;0,PriceCalculator!$F$84,""),"")</f>
        <v/>
      </c>
      <c r="DV7" s="38" t="str">
        <f>IFERROR(IF(LEN(PriceCalculator!$C$85)&gt;0,PriceCalculator!$C$85,""),"")</f>
        <v/>
      </c>
      <c r="DW7" s="38" t="str">
        <f>IFERROR(IF(LEN(PriceCalculator!$D$85)&gt;0,PriceCalculator!$D$85,""),"")</f>
        <v/>
      </c>
      <c r="DX7" s="38" t="str">
        <f>IFERROR(IF(LEN(PriceCalculator!$E$85)&gt;0,PriceCalculator!$E$85,""),"")</f>
        <v/>
      </c>
      <c r="DY7" s="38" t="str">
        <f>IFERROR(IF(LEN(PriceCalculator!$F$85)&gt;0,PriceCalculator!$F$85,""),"")</f>
        <v/>
      </c>
      <c r="DZ7" s="38" t="str">
        <f>IFERROR(IF(LEN(PriceCalculator!$C$86)&gt;0,PriceCalculator!$C$86,""),"")</f>
        <v/>
      </c>
      <c r="EA7" s="38" t="str">
        <f>IFERROR(IF(LEN(PriceCalculator!$D$86)&gt;0,PriceCalculator!$D$86,""),"")</f>
        <v/>
      </c>
      <c r="EB7" s="38" t="str">
        <f>IFERROR(IF(LEN(PriceCalculator!$E$86)&gt;0,PriceCalculator!$E$86,""),"")</f>
        <v/>
      </c>
      <c r="EC7" s="38" t="str">
        <f>IFERROR(IF(LEN(PriceCalculator!$F$86)&gt;0,PriceCalculator!$F$86,""),"")</f>
        <v/>
      </c>
      <c r="ED7" s="38" t="str">
        <f>IFERROR(IF(LEN(PriceCalculator!$C$87)&gt;0,PriceCalculator!$C$87,""),"")</f>
        <v/>
      </c>
      <c r="EE7" s="38" t="str">
        <f>IFERROR(IF(LEN(PriceCalculator!$D$87)&gt;0,PriceCalculator!$D$87,""),"")</f>
        <v/>
      </c>
      <c r="EF7" s="38" t="str">
        <f>IFERROR(IF(LEN(PriceCalculator!$E$87)&gt;0,PriceCalculator!$E$87,""),"")</f>
        <v/>
      </c>
      <c r="EG7" s="38" t="str">
        <f>IFERROR(IF(LEN(PriceCalculator!$F$87)&gt;0,PriceCalculator!$F$87,""),"")</f>
        <v/>
      </c>
      <c r="EH7" s="38" t="str">
        <f>IFERROR(IF(LEN(PriceCalculator!$C$88)&gt;0,PriceCalculator!$C$88,""),"")</f>
        <v/>
      </c>
      <c r="EI7" s="38" t="str">
        <f>IFERROR(IF(LEN(PriceCalculator!$D$88)&gt;0,PriceCalculator!$D$88,""),"")</f>
        <v/>
      </c>
      <c r="EJ7" s="38" t="str">
        <f>IFERROR(IF(LEN(PriceCalculator!$E$88)&gt;0,PriceCalculator!$E$88,""),"")</f>
        <v/>
      </c>
      <c r="EK7" s="38" t="str">
        <f>IFERROR(IF(LEN(PriceCalculator!$F$88)&gt;0,PriceCalculator!$F$88,""),"")</f>
        <v/>
      </c>
      <c r="EL7" s="38" t="str">
        <f>IFERROR(IF(LEN(PriceCalculator!$C$89)&gt;0,PriceCalculator!$C$89,""),"")</f>
        <v/>
      </c>
      <c r="EM7" s="38" t="str">
        <f>IFERROR(IF(LEN(PriceCalculator!$D$89)&gt;0,PriceCalculator!$D$89,""),"")</f>
        <v/>
      </c>
      <c r="EN7" s="38" t="str">
        <f>IFERROR(IF(LEN(PriceCalculator!$E$89)&gt;0,PriceCalculator!$E$89,""),"")</f>
        <v/>
      </c>
      <c r="EO7" s="38" t="str">
        <f>IFERROR(IF(LEN(PriceCalculator!$F$89)&gt;0,PriceCalculator!$F$89,""),"")</f>
        <v/>
      </c>
      <c r="EP7" s="38" t="str">
        <f>IFERROR(IF(LEN(PriceCalculator!$C$90)&gt;0,PriceCalculator!$C$90,""),"")</f>
        <v/>
      </c>
      <c r="EQ7" s="38" t="str">
        <f>IFERROR(IF(LEN(PriceCalculator!$D$90)&gt;0,PriceCalculator!$D$90,""),"")</f>
        <v/>
      </c>
      <c r="ER7" s="38" t="str">
        <f>IFERROR(IF(LEN(PriceCalculator!$E$90)&gt;0,PriceCalculator!$E$90,""),"")</f>
        <v/>
      </c>
      <c r="ES7" s="38" t="str">
        <f>IFERROR(IF(LEN(PriceCalculator!$F$90)&gt;0,PriceCalculator!$F$90,""),"")</f>
        <v/>
      </c>
      <c r="ET7" s="38" t="str">
        <f>IFERROR(IF(LEN(PriceCalculator!$C$91)&gt;0,PriceCalculator!$C$91,""),"")</f>
        <v/>
      </c>
      <c r="EU7" s="38" t="str">
        <f>IFERROR(IF(LEN(PriceCalculator!$D$91)&gt;0,PriceCalculator!$D$91,""),"")</f>
        <v/>
      </c>
      <c r="EV7" s="38" t="str">
        <f>IFERROR(IF(LEN(PriceCalculator!$E$91)&gt;0,PriceCalculator!$E$91,""),"")</f>
        <v/>
      </c>
      <c r="EW7" s="38" t="str">
        <f>IFERROR(IF(LEN(PriceCalculator!$F$91)&gt;0,PriceCalculator!$F$91,""),"")</f>
        <v/>
      </c>
      <c r="EX7" s="38" t="str">
        <f>IFERROR(IF(LEN(PriceCalculator!$C$92)&gt;0,PriceCalculator!$C$92,""),"")</f>
        <v/>
      </c>
      <c r="EY7" s="38" t="str">
        <f>IFERROR(IF(LEN(PriceCalculator!$D$92)&gt;0,PriceCalculator!$D$92,""),"")</f>
        <v/>
      </c>
      <c r="EZ7" s="38" t="str">
        <f>IFERROR(IF(LEN(PriceCalculator!$E$92)&gt;0,PriceCalculator!$E$92,""),"")</f>
        <v/>
      </c>
      <c r="FA7" s="38" t="str">
        <f>IFERROR(IF(LEN(PriceCalculator!$F$92)&gt;0,PriceCalculator!$F$92,""),"")</f>
        <v/>
      </c>
      <c r="FB7" s="38" t="str">
        <f>IFERROR(IF(LEN(PriceCalculator!$C$93)&gt;0,PriceCalculator!$C$93,""),"")</f>
        <v/>
      </c>
      <c r="FC7" s="38" t="str">
        <f>IFERROR(IF(LEN(PriceCalculator!$D$93)&gt;0,PriceCalculator!$D$93,""),"")</f>
        <v/>
      </c>
      <c r="FD7" s="38" t="str">
        <f>IFERROR(IF(LEN(PriceCalculator!$E$93)&gt;0,PriceCalculator!$E$93,""),"")</f>
        <v/>
      </c>
      <c r="FE7" s="38" t="str">
        <f>IFERROR(IF(LEN(PriceCalculator!$F$93)&gt;0,PriceCalculator!$F$93,""),"")</f>
        <v/>
      </c>
      <c r="FF7" s="38" t="str">
        <f>IFERROR(IF(LEN(PriceCalculator!$C$94)&gt;0,PriceCalculator!$C$94,""),"")</f>
        <v/>
      </c>
      <c r="FG7" s="38" t="str">
        <f>IFERROR(IF(LEN(PriceCalculator!$D$94)&gt;0,PriceCalculator!$D$94,""),"")</f>
        <v/>
      </c>
      <c r="FH7" s="38" t="str">
        <f>IFERROR(IF(LEN(PriceCalculator!$E$94)&gt;0,PriceCalculator!$E$94,""),"")</f>
        <v/>
      </c>
      <c r="FI7" s="38" t="str">
        <f>IFERROR(IF(LEN(PriceCalculator!$F$94)&gt;0,PriceCalculator!$F$94,""),"")</f>
        <v/>
      </c>
      <c r="FJ7" s="38" t="str">
        <f>IFERROR(IF(LEN(PriceCalculator!$C$95)&gt;0,PriceCalculator!$C$95,""),"")</f>
        <v/>
      </c>
      <c r="FK7" s="38" t="str">
        <f>IFERROR(IF(LEN(PriceCalculator!$D$95)&gt;0,PriceCalculator!$D$95,""),"")</f>
        <v/>
      </c>
      <c r="FL7" s="38" t="str">
        <f>IFERROR(IF(LEN(PriceCalculator!$E$95)&gt;0,PriceCalculator!$E$95,""),"")</f>
        <v/>
      </c>
      <c r="FM7" s="38" t="str">
        <f>IFERROR(IF(LEN(PriceCalculator!$F$95)&gt;0,PriceCalculator!$F$95,""),"")</f>
        <v/>
      </c>
      <c r="FN7" s="38" t="str">
        <f>IFERROR(IF(LEN(PriceCalculator!$C$96)&gt;0,PriceCalculator!$C$96,""),"")</f>
        <v/>
      </c>
      <c r="FO7" s="38" t="str">
        <f>IFERROR(IF(LEN(PriceCalculator!$D$96)&gt;0,PriceCalculator!$D$96,""),"")</f>
        <v/>
      </c>
      <c r="FP7" s="38" t="str">
        <f>IFERROR(IF(LEN(PriceCalculator!$E$96)&gt;0,PriceCalculator!$E$96,""),"")</f>
        <v/>
      </c>
      <c r="FQ7" s="38" t="str">
        <f>IFERROR(IF(LEN(PriceCalculator!$F$96)&gt;0,PriceCalculator!$F$96,""),"")</f>
        <v/>
      </c>
      <c r="FR7" s="38" t="str">
        <f>IFERROR(IF(LEN(PriceCalculator!$C$97)&gt;0,PriceCalculator!$C$97,""),"")</f>
        <v/>
      </c>
      <c r="FS7" s="38" t="str">
        <f>IFERROR(IF(LEN(PriceCalculator!$D$97)&gt;0,PriceCalculator!$D$97,""),"")</f>
        <v/>
      </c>
      <c r="FT7" s="38" t="str">
        <f>IFERROR(IF(LEN(PriceCalculator!$E$97)&gt;0,PriceCalculator!$E$97,""),"")</f>
        <v/>
      </c>
      <c r="FU7" s="38" t="str">
        <f>IFERROR(IF(LEN(PriceCalculator!$F$97)&gt;0,PriceCalculator!$F$97,""),"")</f>
        <v/>
      </c>
      <c r="FV7" s="38" t="str">
        <f>IFERROR(IF(LEN(PriceCalculator!$C$98)&gt;0,PriceCalculator!$C$98,""),"")</f>
        <v/>
      </c>
      <c r="FW7" s="38" t="str">
        <f>IFERROR(IF(LEN(PriceCalculator!$D$98)&gt;0,PriceCalculator!$D$98,""),"")</f>
        <v/>
      </c>
      <c r="FX7" s="38" t="str">
        <f>IFERROR(IF(LEN(PriceCalculator!$E$98)&gt;0,PriceCalculator!$E$98,""),"")</f>
        <v/>
      </c>
      <c r="FY7" s="38" t="str">
        <f>IFERROR(IF(LEN(PriceCalculator!$F$98)&gt;0,PriceCalculator!$F$98,""),"")</f>
        <v/>
      </c>
      <c r="FZ7" s="38" t="str">
        <f>IFERROR(IF(LEN(PriceCalculator!$C$99)&gt;0,PriceCalculator!$C$99,""),"")</f>
        <v/>
      </c>
      <c r="GA7" s="38" t="str">
        <f>IFERROR(IF(LEN(PriceCalculator!$D$99)&gt;0,PriceCalculator!$D$99,""),"")</f>
        <v/>
      </c>
      <c r="GB7" s="38" t="str">
        <f>IFERROR(IF(LEN(PriceCalculator!$E$99)&gt;0,PriceCalculator!$E$99,""),"")</f>
        <v/>
      </c>
      <c r="GC7" s="38" t="str">
        <f>IFERROR(IF(LEN(PriceCalculator!$F$99)&gt;0,PriceCalculator!$F$99,""),"")</f>
        <v/>
      </c>
      <c r="GD7" s="38" t="str">
        <f>IFERROR(IF(LEN(PriceCalculator!$C$100)&gt;0,PriceCalculator!$C$100,""),"")</f>
        <v/>
      </c>
      <c r="GE7" s="38" t="str">
        <f>IFERROR(IF(LEN(PriceCalculator!$D$100)&gt;0,PriceCalculator!$D$100,""),"")</f>
        <v/>
      </c>
      <c r="GF7" s="38" t="str">
        <f>IFERROR(IF(LEN(PriceCalculator!$E$100)&gt;0,PriceCalculator!$E$100,""),"")</f>
        <v/>
      </c>
      <c r="GG7" s="38" t="str">
        <f>IFERROR(IF(LEN(PriceCalculator!$F$100)&gt;0,PriceCalculator!$F$100,""),"")</f>
        <v/>
      </c>
      <c r="GH7" s="38" t="str">
        <f>IFERROR(IF(LEN(PriceCalculator!$C$101)&gt;0,PriceCalculator!$C$101,""),"")</f>
        <v/>
      </c>
      <c r="GI7" s="38" t="str">
        <f>IFERROR(IF(LEN(PriceCalculator!$D$101)&gt;0,PriceCalculator!$D$101,""),"")</f>
        <v/>
      </c>
      <c r="GJ7" s="38" t="str">
        <f>IFERROR(IF(LEN(PriceCalculator!$E$101)&gt;0,PriceCalculator!$E$101,""),"")</f>
        <v/>
      </c>
      <c r="GK7" s="38" t="str">
        <f>IFERROR(IF(LEN(PriceCalculator!$F$101)&gt;0,PriceCalculator!$F$101,""),"")</f>
        <v/>
      </c>
      <c r="GL7" s="38" t="str">
        <f>IFERROR(IF(LEN(PriceCalculator!$C$115)&gt;0,PriceCalculator!$C$115,""),"")</f>
        <v/>
      </c>
      <c r="GM7" s="38" t="str">
        <f>IFERROR(IF(LEN(PriceCalculator!$D$115)&gt;0,PriceCalculator!$D$115,""),"")</f>
        <v/>
      </c>
      <c r="GN7" s="38" t="str">
        <f>IFERROR(IF(LEN(PriceCalculator!$E$115)&gt;0,PriceCalculator!$E$115,""),"")</f>
        <v/>
      </c>
      <c r="GO7" s="38" t="str">
        <f>IFERROR(IF(LEN(PriceCalculator!$F$115)&gt;0,PriceCalculator!$F$115,""),"")</f>
        <v/>
      </c>
      <c r="GP7" s="38" t="str">
        <f>IFERROR(IF(LEN(PriceCalculator!$C$116)&gt;0,PriceCalculator!$C$116,""),"")</f>
        <v/>
      </c>
      <c r="GQ7" s="38" t="str">
        <f>IFERROR(IF(LEN(PriceCalculator!$D$116)&gt;0,PriceCalculator!$D$116,""),"")</f>
        <v/>
      </c>
      <c r="GR7" s="38" t="str">
        <f>IFERROR(IF(LEN(PriceCalculator!$E$116)&gt;0,PriceCalculator!$E$116,""),"")</f>
        <v/>
      </c>
      <c r="GS7" s="38" t="str">
        <f>IFERROR(IF(LEN(PriceCalculator!$F$116)&gt;0,PriceCalculator!$F$116,""),"")</f>
        <v/>
      </c>
      <c r="GT7" s="38" t="str">
        <f>IFERROR(IF(LEN(PriceCalculator!$C$117)&gt;0,PriceCalculator!$C$117,""),"")</f>
        <v/>
      </c>
      <c r="GU7" s="38" t="str">
        <f>IFERROR(IF(LEN(PriceCalculator!$D$117)&gt;0,PriceCalculator!$D$117,""),"")</f>
        <v/>
      </c>
      <c r="GV7" s="38" t="str">
        <f>IFERROR(IF(LEN(PriceCalculator!$E$117)&gt;0,PriceCalculator!$E$117,""),"")</f>
        <v/>
      </c>
      <c r="GW7" s="38" t="str">
        <f>IFERROR(IF(LEN(PriceCalculator!$F$117)&gt;0,PriceCalculator!$F$117,""),"")</f>
        <v/>
      </c>
      <c r="GX7" s="38" t="str">
        <f>IFERROR(IF(LEN(PriceCalculator!$C$118)&gt;0,PriceCalculator!$C$118,""),"")</f>
        <v/>
      </c>
      <c r="GY7" s="38" t="str">
        <f>IFERROR(IF(LEN(PriceCalculator!$D$118)&gt;0,PriceCalculator!$D$118,""),"")</f>
        <v/>
      </c>
      <c r="GZ7" s="38" t="str">
        <f>IFERROR(IF(LEN(PriceCalculator!$E$118)&gt;0,PriceCalculator!$E$118,""),"")</f>
        <v/>
      </c>
      <c r="HA7" s="38" t="str">
        <f>IFERROR(IF(LEN(PriceCalculator!$F$118)&gt;0,PriceCalculator!$F$118,""),"")</f>
        <v/>
      </c>
      <c r="HB7" s="38" t="str">
        <f>IFERROR(IF(LEN(PriceCalculator!$C$119)&gt;0,PriceCalculator!$C$119,""),"")</f>
        <v/>
      </c>
      <c r="HC7" s="38" t="str">
        <f>IFERROR(IF(LEN(PriceCalculator!$D$119)&gt;0,PriceCalculator!$D$119,""),"")</f>
        <v/>
      </c>
      <c r="HD7" s="38" t="str">
        <f>IFERROR(IF(LEN(PriceCalculator!$E$119)&gt;0,PriceCalculator!$E$119,""),"")</f>
        <v/>
      </c>
      <c r="HE7" s="38" t="str">
        <f>IFERROR(IF(LEN(PriceCalculator!$F$119)&gt;0,PriceCalculator!$F$119,""),"")</f>
        <v/>
      </c>
      <c r="HF7" s="38" t="str">
        <f>IFERROR(IF(LEN(PriceCalculator!$C$120)&gt;0,PriceCalculator!$C$120,""),"")</f>
        <v/>
      </c>
      <c r="HG7" s="38" t="str">
        <f>IFERROR(IF(LEN(PriceCalculator!$D$120)&gt;0,PriceCalculator!$D$120,""),"")</f>
        <v/>
      </c>
      <c r="HH7" s="38" t="str">
        <f>IFERROR(IF(LEN(PriceCalculator!$E$120)&gt;0,PriceCalculator!$E$120,""),"")</f>
        <v/>
      </c>
      <c r="HI7" s="38" t="str">
        <f>IFERROR(IF(LEN(PriceCalculator!$F$120)&gt;0,PriceCalculator!$F$120,""),"")</f>
        <v/>
      </c>
      <c r="HJ7" s="38" t="str">
        <f>IFERROR(IF(LEN(PriceCalculator!$C$121)&gt;0,PriceCalculator!$C$121,""),"")</f>
        <v/>
      </c>
      <c r="HK7" s="38" t="str">
        <f>IFERROR(IF(LEN(PriceCalculator!$D$121)&gt;0,PriceCalculator!$D$121,""),"")</f>
        <v/>
      </c>
      <c r="HL7" s="38" t="str">
        <f>IFERROR(IF(LEN(PriceCalculator!$E$121)&gt;0,PriceCalculator!$E$121,""),"")</f>
        <v/>
      </c>
      <c r="HM7" s="38" t="str">
        <f>IFERROR(IF(LEN(PriceCalculator!$F$121)&gt;0,PriceCalculator!$F$121,""),"")</f>
        <v/>
      </c>
      <c r="HN7" s="38" t="str">
        <f>IFERROR(IF(LEN(PriceCalculator!$C$122)&gt;0,PriceCalculator!$C$122,""),"")</f>
        <v/>
      </c>
      <c r="HO7" s="38" t="str">
        <f>IFERROR(IF(LEN(PriceCalculator!$D$122)&gt;0,PriceCalculator!$D$122,""),"")</f>
        <v/>
      </c>
      <c r="HP7" s="38" t="str">
        <f>IFERROR(IF(LEN(PriceCalculator!$E$122)&gt;0,PriceCalculator!$E$122,""),"")</f>
        <v/>
      </c>
      <c r="HQ7" s="38" t="str">
        <f>IFERROR(IF(LEN(PriceCalculator!$F$122)&gt;0,PriceCalculator!$F$122,""),"")</f>
        <v/>
      </c>
      <c r="HR7" s="38" t="str">
        <f>IFERROR(IF(LEN(PriceCalculator!$C$123)&gt;0,PriceCalculator!$C$123,""),"")</f>
        <v/>
      </c>
      <c r="HS7" s="38" t="str">
        <f>IFERROR(IF(LEN(PriceCalculator!$D$123)&gt;0,PriceCalculator!$D$123,""),"")</f>
        <v/>
      </c>
      <c r="HT7" s="38" t="str">
        <f>IFERROR(IF(LEN(PriceCalculator!$E$123)&gt;0,PriceCalculator!$E$123,""),"")</f>
        <v/>
      </c>
      <c r="HU7" s="38" t="str">
        <f>IFERROR(IF(LEN(PriceCalculator!$F$123)&gt;0,PriceCalculator!$F$123,""),"")</f>
        <v/>
      </c>
      <c r="HV7" s="38" t="str">
        <f>IFERROR(IF(LEN(PriceCalculator!$C$124)&gt;0,PriceCalculator!$C$124,""),"")</f>
        <v/>
      </c>
      <c r="HW7" s="38" t="str">
        <f>IFERROR(IF(LEN(PriceCalculator!$D$124)&gt;0,PriceCalculator!$D$124,""),"")</f>
        <v/>
      </c>
      <c r="HX7" s="38" t="str">
        <f>IFERROR(IF(LEN(PriceCalculator!$E$124)&gt;0,PriceCalculator!$E$124,""),"")</f>
        <v/>
      </c>
      <c r="HY7" s="38" t="str">
        <f>IFERROR(IF(LEN(PriceCalculator!$F$124)&gt;0,PriceCalculator!$F$124,""),"")</f>
        <v/>
      </c>
      <c r="HZ7" s="38" t="str">
        <f>IFERROR(IF(LEN(PriceCalculator!$C$125)&gt;0,PriceCalculator!$C$125,""),"")</f>
        <v/>
      </c>
      <c r="IA7" s="38" t="str">
        <f>IFERROR(IF(LEN(PriceCalculator!$D$125)&gt;0,PriceCalculator!$D$125,""),"")</f>
        <v/>
      </c>
      <c r="IB7" s="38" t="str">
        <f>IFERROR(IF(LEN(PriceCalculator!$E$125)&gt;0,PriceCalculator!$E$125,""),"")</f>
        <v/>
      </c>
      <c r="IC7" s="38" t="str">
        <f>IFERROR(IF(LEN(PriceCalculator!$F$125)&gt;0,PriceCalculator!$F$125,""),"")</f>
        <v/>
      </c>
      <c r="ID7" s="38" t="str">
        <f>IFERROR(IF(LEN(PriceCalculator!$C$126)&gt;0,PriceCalculator!$C$126,""),"")</f>
        <v/>
      </c>
      <c r="IE7" s="38" t="str">
        <f>IFERROR(IF(LEN(PriceCalculator!$D$126)&gt;0,PriceCalculator!$D$126,""),"")</f>
        <v/>
      </c>
      <c r="IF7" s="38" t="str">
        <f>IFERROR(IF(LEN(PriceCalculator!$E$126)&gt;0,PriceCalculator!$E$126,""),"")</f>
        <v/>
      </c>
      <c r="IG7" s="38" t="str">
        <f>IFERROR(IF(LEN(PriceCalculator!$F$126)&gt;0,PriceCalculator!$F$126,""),"")</f>
        <v/>
      </c>
      <c r="IH7" s="38" t="str">
        <f>IFERROR(IF(LEN(PriceCalculator!$C$127)&gt;0,PriceCalculator!$C$127,""),"")</f>
        <v/>
      </c>
      <c r="II7" s="38" t="str">
        <f>IFERROR(IF(LEN(PriceCalculator!$D$127)&gt;0,PriceCalculator!$D$127,""),"")</f>
        <v/>
      </c>
      <c r="IJ7" s="38" t="str">
        <f>IFERROR(IF(LEN(PriceCalculator!$E$127)&gt;0,PriceCalculator!$E$127,""),"")</f>
        <v/>
      </c>
      <c r="IK7" s="38" t="str">
        <f>IFERROR(IF(LEN(PriceCalculator!$F$127)&gt;0,PriceCalculator!$F$127,""),"")</f>
        <v/>
      </c>
      <c r="IL7" s="38" t="str">
        <f>IFERROR(IF(LEN(PriceCalculator!$C$128)&gt;0,PriceCalculator!$C$128,""),"")</f>
        <v/>
      </c>
      <c r="IM7" s="38" t="str">
        <f>IFERROR(IF(LEN(PriceCalculator!$D$128)&gt;0,PriceCalculator!$D$128,""),"")</f>
        <v/>
      </c>
      <c r="IN7" s="38" t="str">
        <f>IFERROR(IF(LEN(PriceCalculator!$E$128)&gt;0,PriceCalculator!$E$128,""),"")</f>
        <v/>
      </c>
      <c r="IO7" s="38" t="str">
        <f>IFERROR(IF(LEN(PriceCalculator!$F$128)&gt;0,PriceCalculator!$F$128,""),"")</f>
        <v/>
      </c>
      <c r="IP7" s="38" t="str">
        <f>IFERROR(IF(LEN(PriceCalculator!$C$129)&gt;0,PriceCalculator!$C$129,""),"")</f>
        <v/>
      </c>
      <c r="IQ7" s="38" t="str">
        <f>IFERROR(IF(LEN(PriceCalculator!$D$129)&gt;0,PriceCalculator!$D$129,""),"")</f>
        <v/>
      </c>
      <c r="IR7" s="38" t="str">
        <f>IFERROR(IF(LEN(PriceCalculator!$E$129)&gt;0,PriceCalculator!$E$129,""),"")</f>
        <v/>
      </c>
      <c r="IS7" s="38" t="str">
        <f>IFERROR(IF(LEN(PriceCalculator!$F$129)&gt;0,PriceCalculator!$F$129,""),"")</f>
        <v/>
      </c>
      <c r="IT7" s="38" t="str">
        <f>IFERROR(IF(LEN(PriceCalculator!$C$130)&gt;0,PriceCalculator!$C$130,""),"")</f>
        <v/>
      </c>
      <c r="IU7" s="38" t="str">
        <f>IFERROR(IF(LEN(PriceCalculator!$D$130)&gt;0,PriceCalculator!$D$130,""),"")</f>
        <v/>
      </c>
      <c r="IV7" s="38" t="str">
        <f>IFERROR(IF(LEN(PriceCalculator!$E$130)&gt;0,PriceCalculator!$E$130,""),"")</f>
        <v/>
      </c>
      <c r="IW7" s="38" t="str">
        <f>IFERROR(IF(LEN(PriceCalculator!$F$130)&gt;0,PriceCalculator!$F$130,""),"")</f>
        <v/>
      </c>
      <c r="IX7" s="38" t="str">
        <f>IFERROR(IF(LEN(PriceCalculator!$C$131)&gt;0,PriceCalculator!$C$131,""),"")</f>
        <v/>
      </c>
      <c r="IY7" s="38" t="str">
        <f>IFERROR(IF(LEN(PriceCalculator!$D$131)&gt;0,PriceCalculator!$D$131,""),"")</f>
        <v/>
      </c>
      <c r="IZ7" s="38" t="str">
        <f>IFERROR(IF(LEN(PriceCalculator!$E$131)&gt;0,PriceCalculator!$E$131,""),"")</f>
        <v/>
      </c>
      <c r="JA7" s="38" t="str">
        <f>IFERROR(IF(LEN(PriceCalculator!$F$131)&gt;0,PriceCalculator!$F$131,""),"")</f>
        <v/>
      </c>
      <c r="JB7" s="38" t="str">
        <f>IFERROR(IF(LEN(PriceCalculator!$C$132)&gt;0,PriceCalculator!$C$132,""),"")</f>
        <v/>
      </c>
      <c r="JC7" s="38" t="str">
        <f>IFERROR(IF(LEN(PriceCalculator!$D$132)&gt;0,PriceCalculator!$D$132,""),"")</f>
        <v/>
      </c>
      <c r="JD7" s="38" t="str">
        <f>IFERROR(IF(LEN(PriceCalculator!$E$132)&gt;0,PriceCalculator!$E$132,""),"")</f>
        <v/>
      </c>
      <c r="JE7" s="38" t="str">
        <f>IFERROR(IF(LEN(PriceCalculator!$F$132)&gt;0,PriceCalculator!$F$132,""),"")</f>
        <v/>
      </c>
      <c r="JF7" s="38" t="str">
        <f>IFERROR(IF(LEN(PriceCalculator!$C$133)&gt;0,PriceCalculator!$C$133,""),"")</f>
        <v/>
      </c>
      <c r="JG7" s="38" t="str">
        <f>IFERROR(IF(LEN(PriceCalculator!$D$133)&gt;0,PriceCalculator!$D$133,""),"")</f>
        <v/>
      </c>
      <c r="JH7" s="38" t="str">
        <f>IFERROR(IF(LEN(PriceCalculator!$E$133)&gt;0,PriceCalculator!$E$133,""),"")</f>
        <v/>
      </c>
      <c r="JI7" s="38" t="str">
        <f>IFERROR(IF(LEN(PriceCalculator!$F$133)&gt;0,PriceCalculator!$F$133,""),"")</f>
        <v/>
      </c>
      <c r="JJ7" s="38" t="str">
        <f>IFERROR(IF(LEN(PriceCalculator!$C$134)&gt;0,PriceCalculator!$C$134,""),"")</f>
        <v/>
      </c>
      <c r="JK7" s="38" t="str">
        <f>IFERROR(IF(LEN(PriceCalculator!$D$134)&gt;0,PriceCalculator!$D$134,""),"")</f>
        <v/>
      </c>
      <c r="JL7" s="38" t="str">
        <f>IFERROR(IF(LEN(PriceCalculator!$E$134)&gt;0,PriceCalculator!$E$134,""),"")</f>
        <v/>
      </c>
      <c r="JM7" s="38" t="str">
        <f>IFERROR(IF(LEN(PriceCalculator!$F$134)&gt;0,PriceCalculator!$F$134,""),"")</f>
        <v/>
      </c>
      <c r="JN7" s="38" t="str">
        <f>IFERROR(IF(LEN(PriceCalculator!$C$135)&gt;0,PriceCalculator!$C$135,""),"")</f>
        <v/>
      </c>
      <c r="JO7" s="38" t="str">
        <f>IFERROR(IF(LEN(PriceCalculator!$D$135)&gt;0,PriceCalculator!$D$135,""),"")</f>
        <v/>
      </c>
      <c r="JP7" s="38" t="str">
        <f>IFERROR(IF(LEN(PriceCalculator!$E$135)&gt;0,PriceCalculator!$E$135,""),"")</f>
        <v/>
      </c>
      <c r="JQ7" s="38" t="str">
        <f>IFERROR(IF(LEN(PriceCalculator!$F$135)&gt;0,PriceCalculator!$F$135,""),"")</f>
        <v/>
      </c>
      <c r="JR7" s="38" t="str">
        <f>IFERROR(IF(LEN(PriceCalculator!$C$136)&gt;0,PriceCalculator!$C$136,""),"")</f>
        <v/>
      </c>
      <c r="JS7" s="38" t="str">
        <f>IFERROR(IF(LEN(PriceCalculator!$D$136)&gt;0,PriceCalculator!$D$136,""),"")</f>
        <v/>
      </c>
      <c r="JT7" s="38" t="str">
        <f>IFERROR(IF(LEN(PriceCalculator!$E$136)&gt;0,PriceCalculator!$E$136,""),"")</f>
        <v/>
      </c>
      <c r="JU7" s="38" t="str">
        <f>IFERROR(IF(LEN(PriceCalculator!$F$136)&gt;0,PriceCalculator!$F$136,""),"")</f>
        <v/>
      </c>
      <c r="JV7" s="38" t="str">
        <f>IFERROR(IF(LEN(PriceCalculator!$C$137)&gt;0,PriceCalculator!$C$137,""),"")</f>
        <v/>
      </c>
      <c r="JW7" s="38" t="str">
        <f>IFERROR(IF(LEN(PriceCalculator!$D$137)&gt;0,PriceCalculator!$D$137,""),"")</f>
        <v/>
      </c>
      <c r="JX7" s="38" t="str">
        <f>IFERROR(IF(LEN(PriceCalculator!$E$137)&gt;0,PriceCalculator!$E$137,""),"")</f>
        <v/>
      </c>
      <c r="JY7" s="38" t="str">
        <f>IFERROR(IF(LEN(PriceCalculator!$F$137)&gt;0,PriceCalculator!$F$137,""),"")</f>
        <v/>
      </c>
      <c r="JZ7" s="38" t="str">
        <f>IFERROR(IF(LEN(PriceCalculator!$C$138)&gt;0,PriceCalculator!$C$138,""),"")</f>
        <v/>
      </c>
      <c r="KA7" s="38" t="str">
        <f>IFERROR(IF(LEN(PriceCalculator!$D$138)&gt;0,PriceCalculator!$D$138,""),"")</f>
        <v/>
      </c>
      <c r="KB7" s="38" t="str">
        <f>IFERROR(IF(LEN(PriceCalculator!$E$138)&gt;0,PriceCalculator!$E$138,""),"")</f>
        <v/>
      </c>
      <c r="KC7" s="38" t="str">
        <f>IFERROR(IF(LEN(PriceCalculator!$F$138)&gt;0,PriceCalculator!$F$138,""),"")</f>
        <v/>
      </c>
      <c r="KD7" s="38" t="str">
        <f>IFERROR(IF(LEN(PriceCalculator!$C$139)&gt;0,PriceCalculator!$C$139,""),"")</f>
        <v/>
      </c>
      <c r="KE7" s="38" t="str">
        <f>IFERROR(IF(LEN(PriceCalculator!$D$139)&gt;0,PriceCalculator!$D$139,""),"")</f>
        <v/>
      </c>
      <c r="KF7" s="38" t="str">
        <f>IFERROR(IF(LEN(PriceCalculator!$E$139)&gt;0,PriceCalculator!$E$139,""),"")</f>
        <v/>
      </c>
      <c r="KG7" s="38" t="str">
        <f>IFERROR(IF(LEN(PriceCalculator!$F$139)&gt;0,PriceCalculator!$F$139,""),"")</f>
        <v/>
      </c>
      <c r="KH7" s="38" t="str">
        <f>IFERROR(IF(LEN(PriceCalculator!$C$140)&gt;0,PriceCalculator!$C$140,""),"")</f>
        <v/>
      </c>
      <c r="KI7" s="38" t="str">
        <f>IFERROR(IF(LEN(PriceCalculator!$D$140)&gt;0,PriceCalculator!$D$140,""),"")</f>
        <v/>
      </c>
      <c r="KJ7" s="38" t="str">
        <f>IFERROR(IF(LEN(PriceCalculator!$E$140)&gt;0,PriceCalculator!$E$140,""),"")</f>
        <v/>
      </c>
      <c r="KK7" s="38" t="str">
        <f>IFERROR(IF(LEN(PriceCalculator!$F$140)&gt;0,PriceCalculator!$F$140,""),"")</f>
        <v/>
      </c>
      <c r="KL7" s="38" t="str">
        <f>IFERROR(IF(LEN(PriceCalculator!$C$141)&gt;0,PriceCalculator!$C$141,""),"")</f>
        <v/>
      </c>
      <c r="KM7" s="38" t="str">
        <f>IFERROR(IF(LEN(PriceCalculator!$D$141)&gt;0,PriceCalculator!$D$141,""),"")</f>
        <v/>
      </c>
      <c r="KN7" s="38" t="str">
        <f>IFERROR(IF(LEN(PriceCalculator!$E$141)&gt;0,PriceCalculator!$E$141,""),"")</f>
        <v/>
      </c>
      <c r="KO7" s="38" t="str">
        <f>IFERROR(IF(LEN(PriceCalculator!$F$141)&gt;0,PriceCalculator!$F$141,""),"")</f>
        <v/>
      </c>
      <c r="KP7" s="38" t="str">
        <f>IFERROR(IF(LEN(PriceCalculator!$C$142)&gt;0,PriceCalculator!$C$142,""),"")</f>
        <v/>
      </c>
      <c r="KQ7" s="38" t="str">
        <f>IFERROR(IF(LEN(PriceCalculator!$D$142)&gt;0,PriceCalculator!$D$142,""),"")</f>
        <v/>
      </c>
      <c r="KR7" s="38" t="str">
        <f>IFERROR(IF(LEN(PriceCalculator!$E$142)&gt;0,PriceCalculator!$E$142,""),"")</f>
        <v/>
      </c>
      <c r="KS7" s="38" t="str">
        <f>IFERROR(IF(LEN(PriceCalculator!$F$142)&gt;0,PriceCalculator!$F$142,""),"")</f>
        <v/>
      </c>
      <c r="KT7" s="38" t="str">
        <f>IFERROR(IF(LEN(PriceCalculator!$C$143)&gt;0,PriceCalculator!$C$143,""),"")</f>
        <v/>
      </c>
      <c r="KU7" s="38" t="str">
        <f>IFERROR(IF(LEN(PriceCalculator!$D$143)&gt;0,PriceCalculator!$D$143,""),"")</f>
        <v/>
      </c>
      <c r="KV7" s="38" t="str">
        <f>IFERROR(IF(LEN(PriceCalculator!$E$143)&gt;0,PriceCalculator!$E$143,""),"")</f>
        <v/>
      </c>
      <c r="KW7" s="38" t="str">
        <f>IFERROR(IF(LEN(PriceCalculator!$F$143)&gt;0,PriceCalculator!$F$143,""),"")</f>
        <v/>
      </c>
      <c r="KX7" s="38" t="str">
        <f>IFERROR(IF(LEN(PriceCalculator!$C$144)&gt;0,PriceCalculator!$C$144,""),"")</f>
        <v/>
      </c>
      <c r="KY7" s="38" t="str">
        <f>IFERROR(IF(LEN(PriceCalculator!$D$144)&gt;0,PriceCalculator!$D$144,""),"")</f>
        <v/>
      </c>
      <c r="KZ7" s="38" t="str">
        <f>IFERROR(IF(LEN(PriceCalculator!$E$144)&gt;0,PriceCalculator!$E$144,""),"")</f>
        <v/>
      </c>
      <c r="LA7" s="38" t="str">
        <f>IFERROR(IF(LEN(PriceCalculator!$F$144)&gt;0,PriceCalculator!$F$144,""),"")</f>
        <v/>
      </c>
      <c r="LB7" s="22"/>
      <c r="LC7" s="222" t="str">
        <f>IFERROR(IF(SUM(PriceCalculator!$G$38:$G$77)&gt;0,SUM(PriceCalculator!$G$38:$G$77),""),"")</f>
        <v/>
      </c>
      <c r="LD7" s="99" t="str">
        <f>IFERROR(IF(SUM(PriceCalculator!$G$82:$G$101)&gt;0,SUM(PriceCalculator!$G$82:$G$101),""),"")</f>
        <v/>
      </c>
      <c r="LE7" s="99" t="str">
        <f>IFERROR(IF(LEN(PriceCalculator!$G$106)&gt;0,PriceCalculator!$G$106,""),"")</f>
        <v/>
      </c>
      <c r="LF7" s="99" t="str">
        <f>IFERROR(IF(SUM(PriceCalculator!$G$115:$G$144)&gt;0,SUM(PriceCalculator!$G$115:$G$144),""),"")</f>
        <v/>
      </c>
      <c r="LG7" s="22"/>
      <c r="LH7" s="263" t="str">
        <f>IFERROR(IF(LEN(PriceCalculator!$D$15)&gt;0,PriceCalculator!$D$15,""),"")</f>
        <v/>
      </c>
      <c r="LI7" s="263" t="str">
        <f>IFERROR(IF($L$7=Calc!$C$15,PriceCalculator!$D$18,IF($L$7=Calc!$C$16,IF(LEN(PriceCalculator!$D$17)&gt;0,PriceCalculator!$D$17-PriceCalculator!$D$15,""),PriceCalculator!$D$15*PriceCalculator!$D$18/100)),"")</f>
        <v/>
      </c>
      <c r="LJ7" s="263" t="str">
        <f>IFERROR(IF(LEN(PriceCalculator!$D$22)&gt;0,PriceCalculator!$D$22,""),"")</f>
        <v/>
      </c>
      <c r="LK7" s="263" t="str">
        <f>IFERROR(IF(LEN(PriceCalculator!$D$26)&gt;0,PriceCalculator!$D$26,""),"")</f>
        <v/>
      </c>
      <c r="LL7" s="263" t="str">
        <f>IFERROR(IF(LEN(PriceCalculator!$D$29)&gt;0,PriceCalculator!$D$29,""),"")</f>
        <v/>
      </c>
      <c r="LM7" s="263" t="str">
        <f>IFERROR(IF(LEN(PriceCalculator!$D$33)&gt;0,PriceCalculator!$D$33,""),"")</f>
        <v/>
      </c>
      <c r="LN7" s="21"/>
      <c r="LO7" s="14"/>
    </row>
    <row r="8" spans="1:331" ht="20.100000000000001" customHeight="1" thickBot="1" x14ac:dyDescent="0.35">
      <c r="A8" s="14"/>
      <c r="B8" s="74"/>
      <c r="C8" s="73"/>
      <c r="D8" s="14"/>
      <c r="E8" s="19"/>
      <c r="F8" s="23"/>
      <c r="G8" s="22"/>
      <c r="H8" s="23"/>
      <c r="I8" s="23"/>
      <c r="J8" s="23"/>
      <c r="K8" s="23"/>
      <c r="L8" s="23"/>
      <c r="M8" s="104" t="s">
        <v>73</v>
      </c>
      <c r="N8" s="105"/>
      <c r="O8" s="106"/>
      <c r="P8" s="104" t="s">
        <v>74</v>
      </c>
      <c r="Q8" s="105"/>
      <c r="R8" s="106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1"/>
      <c r="CS8" s="42"/>
      <c r="CT8" s="41"/>
      <c r="CU8" s="434" t="s">
        <v>5</v>
      </c>
      <c r="CV8" s="434"/>
      <c r="CW8" s="434"/>
      <c r="CX8" s="434"/>
      <c r="CY8" s="434"/>
      <c r="CZ8" s="434"/>
      <c r="DA8" s="434"/>
      <c r="DB8" s="434"/>
      <c r="DC8" s="434"/>
      <c r="DD8" s="434"/>
      <c r="DE8" s="434"/>
      <c r="DF8" s="434"/>
      <c r="DG8" s="434"/>
      <c r="DH8" s="434"/>
      <c r="DI8" s="434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4"/>
      <c r="GM8" s="44"/>
      <c r="GN8" s="44"/>
      <c r="GO8" s="44"/>
      <c r="GP8" s="44"/>
      <c r="GQ8" s="44"/>
      <c r="GR8" s="44"/>
      <c r="GS8" s="44"/>
      <c r="GT8" s="44"/>
      <c r="GU8" s="44"/>
      <c r="GV8" s="44"/>
      <c r="GW8" s="44"/>
      <c r="GX8" s="44"/>
      <c r="GY8" s="44"/>
      <c r="GZ8" s="44"/>
      <c r="HA8" s="44"/>
      <c r="HB8" s="44"/>
      <c r="HC8" s="44"/>
      <c r="HD8" s="44"/>
      <c r="HE8" s="44"/>
      <c r="HF8" s="44"/>
      <c r="HG8" s="44"/>
      <c r="HH8" s="44"/>
      <c r="HI8" s="44"/>
      <c r="HJ8" s="44"/>
      <c r="HK8" s="44"/>
      <c r="HL8" s="44"/>
      <c r="HM8" s="44"/>
      <c r="HN8" s="44"/>
      <c r="HO8" s="44"/>
      <c r="HP8" s="44"/>
      <c r="HQ8" s="44"/>
      <c r="HR8" s="44"/>
      <c r="HS8" s="44"/>
      <c r="HT8" s="44"/>
      <c r="HU8" s="44"/>
      <c r="HV8" s="44"/>
      <c r="HW8" s="44"/>
      <c r="HX8" s="44"/>
      <c r="HY8" s="44"/>
      <c r="HZ8" s="44"/>
      <c r="IA8" s="44"/>
      <c r="IB8" s="44"/>
      <c r="IC8" s="44"/>
      <c r="ID8" s="44"/>
      <c r="IE8" s="44"/>
      <c r="IF8" s="44"/>
      <c r="IG8" s="44"/>
      <c r="IH8" s="44"/>
      <c r="II8" s="44"/>
      <c r="IJ8" s="44"/>
      <c r="IK8" s="44"/>
      <c r="IL8" s="44"/>
      <c r="IM8" s="44"/>
      <c r="IN8" s="44"/>
      <c r="IO8" s="44"/>
      <c r="IP8" s="44"/>
      <c r="IQ8" s="44"/>
      <c r="IR8" s="44"/>
      <c r="IS8" s="44"/>
      <c r="IT8" s="44"/>
      <c r="IU8" s="44"/>
      <c r="IV8" s="44"/>
      <c r="IW8" s="44"/>
      <c r="IX8" s="44"/>
      <c r="IY8" s="44"/>
      <c r="IZ8" s="44"/>
      <c r="JA8" s="44"/>
      <c r="JB8" s="44"/>
      <c r="JC8" s="44"/>
      <c r="JD8" s="44"/>
      <c r="JE8" s="44"/>
      <c r="JF8" s="44"/>
      <c r="JG8" s="44"/>
      <c r="JH8" s="44"/>
      <c r="JI8" s="44"/>
      <c r="JJ8" s="44"/>
      <c r="JK8" s="44"/>
      <c r="JL8" s="44"/>
      <c r="JM8" s="44"/>
      <c r="JN8" s="44"/>
      <c r="JO8" s="44"/>
      <c r="JP8" s="44"/>
      <c r="JQ8" s="44"/>
      <c r="JR8" s="44"/>
      <c r="JS8" s="44"/>
      <c r="JT8" s="44"/>
      <c r="JU8" s="44"/>
      <c r="JV8" s="44"/>
      <c r="JW8" s="44"/>
      <c r="JX8" s="44"/>
      <c r="JY8" s="44"/>
      <c r="JZ8" s="44"/>
      <c r="KA8" s="44"/>
      <c r="KB8" s="44"/>
      <c r="KC8" s="44"/>
      <c r="KD8" s="44"/>
      <c r="KE8" s="44"/>
      <c r="KF8" s="44"/>
      <c r="KG8" s="44"/>
      <c r="KH8" s="44"/>
      <c r="KI8" s="44"/>
      <c r="KJ8" s="44"/>
      <c r="KK8" s="44"/>
      <c r="KL8" s="44"/>
      <c r="KM8" s="44"/>
      <c r="KN8" s="44"/>
      <c r="KO8" s="44"/>
      <c r="KP8" s="44"/>
      <c r="KQ8" s="44"/>
      <c r="KR8" s="44"/>
      <c r="KS8" s="44"/>
      <c r="KT8" s="44"/>
      <c r="KU8" s="45"/>
      <c r="KV8" s="45"/>
      <c r="KW8" s="45"/>
      <c r="KX8" s="46"/>
      <c r="KY8" s="45"/>
      <c r="KZ8" s="45"/>
      <c r="LA8" s="45"/>
      <c r="LB8" s="22"/>
      <c r="LC8" s="102"/>
      <c r="LD8" s="102"/>
      <c r="LE8" s="102"/>
      <c r="LF8" s="102"/>
      <c r="LG8" s="22"/>
      <c r="LH8" s="102"/>
      <c r="LI8" s="102"/>
      <c r="LJ8" s="102"/>
      <c r="LK8" s="102"/>
      <c r="LL8" s="102"/>
      <c r="LM8" s="102"/>
      <c r="LN8" s="21"/>
      <c r="LO8" s="14"/>
    </row>
    <row r="9" spans="1:331" ht="20.100000000000001" customHeight="1" x14ac:dyDescent="0.25">
      <c r="A9" s="14"/>
      <c r="B9" s="14"/>
      <c r="C9" s="14"/>
      <c r="D9" s="14"/>
      <c r="E9" s="19"/>
      <c r="F9" s="24"/>
      <c r="G9" s="20" t="s">
        <v>70</v>
      </c>
      <c r="H9" s="64" t="s">
        <v>29</v>
      </c>
      <c r="I9" s="64" t="s">
        <v>71</v>
      </c>
      <c r="J9" s="64" t="s">
        <v>34</v>
      </c>
      <c r="K9" s="64" t="s">
        <v>57</v>
      </c>
      <c r="L9" s="47" t="s">
        <v>67</v>
      </c>
      <c r="M9" s="65" t="s">
        <v>294</v>
      </c>
      <c r="N9" s="65" t="s">
        <v>68</v>
      </c>
      <c r="O9" s="65" t="s">
        <v>69</v>
      </c>
      <c r="P9" s="65" t="s">
        <v>294</v>
      </c>
      <c r="Q9" s="65" t="s">
        <v>68</v>
      </c>
      <c r="R9" s="65" t="s">
        <v>69</v>
      </c>
      <c r="S9" s="29" t="s">
        <v>36</v>
      </c>
      <c r="T9" s="29" t="s">
        <v>2</v>
      </c>
      <c r="U9" s="29" t="s">
        <v>37</v>
      </c>
      <c r="V9" s="29" t="s">
        <v>2</v>
      </c>
      <c r="W9" s="29" t="s">
        <v>38</v>
      </c>
      <c r="X9" s="29" t="s">
        <v>2</v>
      </c>
      <c r="Y9" s="29" t="s">
        <v>39</v>
      </c>
      <c r="Z9" s="29" t="s">
        <v>2</v>
      </c>
      <c r="AA9" s="29" t="s">
        <v>40</v>
      </c>
      <c r="AB9" s="29" t="s">
        <v>2</v>
      </c>
      <c r="AC9" s="29" t="s">
        <v>41</v>
      </c>
      <c r="AD9" s="29" t="s">
        <v>2</v>
      </c>
      <c r="AE9" s="29" t="s">
        <v>42</v>
      </c>
      <c r="AF9" s="29" t="s">
        <v>2</v>
      </c>
      <c r="AG9" s="29" t="s">
        <v>43</v>
      </c>
      <c r="AH9" s="29" t="s">
        <v>2</v>
      </c>
      <c r="AI9" s="29" t="s">
        <v>44</v>
      </c>
      <c r="AJ9" s="29" t="s">
        <v>2</v>
      </c>
      <c r="AK9" s="29" t="s">
        <v>45</v>
      </c>
      <c r="AL9" s="29" t="s">
        <v>2</v>
      </c>
      <c r="AM9" s="29" t="s">
        <v>75</v>
      </c>
      <c r="AN9" s="29" t="s">
        <v>2</v>
      </c>
      <c r="AO9" s="29" t="s">
        <v>76</v>
      </c>
      <c r="AP9" s="29" t="s">
        <v>2</v>
      </c>
      <c r="AQ9" s="29" t="s">
        <v>77</v>
      </c>
      <c r="AR9" s="29" t="s">
        <v>2</v>
      </c>
      <c r="AS9" s="29" t="s">
        <v>78</v>
      </c>
      <c r="AT9" s="29" t="s">
        <v>2</v>
      </c>
      <c r="AU9" s="29" t="s">
        <v>79</v>
      </c>
      <c r="AV9" s="29" t="s">
        <v>2</v>
      </c>
      <c r="AW9" s="29" t="s">
        <v>80</v>
      </c>
      <c r="AX9" s="29" t="s">
        <v>2</v>
      </c>
      <c r="AY9" s="29" t="s">
        <v>81</v>
      </c>
      <c r="AZ9" s="29" t="s">
        <v>2</v>
      </c>
      <c r="BA9" s="29" t="s">
        <v>82</v>
      </c>
      <c r="BB9" s="29" t="s">
        <v>2</v>
      </c>
      <c r="BC9" s="29" t="s">
        <v>83</v>
      </c>
      <c r="BD9" s="29" t="s">
        <v>2</v>
      </c>
      <c r="BE9" s="29" t="s">
        <v>84</v>
      </c>
      <c r="BF9" s="29" t="s">
        <v>2</v>
      </c>
      <c r="BG9" s="29" t="s">
        <v>85</v>
      </c>
      <c r="BH9" s="29" t="s">
        <v>2</v>
      </c>
      <c r="BI9" s="29" t="s">
        <v>86</v>
      </c>
      <c r="BJ9" s="29" t="s">
        <v>2</v>
      </c>
      <c r="BK9" s="29" t="s">
        <v>87</v>
      </c>
      <c r="BL9" s="29" t="s">
        <v>2</v>
      </c>
      <c r="BM9" s="29" t="s">
        <v>88</v>
      </c>
      <c r="BN9" s="29" t="s">
        <v>2</v>
      </c>
      <c r="BO9" s="29" t="s">
        <v>89</v>
      </c>
      <c r="BP9" s="29" t="s">
        <v>2</v>
      </c>
      <c r="BQ9" s="29" t="s">
        <v>90</v>
      </c>
      <c r="BR9" s="29" t="s">
        <v>2</v>
      </c>
      <c r="BS9" s="29" t="s">
        <v>91</v>
      </c>
      <c r="BT9" s="29" t="s">
        <v>2</v>
      </c>
      <c r="BU9" s="29" t="s">
        <v>92</v>
      </c>
      <c r="BV9" s="29" t="s">
        <v>2</v>
      </c>
      <c r="BW9" s="29" t="s">
        <v>93</v>
      </c>
      <c r="BX9" s="29" t="s">
        <v>2</v>
      </c>
      <c r="BY9" s="29" t="s">
        <v>94</v>
      </c>
      <c r="BZ9" s="29" t="s">
        <v>2</v>
      </c>
      <c r="CA9" s="29" t="s">
        <v>95</v>
      </c>
      <c r="CB9" s="29" t="s">
        <v>2</v>
      </c>
      <c r="CC9" s="29" t="s">
        <v>96</v>
      </c>
      <c r="CD9" s="29" t="s">
        <v>2</v>
      </c>
      <c r="CE9" s="29" t="s">
        <v>97</v>
      </c>
      <c r="CF9" s="29" t="s">
        <v>2</v>
      </c>
      <c r="CG9" s="29" t="s">
        <v>98</v>
      </c>
      <c r="CH9" s="29" t="s">
        <v>2</v>
      </c>
      <c r="CI9" s="29" t="s">
        <v>99</v>
      </c>
      <c r="CJ9" s="29" t="s">
        <v>2</v>
      </c>
      <c r="CK9" s="29" t="s">
        <v>100</v>
      </c>
      <c r="CL9" s="29" t="s">
        <v>2</v>
      </c>
      <c r="CM9" s="29" t="s">
        <v>101</v>
      </c>
      <c r="CN9" s="29" t="s">
        <v>2</v>
      </c>
      <c r="CO9" s="29" t="s">
        <v>102</v>
      </c>
      <c r="CP9" s="29" t="s">
        <v>2</v>
      </c>
      <c r="CQ9" s="29" t="s">
        <v>103</v>
      </c>
      <c r="CR9" s="29" t="s">
        <v>2</v>
      </c>
      <c r="CS9" s="29" t="s">
        <v>104</v>
      </c>
      <c r="CT9" s="29" t="s">
        <v>2</v>
      </c>
      <c r="CU9" s="70" t="s">
        <v>165</v>
      </c>
      <c r="CV9" s="70" t="s">
        <v>166</v>
      </c>
      <c r="CW9" s="70" t="s">
        <v>167</v>
      </c>
      <c r="CX9" s="70" t="s">
        <v>177</v>
      </c>
      <c r="CY9" s="70" t="s">
        <v>178</v>
      </c>
      <c r="CZ9" s="70" t="s">
        <v>179</v>
      </c>
      <c r="DA9" s="70" t="s">
        <v>174</v>
      </c>
      <c r="DB9" s="70" t="s">
        <v>175</v>
      </c>
      <c r="DC9" s="70" t="s">
        <v>176</v>
      </c>
      <c r="DD9" s="70" t="s">
        <v>172</v>
      </c>
      <c r="DE9" s="70" t="s">
        <v>173</v>
      </c>
      <c r="DF9" s="70" t="s">
        <v>168</v>
      </c>
      <c r="DG9" s="70" t="s">
        <v>169</v>
      </c>
      <c r="DH9" s="70" t="s">
        <v>170</v>
      </c>
      <c r="DI9" s="70" t="s">
        <v>171</v>
      </c>
      <c r="DJ9" s="29" t="s">
        <v>46</v>
      </c>
      <c r="DK9" s="29" t="s">
        <v>2</v>
      </c>
      <c r="DL9" s="29" t="s">
        <v>3</v>
      </c>
      <c r="DM9" s="29" t="s">
        <v>180</v>
      </c>
      <c r="DN9" s="29" t="s">
        <v>47</v>
      </c>
      <c r="DO9" s="29" t="s">
        <v>2</v>
      </c>
      <c r="DP9" s="29" t="s">
        <v>3</v>
      </c>
      <c r="DQ9" s="29" t="s">
        <v>180</v>
      </c>
      <c r="DR9" s="29" t="s">
        <v>49</v>
      </c>
      <c r="DS9" s="29" t="s">
        <v>2</v>
      </c>
      <c r="DT9" s="29" t="s">
        <v>3</v>
      </c>
      <c r="DU9" s="29" t="s">
        <v>180</v>
      </c>
      <c r="DV9" s="29" t="s">
        <v>51</v>
      </c>
      <c r="DW9" s="29" t="s">
        <v>2</v>
      </c>
      <c r="DX9" s="29" t="s">
        <v>3</v>
      </c>
      <c r="DY9" s="29" t="s">
        <v>180</v>
      </c>
      <c r="DZ9" s="29" t="s">
        <v>53</v>
      </c>
      <c r="EA9" s="29" t="s">
        <v>2</v>
      </c>
      <c r="EB9" s="29" t="s">
        <v>3</v>
      </c>
      <c r="EC9" s="29" t="s">
        <v>180</v>
      </c>
      <c r="ED9" s="29" t="s">
        <v>55</v>
      </c>
      <c r="EE9" s="29" t="s">
        <v>2</v>
      </c>
      <c r="EF9" s="29" t="s">
        <v>3</v>
      </c>
      <c r="EG9" s="29" t="s">
        <v>180</v>
      </c>
      <c r="EH9" s="29" t="s">
        <v>112</v>
      </c>
      <c r="EI9" s="29" t="s">
        <v>2</v>
      </c>
      <c r="EJ9" s="29" t="s">
        <v>3</v>
      </c>
      <c r="EK9" s="29" t="s">
        <v>180</v>
      </c>
      <c r="EL9" s="29" t="s">
        <v>114</v>
      </c>
      <c r="EM9" s="29" t="s">
        <v>2</v>
      </c>
      <c r="EN9" s="29" t="s">
        <v>3</v>
      </c>
      <c r="EO9" s="29" t="s">
        <v>180</v>
      </c>
      <c r="EP9" s="29" t="s">
        <v>109</v>
      </c>
      <c r="EQ9" s="29" t="s">
        <v>2</v>
      </c>
      <c r="ER9" s="29" t="s">
        <v>3</v>
      </c>
      <c r="ES9" s="29" t="s">
        <v>180</v>
      </c>
      <c r="ET9" s="29" t="s">
        <v>107</v>
      </c>
      <c r="EU9" s="29" t="s">
        <v>2</v>
      </c>
      <c r="EV9" s="29" t="s">
        <v>3</v>
      </c>
      <c r="EW9" s="29" t="s">
        <v>180</v>
      </c>
      <c r="EX9" s="29" t="s">
        <v>111</v>
      </c>
      <c r="EY9" s="29" t="s">
        <v>2</v>
      </c>
      <c r="EZ9" s="29" t="s">
        <v>3</v>
      </c>
      <c r="FA9" s="29" t="s">
        <v>180</v>
      </c>
      <c r="FB9" s="29" t="s">
        <v>112</v>
      </c>
      <c r="FC9" s="29" t="s">
        <v>2</v>
      </c>
      <c r="FD9" s="29" t="s">
        <v>3</v>
      </c>
      <c r="FE9" s="29" t="s">
        <v>180</v>
      </c>
      <c r="FF9" s="29" t="s">
        <v>113</v>
      </c>
      <c r="FG9" s="29" t="s">
        <v>2</v>
      </c>
      <c r="FH9" s="29" t="s">
        <v>3</v>
      </c>
      <c r="FI9" s="29" t="s">
        <v>180</v>
      </c>
      <c r="FJ9" s="29" t="s">
        <v>114</v>
      </c>
      <c r="FK9" s="29" t="s">
        <v>2</v>
      </c>
      <c r="FL9" s="29" t="s">
        <v>3</v>
      </c>
      <c r="FM9" s="29" t="s">
        <v>180</v>
      </c>
      <c r="FN9" s="29" t="s">
        <v>110</v>
      </c>
      <c r="FO9" s="29" t="s">
        <v>2</v>
      </c>
      <c r="FP9" s="29" t="s">
        <v>3</v>
      </c>
      <c r="FQ9" s="29" t="s">
        <v>180</v>
      </c>
      <c r="FR9" s="29" t="s">
        <v>109</v>
      </c>
      <c r="FS9" s="29" t="s">
        <v>2</v>
      </c>
      <c r="FT9" s="29" t="s">
        <v>3</v>
      </c>
      <c r="FU9" s="29" t="s">
        <v>180</v>
      </c>
      <c r="FV9" s="29" t="s">
        <v>108</v>
      </c>
      <c r="FW9" s="29" t="s">
        <v>2</v>
      </c>
      <c r="FX9" s="29" t="s">
        <v>3</v>
      </c>
      <c r="FY9" s="29" t="s">
        <v>180</v>
      </c>
      <c r="FZ9" s="29" t="s">
        <v>107</v>
      </c>
      <c r="GA9" s="29" t="s">
        <v>2</v>
      </c>
      <c r="GB9" s="29" t="s">
        <v>3</v>
      </c>
      <c r="GC9" s="29" t="s">
        <v>180</v>
      </c>
      <c r="GD9" s="29" t="s">
        <v>106</v>
      </c>
      <c r="GE9" s="29" t="s">
        <v>2</v>
      </c>
      <c r="GF9" s="29" t="s">
        <v>3</v>
      </c>
      <c r="GG9" s="29" t="s">
        <v>180</v>
      </c>
      <c r="GH9" s="29" t="s">
        <v>105</v>
      </c>
      <c r="GI9" s="29" t="s">
        <v>2</v>
      </c>
      <c r="GJ9" s="29" t="s">
        <v>3</v>
      </c>
      <c r="GK9" s="29" t="s">
        <v>180</v>
      </c>
      <c r="GL9" s="70" t="s">
        <v>56</v>
      </c>
      <c r="GM9" s="70" t="s">
        <v>2</v>
      </c>
      <c r="GN9" s="70" t="s">
        <v>3</v>
      </c>
      <c r="GO9" s="70" t="s">
        <v>180</v>
      </c>
      <c r="GP9" s="29" t="s">
        <v>115</v>
      </c>
      <c r="GQ9" s="29" t="s">
        <v>2</v>
      </c>
      <c r="GR9" s="70" t="s">
        <v>3</v>
      </c>
      <c r="GS9" s="70" t="s">
        <v>180</v>
      </c>
      <c r="GT9" s="29" t="s">
        <v>116</v>
      </c>
      <c r="GU9" s="29" t="s">
        <v>2</v>
      </c>
      <c r="GV9" s="70" t="s">
        <v>3</v>
      </c>
      <c r="GW9" s="70" t="s">
        <v>180</v>
      </c>
      <c r="GX9" s="29" t="s">
        <v>117</v>
      </c>
      <c r="GY9" s="29" t="s">
        <v>2</v>
      </c>
      <c r="GZ9" s="70" t="s">
        <v>3</v>
      </c>
      <c r="HA9" s="70" t="s">
        <v>180</v>
      </c>
      <c r="HB9" s="29" t="s">
        <v>118</v>
      </c>
      <c r="HC9" s="29" t="s">
        <v>2</v>
      </c>
      <c r="HD9" s="70" t="s">
        <v>3</v>
      </c>
      <c r="HE9" s="70" t="s">
        <v>180</v>
      </c>
      <c r="HF9" s="29" t="s">
        <v>119</v>
      </c>
      <c r="HG9" s="29" t="s">
        <v>2</v>
      </c>
      <c r="HH9" s="70" t="s">
        <v>3</v>
      </c>
      <c r="HI9" s="70" t="s">
        <v>180</v>
      </c>
      <c r="HJ9" s="29" t="s">
        <v>120</v>
      </c>
      <c r="HK9" s="29" t="s">
        <v>2</v>
      </c>
      <c r="HL9" s="70" t="s">
        <v>3</v>
      </c>
      <c r="HM9" s="70" t="s">
        <v>180</v>
      </c>
      <c r="HN9" s="29" t="s">
        <v>121</v>
      </c>
      <c r="HO9" s="29" t="s">
        <v>2</v>
      </c>
      <c r="HP9" s="70" t="s">
        <v>3</v>
      </c>
      <c r="HQ9" s="70" t="s">
        <v>180</v>
      </c>
      <c r="HR9" s="29" t="s">
        <v>122</v>
      </c>
      <c r="HS9" s="29" t="s">
        <v>2</v>
      </c>
      <c r="HT9" s="70" t="s">
        <v>3</v>
      </c>
      <c r="HU9" s="70" t="s">
        <v>180</v>
      </c>
      <c r="HV9" s="29" t="s">
        <v>123</v>
      </c>
      <c r="HW9" s="29" t="s">
        <v>2</v>
      </c>
      <c r="HX9" s="70" t="s">
        <v>3</v>
      </c>
      <c r="HY9" s="70" t="s">
        <v>180</v>
      </c>
      <c r="HZ9" s="29" t="s">
        <v>124</v>
      </c>
      <c r="IA9" s="29" t="s">
        <v>2</v>
      </c>
      <c r="IB9" s="70" t="s">
        <v>3</v>
      </c>
      <c r="IC9" s="70" t="s">
        <v>180</v>
      </c>
      <c r="ID9" s="29" t="s">
        <v>125</v>
      </c>
      <c r="IE9" s="29" t="s">
        <v>2</v>
      </c>
      <c r="IF9" s="70" t="s">
        <v>3</v>
      </c>
      <c r="IG9" s="70" t="s">
        <v>180</v>
      </c>
      <c r="IH9" s="29" t="s">
        <v>126</v>
      </c>
      <c r="II9" s="29" t="s">
        <v>2</v>
      </c>
      <c r="IJ9" s="29" t="s">
        <v>3</v>
      </c>
      <c r="IK9" s="29" t="s">
        <v>180</v>
      </c>
      <c r="IL9" s="29" t="s">
        <v>127</v>
      </c>
      <c r="IM9" s="29" t="s">
        <v>2</v>
      </c>
      <c r="IN9" s="29" t="s">
        <v>3</v>
      </c>
      <c r="IO9" s="29" t="s">
        <v>180</v>
      </c>
      <c r="IP9" s="29" t="s">
        <v>128</v>
      </c>
      <c r="IQ9" s="29" t="s">
        <v>2</v>
      </c>
      <c r="IR9" s="70" t="s">
        <v>3</v>
      </c>
      <c r="IS9" s="70" t="s">
        <v>180</v>
      </c>
      <c r="IT9" s="29" t="s">
        <v>129</v>
      </c>
      <c r="IU9" s="29" t="s">
        <v>2</v>
      </c>
      <c r="IV9" s="70" t="s">
        <v>3</v>
      </c>
      <c r="IW9" s="70" t="s">
        <v>180</v>
      </c>
      <c r="IX9" s="29" t="s">
        <v>130</v>
      </c>
      <c r="IY9" s="29" t="s">
        <v>2</v>
      </c>
      <c r="IZ9" s="70" t="s">
        <v>3</v>
      </c>
      <c r="JA9" s="70" t="s">
        <v>180</v>
      </c>
      <c r="JB9" s="29" t="s">
        <v>131</v>
      </c>
      <c r="JC9" s="29" t="s">
        <v>2</v>
      </c>
      <c r="JD9" s="70" t="s">
        <v>3</v>
      </c>
      <c r="JE9" s="70" t="s">
        <v>180</v>
      </c>
      <c r="JF9" s="29" t="s">
        <v>132</v>
      </c>
      <c r="JG9" s="29" t="s">
        <v>2</v>
      </c>
      <c r="JH9" s="70" t="s">
        <v>3</v>
      </c>
      <c r="JI9" s="70" t="s">
        <v>180</v>
      </c>
      <c r="JJ9" s="29" t="s">
        <v>133</v>
      </c>
      <c r="JK9" s="29" t="s">
        <v>2</v>
      </c>
      <c r="JL9" s="70" t="s">
        <v>3</v>
      </c>
      <c r="JM9" s="70" t="s">
        <v>180</v>
      </c>
      <c r="JN9" s="29" t="s">
        <v>134</v>
      </c>
      <c r="JO9" s="29" t="s">
        <v>2</v>
      </c>
      <c r="JP9" s="70" t="s">
        <v>3</v>
      </c>
      <c r="JQ9" s="70" t="s">
        <v>180</v>
      </c>
      <c r="JR9" s="29" t="s">
        <v>135</v>
      </c>
      <c r="JS9" s="29" t="s">
        <v>2</v>
      </c>
      <c r="JT9" s="70" t="s">
        <v>3</v>
      </c>
      <c r="JU9" s="70" t="s">
        <v>180</v>
      </c>
      <c r="JV9" s="29" t="s">
        <v>136</v>
      </c>
      <c r="JW9" s="29" t="s">
        <v>2</v>
      </c>
      <c r="JX9" s="70" t="s">
        <v>3</v>
      </c>
      <c r="JY9" s="70" t="s">
        <v>180</v>
      </c>
      <c r="JZ9" s="29" t="s">
        <v>137</v>
      </c>
      <c r="KA9" s="29" t="s">
        <v>2</v>
      </c>
      <c r="KB9" s="70" t="s">
        <v>3</v>
      </c>
      <c r="KC9" s="70" t="s">
        <v>180</v>
      </c>
      <c r="KD9" s="29" t="s">
        <v>138</v>
      </c>
      <c r="KE9" s="29" t="s">
        <v>2</v>
      </c>
      <c r="KF9" s="29" t="s">
        <v>3</v>
      </c>
      <c r="KG9" s="29" t="s">
        <v>180</v>
      </c>
      <c r="KH9" s="29" t="s">
        <v>139</v>
      </c>
      <c r="KI9" s="29" t="s">
        <v>2</v>
      </c>
      <c r="KJ9" s="29" t="s">
        <v>3</v>
      </c>
      <c r="KK9" s="29" t="s">
        <v>180</v>
      </c>
      <c r="KL9" s="29" t="s">
        <v>140</v>
      </c>
      <c r="KM9" s="29" t="s">
        <v>2</v>
      </c>
      <c r="KN9" s="29" t="s">
        <v>3</v>
      </c>
      <c r="KO9" s="29" t="s">
        <v>180</v>
      </c>
      <c r="KP9" s="29" t="s">
        <v>141</v>
      </c>
      <c r="KQ9" s="29" t="s">
        <v>2</v>
      </c>
      <c r="KR9" s="29" t="s">
        <v>3</v>
      </c>
      <c r="KS9" s="29" t="s">
        <v>180</v>
      </c>
      <c r="KT9" s="29" t="s">
        <v>142</v>
      </c>
      <c r="KU9" s="29" t="s">
        <v>2</v>
      </c>
      <c r="KV9" s="70" t="s">
        <v>3</v>
      </c>
      <c r="KW9" s="70" t="s">
        <v>180</v>
      </c>
      <c r="KX9" s="29" t="s">
        <v>143</v>
      </c>
      <c r="KY9" s="29" t="s">
        <v>2</v>
      </c>
      <c r="KZ9" s="70" t="s">
        <v>3</v>
      </c>
      <c r="LA9" s="70" t="s">
        <v>180</v>
      </c>
      <c r="LB9" s="32"/>
      <c r="LC9" s="63" t="s">
        <v>151</v>
      </c>
      <c r="LD9" s="63" t="s">
        <v>152</v>
      </c>
      <c r="LE9" s="63" t="s">
        <v>153</v>
      </c>
      <c r="LF9" s="63" t="s">
        <v>150</v>
      </c>
      <c r="LG9" s="63"/>
      <c r="LH9" s="63" t="s">
        <v>236</v>
      </c>
      <c r="LI9" s="63" t="s">
        <v>237</v>
      </c>
      <c r="LJ9" s="63" t="s">
        <v>238</v>
      </c>
      <c r="LK9" s="63" t="s">
        <v>239</v>
      </c>
      <c r="LL9" s="63" t="s">
        <v>240</v>
      </c>
      <c r="LM9" s="63" t="s">
        <v>241</v>
      </c>
      <c r="LN9" s="21"/>
      <c r="LO9" s="31"/>
      <c r="LQ9" s="31"/>
      <c r="LS9" s="31"/>
    </row>
    <row r="10" spans="1:331" ht="20.100000000000001" customHeight="1" x14ac:dyDescent="0.25">
      <c r="A10" s="14"/>
      <c r="B10" s="14"/>
      <c r="C10" s="14"/>
      <c r="D10" s="14"/>
      <c r="E10" s="19"/>
      <c r="F10" s="33">
        <v>1</v>
      </c>
      <c r="G10" s="70" t="s">
        <v>266</v>
      </c>
      <c r="H10" s="208" t="s">
        <v>265</v>
      </c>
      <c r="I10" s="30">
        <v>1000</v>
      </c>
      <c r="J10" s="30" t="s">
        <v>6</v>
      </c>
      <c r="K10" s="30" t="s">
        <v>255</v>
      </c>
      <c r="L10" s="320" t="s">
        <v>291</v>
      </c>
      <c r="M10" s="30">
        <v>50</v>
      </c>
      <c r="N10" s="30">
        <v>10</v>
      </c>
      <c r="O10" s="30">
        <v>8</v>
      </c>
      <c r="P10" s="30">
        <v>40</v>
      </c>
      <c r="Q10" s="30">
        <v>12</v>
      </c>
      <c r="R10" s="30">
        <v>8</v>
      </c>
      <c r="S10" s="29" t="s">
        <v>257</v>
      </c>
      <c r="T10" s="30">
        <v>1</v>
      </c>
      <c r="U10" s="29" t="s">
        <v>260</v>
      </c>
      <c r="V10" s="30">
        <v>3</v>
      </c>
      <c r="W10" s="30" t="s">
        <v>235</v>
      </c>
      <c r="X10" s="30" t="s">
        <v>235</v>
      </c>
      <c r="Y10" s="30" t="s">
        <v>235</v>
      </c>
      <c r="Z10" s="30" t="s">
        <v>235</v>
      </c>
      <c r="AA10" s="30" t="s">
        <v>235</v>
      </c>
      <c r="AB10" s="30" t="s">
        <v>235</v>
      </c>
      <c r="AC10" s="30" t="s">
        <v>235</v>
      </c>
      <c r="AD10" s="30" t="s">
        <v>235</v>
      </c>
      <c r="AE10" s="30" t="s">
        <v>235</v>
      </c>
      <c r="AF10" s="30" t="s">
        <v>235</v>
      </c>
      <c r="AG10" s="30" t="s">
        <v>235</v>
      </c>
      <c r="AH10" s="30" t="s">
        <v>235</v>
      </c>
      <c r="AI10" s="30" t="s">
        <v>235</v>
      </c>
      <c r="AJ10" s="30" t="s">
        <v>235</v>
      </c>
      <c r="AK10" s="30" t="s">
        <v>235</v>
      </c>
      <c r="AL10" s="30" t="s">
        <v>235</v>
      </c>
      <c r="AM10" s="30" t="s">
        <v>235</v>
      </c>
      <c r="AN10" s="30" t="s">
        <v>235</v>
      </c>
      <c r="AO10" s="30" t="s">
        <v>235</v>
      </c>
      <c r="AP10" s="30" t="s">
        <v>235</v>
      </c>
      <c r="AQ10" s="30" t="s">
        <v>235</v>
      </c>
      <c r="AR10" s="30" t="s">
        <v>235</v>
      </c>
      <c r="AS10" s="30" t="s">
        <v>235</v>
      </c>
      <c r="AT10" s="30" t="s">
        <v>235</v>
      </c>
      <c r="AU10" s="30" t="s">
        <v>235</v>
      </c>
      <c r="AV10" s="30" t="s">
        <v>235</v>
      </c>
      <c r="AW10" s="30" t="s">
        <v>235</v>
      </c>
      <c r="AX10" s="30" t="s">
        <v>235</v>
      </c>
      <c r="AY10" s="30" t="s">
        <v>235</v>
      </c>
      <c r="AZ10" s="30" t="s">
        <v>235</v>
      </c>
      <c r="BA10" s="30" t="s">
        <v>235</v>
      </c>
      <c r="BB10" s="30" t="s">
        <v>235</v>
      </c>
      <c r="BC10" s="30" t="s">
        <v>235</v>
      </c>
      <c r="BD10" s="30" t="s">
        <v>235</v>
      </c>
      <c r="BE10" s="30" t="s">
        <v>235</v>
      </c>
      <c r="BF10" s="30" t="s">
        <v>235</v>
      </c>
      <c r="BG10" s="30" t="s">
        <v>235</v>
      </c>
      <c r="BH10" s="30" t="s">
        <v>235</v>
      </c>
      <c r="BI10" s="30" t="s">
        <v>235</v>
      </c>
      <c r="BJ10" s="30" t="s">
        <v>235</v>
      </c>
      <c r="BK10" s="30" t="s">
        <v>235</v>
      </c>
      <c r="BL10" s="30" t="s">
        <v>235</v>
      </c>
      <c r="BM10" s="30" t="s">
        <v>235</v>
      </c>
      <c r="BN10" s="30" t="s">
        <v>235</v>
      </c>
      <c r="BO10" s="30" t="s">
        <v>235</v>
      </c>
      <c r="BP10" s="30" t="s">
        <v>235</v>
      </c>
      <c r="BQ10" s="30" t="s">
        <v>235</v>
      </c>
      <c r="BR10" s="30" t="s">
        <v>235</v>
      </c>
      <c r="BS10" s="30" t="s">
        <v>235</v>
      </c>
      <c r="BT10" s="30" t="s">
        <v>235</v>
      </c>
      <c r="BU10" s="30" t="s">
        <v>235</v>
      </c>
      <c r="BV10" s="30" t="s">
        <v>235</v>
      </c>
      <c r="BW10" s="30" t="s">
        <v>235</v>
      </c>
      <c r="BX10" s="30" t="s">
        <v>235</v>
      </c>
      <c r="BY10" s="30" t="s">
        <v>235</v>
      </c>
      <c r="BZ10" s="30" t="s">
        <v>235</v>
      </c>
      <c r="CA10" s="30" t="s">
        <v>235</v>
      </c>
      <c r="CB10" s="30" t="s">
        <v>235</v>
      </c>
      <c r="CC10" s="30" t="s">
        <v>235</v>
      </c>
      <c r="CD10" s="30" t="s">
        <v>235</v>
      </c>
      <c r="CE10" s="30" t="s">
        <v>235</v>
      </c>
      <c r="CF10" s="30" t="s">
        <v>235</v>
      </c>
      <c r="CG10" s="30" t="s">
        <v>235</v>
      </c>
      <c r="CH10" s="30" t="s">
        <v>235</v>
      </c>
      <c r="CI10" s="30" t="s">
        <v>235</v>
      </c>
      <c r="CJ10" s="30" t="s">
        <v>235</v>
      </c>
      <c r="CK10" s="30" t="s">
        <v>235</v>
      </c>
      <c r="CL10" s="30" t="s">
        <v>235</v>
      </c>
      <c r="CM10" s="30" t="s">
        <v>235</v>
      </c>
      <c r="CN10" s="30" t="s">
        <v>235</v>
      </c>
      <c r="CO10" s="30" t="s">
        <v>235</v>
      </c>
      <c r="CP10" s="30" t="s">
        <v>235</v>
      </c>
      <c r="CQ10" s="30" t="s">
        <v>235</v>
      </c>
      <c r="CR10" s="30" t="s">
        <v>235</v>
      </c>
      <c r="CS10" s="30" t="s">
        <v>235</v>
      </c>
      <c r="CT10" s="30" t="s">
        <v>235</v>
      </c>
      <c r="CU10" s="30">
        <v>1</v>
      </c>
      <c r="CV10" s="30">
        <v>200</v>
      </c>
      <c r="CW10" s="30">
        <v>50</v>
      </c>
      <c r="CX10" s="30">
        <v>201</v>
      </c>
      <c r="CY10" s="30">
        <v>400</v>
      </c>
      <c r="CZ10" s="30">
        <v>40</v>
      </c>
      <c r="DA10" s="30">
        <v>401</v>
      </c>
      <c r="DB10" s="30">
        <v>600</v>
      </c>
      <c r="DC10" s="30">
        <v>30</v>
      </c>
      <c r="DD10" s="30">
        <v>601</v>
      </c>
      <c r="DE10" s="30">
        <v>800</v>
      </c>
      <c r="DF10" s="30">
        <v>20</v>
      </c>
      <c r="DG10" s="30">
        <v>801</v>
      </c>
      <c r="DH10" s="30" t="s">
        <v>235</v>
      </c>
      <c r="DI10" s="30">
        <v>10</v>
      </c>
      <c r="DJ10" s="30" t="s">
        <v>245</v>
      </c>
      <c r="DK10" s="30">
        <v>3</v>
      </c>
      <c r="DL10" s="30" t="s">
        <v>268</v>
      </c>
      <c r="DM10" s="30">
        <v>60</v>
      </c>
      <c r="DN10" s="30" t="s">
        <v>267</v>
      </c>
      <c r="DO10" s="30">
        <v>1</v>
      </c>
      <c r="DP10" s="30" t="s">
        <v>244</v>
      </c>
      <c r="DQ10" s="30">
        <v>150</v>
      </c>
      <c r="DR10" s="30" t="s">
        <v>235</v>
      </c>
      <c r="DS10" s="30" t="s">
        <v>235</v>
      </c>
      <c r="DT10" s="30" t="s">
        <v>235</v>
      </c>
      <c r="DU10" s="30" t="s">
        <v>235</v>
      </c>
      <c r="DV10" s="30" t="s">
        <v>235</v>
      </c>
      <c r="DW10" s="30" t="s">
        <v>235</v>
      </c>
      <c r="DX10" s="30" t="s">
        <v>235</v>
      </c>
      <c r="DY10" s="30" t="s">
        <v>235</v>
      </c>
      <c r="DZ10" s="30" t="s">
        <v>235</v>
      </c>
      <c r="EA10" s="30" t="s">
        <v>235</v>
      </c>
      <c r="EB10" s="30" t="s">
        <v>235</v>
      </c>
      <c r="EC10" s="30" t="s">
        <v>235</v>
      </c>
      <c r="ED10" s="30" t="s">
        <v>235</v>
      </c>
      <c r="EE10" s="30" t="s">
        <v>235</v>
      </c>
      <c r="EF10" s="30" t="s">
        <v>235</v>
      </c>
      <c r="EG10" s="30" t="s">
        <v>235</v>
      </c>
      <c r="EH10" s="30" t="s">
        <v>235</v>
      </c>
      <c r="EI10" s="30" t="s">
        <v>235</v>
      </c>
      <c r="EJ10" s="30" t="s">
        <v>235</v>
      </c>
      <c r="EK10" s="30" t="s">
        <v>235</v>
      </c>
      <c r="EL10" s="30" t="s">
        <v>235</v>
      </c>
      <c r="EM10" s="30" t="s">
        <v>235</v>
      </c>
      <c r="EN10" s="30" t="s">
        <v>235</v>
      </c>
      <c r="EO10" s="30" t="s">
        <v>235</v>
      </c>
      <c r="EP10" s="30" t="s">
        <v>235</v>
      </c>
      <c r="EQ10" s="30" t="s">
        <v>235</v>
      </c>
      <c r="ER10" s="30" t="s">
        <v>235</v>
      </c>
      <c r="ES10" s="30" t="s">
        <v>235</v>
      </c>
      <c r="ET10" s="30" t="s">
        <v>235</v>
      </c>
      <c r="EU10" s="30" t="s">
        <v>235</v>
      </c>
      <c r="EV10" s="30" t="s">
        <v>235</v>
      </c>
      <c r="EW10" s="30" t="s">
        <v>235</v>
      </c>
      <c r="EX10" s="30" t="s">
        <v>235</v>
      </c>
      <c r="EY10" s="30" t="s">
        <v>235</v>
      </c>
      <c r="EZ10" s="30" t="s">
        <v>235</v>
      </c>
      <c r="FA10" s="30" t="s">
        <v>235</v>
      </c>
      <c r="FB10" s="30" t="s">
        <v>235</v>
      </c>
      <c r="FC10" s="30" t="s">
        <v>235</v>
      </c>
      <c r="FD10" s="30" t="s">
        <v>235</v>
      </c>
      <c r="FE10" s="30" t="s">
        <v>235</v>
      </c>
      <c r="FF10" s="30" t="s">
        <v>235</v>
      </c>
      <c r="FG10" s="30" t="s">
        <v>235</v>
      </c>
      <c r="FH10" s="30" t="s">
        <v>235</v>
      </c>
      <c r="FI10" s="30" t="s">
        <v>235</v>
      </c>
      <c r="FJ10" s="30" t="s">
        <v>235</v>
      </c>
      <c r="FK10" s="30" t="s">
        <v>235</v>
      </c>
      <c r="FL10" s="30" t="s">
        <v>235</v>
      </c>
      <c r="FM10" s="30" t="s">
        <v>235</v>
      </c>
      <c r="FN10" s="30" t="s">
        <v>235</v>
      </c>
      <c r="FO10" s="30" t="s">
        <v>235</v>
      </c>
      <c r="FP10" s="30" t="s">
        <v>235</v>
      </c>
      <c r="FQ10" s="30" t="s">
        <v>235</v>
      </c>
      <c r="FR10" s="30" t="s">
        <v>235</v>
      </c>
      <c r="FS10" s="30" t="s">
        <v>235</v>
      </c>
      <c r="FT10" s="30" t="s">
        <v>235</v>
      </c>
      <c r="FU10" s="30" t="s">
        <v>235</v>
      </c>
      <c r="FV10" s="30" t="s">
        <v>235</v>
      </c>
      <c r="FW10" s="30" t="s">
        <v>235</v>
      </c>
      <c r="FX10" s="30" t="s">
        <v>235</v>
      </c>
      <c r="FY10" s="30" t="s">
        <v>235</v>
      </c>
      <c r="FZ10" s="30" t="s">
        <v>235</v>
      </c>
      <c r="GA10" s="30" t="s">
        <v>235</v>
      </c>
      <c r="GB10" s="30" t="s">
        <v>235</v>
      </c>
      <c r="GC10" s="30" t="s">
        <v>235</v>
      </c>
      <c r="GD10" s="30" t="s">
        <v>235</v>
      </c>
      <c r="GE10" s="30" t="s">
        <v>235</v>
      </c>
      <c r="GF10" s="30" t="s">
        <v>235</v>
      </c>
      <c r="GG10" s="30" t="s">
        <v>235</v>
      </c>
      <c r="GH10" s="30" t="s">
        <v>235</v>
      </c>
      <c r="GI10" s="30" t="s">
        <v>235</v>
      </c>
      <c r="GJ10" s="30" t="s">
        <v>235</v>
      </c>
      <c r="GK10" s="30" t="s">
        <v>235</v>
      </c>
      <c r="GL10" s="30" t="s">
        <v>269</v>
      </c>
      <c r="GM10" s="30">
        <v>4</v>
      </c>
      <c r="GN10" s="30" t="s">
        <v>268</v>
      </c>
      <c r="GO10" s="30">
        <v>15</v>
      </c>
      <c r="GP10" s="30" t="s">
        <v>270</v>
      </c>
      <c r="GQ10" s="30">
        <v>4</v>
      </c>
      <c r="GR10" s="30" t="s">
        <v>268</v>
      </c>
      <c r="GS10" s="30">
        <v>10</v>
      </c>
      <c r="GT10" s="30" t="s">
        <v>271</v>
      </c>
      <c r="GU10" s="30">
        <v>1</v>
      </c>
      <c r="GV10" s="30" t="s">
        <v>244</v>
      </c>
      <c r="GW10" s="30">
        <v>8</v>
      </c>
      <c r="GX10" s="30" t="s">
        <v>235</v>
      </c>
      <c r="GY10" s="30" t="s">
        <v>235</v>
      </c>
      <c r="GZ10" s="30" t="s">
        <v>235</v>
      </c>
      <c r="HA10" s="30" t="s">
        <v>235</v>
      </c>
      <c r="HB10" s="30" t="s">
        <v>235</v>
      </c>
      <c r="HC10" s="30" t="s">
        <v>235</v>
      </c>
      <c r="HD10" s="30" t="s">
        <v>235</v>
      </c>
      <c r="HE10" s="30" t="s">
        <v>235</v>
      </c>
      <c r="HF10" s="30" t="s">
        <v>235</v>
      </c>
      <c r="HG10" s="30" t="s">
        <v>235</v>
      </c>
      <c r="HH10" s="30" t="s">
        <v>235</v>
      </c>
      <c r="HI10" s="30" t="s">
        <v>235</v>
      </c>
      <c r="HJ10" s="30" t="s">
        <v>235</v>
      </c>
      <c r="HK10" s="30" t="s">
        <v>235</v>
      </c>
      <c r="HL10" s="30" t="s">
        <v>235</v>
      </c>
      <c r="HM10" s="30" t="s">
        <v>235</v>
      </c>
      <c r="HN10" s="30" t="s">
        <v>235</v>
      </c>
      <c r="HO10" s="30" t="s">
        <v>235</v>
      </c>
      <c r="HP10" s="30" t="s">
        <v>235</v>
      </c>
      <c r="HQ10" s="30" t="s">
        <v>235</v>
      </c>
      <c r="HR10" s="30" t="s">
        <v>235</v>
      </c>
      <c r="HS10" s="30" t="s">
        <v>235</v>
      </c>
      <c r="HT10" s="30" t="s">
        <v>235</v>
      </c>
      <c r="HU10" s="30" t="s">
        <v>235</v>
      </c>
      <c r="HV10" s="30" t="s">
        <v>235</v>
      </c>
      <c r="HW10" s="30" t="s">
        <v>235</v>
      </c>
      <c r="HX10" s="30" t="s">
        <v>235</v>
      </c>
      <c r="HY10" s="30" t="s">
        <v>235</v>
      </c>
      <c r="HZ10" s="30" t="s">
        <v>235</v>
      </c>
      <c r="IA10" s="30" t="s">
        <v>235</v>
      </c>
      <c r="IB10" s="30" t="s">
        <v>235</v>
      </c>
      <c r="IC10" s="30" t="s">
        <v>235</v>
      </c>
      <c r="ID10" s="30" t="s">
        <v>235</v>
      </c>
      <c r="IE10" s="30" t="s">
        <v>235</v>
      </c>
      <c r="IF10" s="30" t="s">
        <v>235</v>
      </c>
      <c r="IG10" s="30" t="s">
        <v>235</v>
      </c>
      <c r="IH10" s="30" t="s">
        <v>235</v>
      </c>
      <c r="II10" s="30" t="s">
        <v>235</v>
      </c>
      <c r="IJ10" s="30" t="s">
        <v>235</v>
      </c>
      <c r="IK10" s="30" t="s">
        <v>235</v>
      </c>
      <c r="IL10" s="30" t="s">
        <v>235</v>
      </c>
      <c r="IM10" s="30" t="s">
        <v>235</v>
      </c>
      <c r="IN10" s="30" t="s">
        <v>235</v>
      </c>
      <c r="IO10" s="30" t="s">
        <v>235</v>
      </c>
      <c r="IP10" s="30" t="s">
        <v>235</v>
      </c>
      <c r="IQ10" s="30" t="s">
        <v>235</v>
      </c>
      <c r="IR10" s="30" t="s">
        <v>235</v>
      </c>
      <c r="IS10" s="30" t="s">
        <v>235</v>
      </c>
      <c r="IT10" s="30" t="s">
        <v>235</v>
      </c>
      <c r="IU10" s="30" t="s">
        <v>235</v>
      </c>
      <c r="IV10" s="30" t="s">
        <v>235</v>
      </c>
      <c r="IW10" s="30" t="s">
        <v>235</v>
      </c>
      <c r="IX10" s="30" t="s">
        <v>235</v>
      </c>
      <c r="IY10" s="30" t="s">
        <v>235</v>
      </c>
      <c r="IZ10" s="30" t="s">
        <v>235</v>
      </c>
      <c r="JA10" s="30" t="s">
        <v>235</v>
      </c>
      <c r="JB10" s="30" t="s">
        <v>235</v>
      </c>
      <c r="JC10" s="30" t="s">
        <v>235</v>
      </c>
      <c r="JD10" s="30" t="s">
        <v>235</v>
      </c>
      <c r="JE10" s="30" t="s">
        <v>235</v>
      </c>
      <c r="JF10" s="30" t="s">
        <v>235</v>
      </c>
      <c r="JG10" s="30" t="s">
        <v>235</v>
      </c>
      <c r="JH10" s="30" t="s">
        <v>235</v>
      </c>
      <c r="JI10" s="30" t="s">
        <v>235</v>
      </c>
      <c r="JJ10" s="30" t="s">
        <v>235</v>
      </c>
      <c r="JK10" s="30" t="s">
        <v>235</v>
      </c>
      <c r="JL10" s="30" t="s">
        <v>235</v>
      </c>
      <c r="JM10" s="30" t="s">
        <v>235</v>
      </c>
      <c r="JN10" s="30" t="s">
        <v>235</v>
      </c>
      <c r="JO10" s="30" t="s">
        <v>235</v>
      </c>
      <c r="JP10" s="30" t="s">
        <v>235</v>
      </c>
      <c r="JQ10" s="30" t="s">
        <v>235</v>
      </c>
      <c r="JR10" s="30" t="s">
        <v>235</v>
      </c>
      <c r="JS10" s="30" t="s">
        <v>235</v>
      </c>
      <c r="JT10" s="30" t="s">
        <v>235</v>
      </c>
      <c r="JU10" s="30" t="s">
        <v>235</v>
      </c>
      <c r="JV10" s="30" t="s">
        <v>235</v>
      </c>
      <c r="JW10" s="30" t="s">
        <v>235</v>
      </c>
      <c r="JX10" s="30" t="s">
        <v>235</v>
      </c>
      <c r="JY10" s="30" t="s">
        <v>235</v>
      </c>
      <c r="JZ10" s="30" t="s">
        <v>235</v>
      </c>
      <c r="KA10" s="30" t="s">
        <v>235</v>
      </c>
      <c r="KB10" s="30" t="s">
        <v>235</v>
      </c>
      <c r="KC10" s="30" t="s">
        <v>235</v>
      </c>
      <c r="KD10" s="30" t="s">
        <v>235</v>
      </c>
      <c r="KE10" s="30" t="s">
        <v>235</v>
      </c>
      <c r="KF10" s="30" t="s">
        <v>235</v>
      </c>
      <c r="KG10" s="30" t="s">
        <v>235</v>
      </c>
      <c r="KH10" s="30" t="s">
        <v>235</v>
      </c>
      <c r="KI10" s="30" t="s">
        <v>235</v>
      </c>
      <c r="KJ10" s="30" t="s">
        <v>235</v>
      </c>
      <c r="KK10" s="30" t="s">
        <v>235</v>
      </c>
      <c r="KL10" s="30" t="s">
        <v>235</v>
      </c>
      <c r="KM10" s="30" t="s">
        <v>235</v>
      </c>
      <c r="KN10" s="30" t="s">
        <v>235</v>
      </c>
      <c r="KO10" s="30" t="s">
        <v>235</v>
      </c>
      <c r="KP10" s="30" t="s">
        <v>235</v>
      </c>
      <c r="KQ10" s="30" t="s">
        <v>235</v>
      </c>
      <c r="KR10" s="30" t="s">
        <v>235</v>
      </c>
      <c r="KS10" s="30" t="s">
        <v>235</v>
      </c>
      <c r="KT10" s="30" t="s">
        <v>235</v>
      </c>
      <c r="KU10" s="30" t="s">
        <v>235</v>
      </c>
      <c r="KV10" s="30" t="s">
        <v>235</v>
      </c>
      <c r="KW10" s="30" t="s">
        <v>235</v>
      </c>
      <c r="KX10" s="30" t="s">
        <v>235</v>
      </c>
      <c r="KY10" s="30" t="s">
        <v>235</v>
      </c>
      <c r="KZ10" s="30" t="s">
        <v>235</v>
      </c>
      <c r="LA10" s="30" t="s">
        <v>235</v>
      </c>
      <c r="LB10" s="23"/>
      <c r="LC10" s="264">
        <v>235.22857142857146</v>
      </c>
      <c r="LD10" s="264">
        <v>330</v>
      </c>
      <c r="LE10" s="264">
        <v>50</v>
      </c>
      <c r="LF10" s="264">
        <v>108</v>
      </c>
      <c r="LG10" s="23"/>
      <c r="LH10" s="264">
        <v>723.22857142857151</v>
      </c>
      <c r="LI10" s="264">
        <v>361.6142857142857</v>
      </c>
      <c r="LJ10" s="264">
        <v>108.48428571428572</v>
      </c>
      <c r="LK10" s="264">
        <v>78.108685714285713</v>
      </c>
      <c r="LL10" s="264">
        <v>10.651184415584339</v>
      </c>
      <c r="LM10" s="264">
        <v>1065.1184415584414</v>
      </c>
      <c r="LN10" s="21"/>
      <c r="LO10" s="14"/>
    </row>
    <row r="11" spans="1:331" ht="20.100000000000001" customHeight="1" x14ac:dyDescent="0.25">
      <c r="A11" s="14"/>
      <c r="B11" s="14"/>
      <c r="C11" s="14"/>
      <c r="D11" s="14"/>
      <c r="E11" s="19"/>
      <c r="F11" s="33">
        <v>2</v>
      </c>
      <c r="G11" s="70" t="s">
        <v>318</v>
      </c>
      <c r="H11" s="260" t="s">
        <v>272</v>
      </c>
      <c r="I11" s="30">
        <v>50</v>
      </c>
      <c r="J11" s="30" t="s">
        <v>7</v>
      </c>
      <c r="K11" s="30" t="s">
        <v>255</v>
      </c>
      <c r="L11" s="66" t="s">
        <v>321</v>
      </c>
      <c r="M11" s="30">
        <v>4000</v>
      </c>
      <c r="N11" s="30">
        <v>5</v>
      </c>
      <c r="O11" s="262">
        <v>18</v>
      </c>
      <c r="P11" s="30">
        <v>175000</v>
      </c>
      <c r="Q11" s="30">
        <v>3</v>
      </c>
      <c r="R11" s="30">
        <v>18</v>
      </c>
      <c r="S11" s="29" t="s">
        <v>273</v>
      </c>
      <c r="T11" s="70">
        <v>1.5</v>
      </c>
      <c r="U11" s="30" t="s">
        <v>275</v>
      </c>
      <c r="V11" s="30">
        <v>1</v>
      </c>
      <c r="W11" s="30" t="s">
        <v>277</v>
      </c>
      <c r="X11" s="30">
        <v>2</v>
      </c>
      <c r="Y11" s="30" t="s">
        <v>235</v>
      </c>
      <c r="Z11" s="30" t="s">
        <v>235</v>
      </c>
      <c r="AA11" s="30" t="s">
        <v>235</v>
      </c>
      <c r="AB11" s="30" t="s">
        <v>235</v>
      </c>
      <c r="AC11" s="30" t="s">
        <v>235</v>
      </c>
      <c r="AD11" s="30" t="s">
        <v>235</v>
      </c>
      <c r="AE11" s="30" t="s">
        <v>235</v>
      </c>
      <c r="AF11" s="30" t="s">
        <v>235</v>
      </c>
      <c r="AG11" s="30" t="s">
        <v>235</v>
      </c>
      <c r="AH11" s="30" t="s">
        <v>235</v>
      </c>
      <c r="AI11" s="30" t="s">
        <v>235</v>
      </c>
      <c r="AJ11" s="30" t="s">
        <v>235</v>
      </c>
      <c r="AK11" s="30" t="s">
        <v>235</v>
      </c>
      <c r="AL11" s="30" t="s">
        <v>235</v>
      </c>
      <c r="AM11" s="30" t="s">
        <v>235</v>
      </c>
      <c r="AN11" s="30" t="s">
        <v>235</v>
      </c>
      <c r="AO11" s="30" t="s">
        <v>235</v>
      </c>
      <c r="AP11" s="30" t="s">
        <v>235</v>
      </c>
      <c r="AQ11" s="30" t="s">
        <v>235</v>
      </c>
      <c r="AR11" s="30" t="s">
        <v>235</v>
      </c>
      <c r="AS11" s="30" t="s">
        <v>235</v>
      </c>
      <c r="AT11" s="30" t="s">
        <v>235</v>
      </c>
      <c r="AU11" s="30" t="s">
        <v>235</v>
      </c>
      <c r="AV11" s="30" t="s">
        <v>235</v>
      </c>
      <c r="AW11" s="30" t="s">
        <v>235</v>
      </c>
      <c r="AX11" s="30" t="s">
        <v>235</v>
      </c>
      <c r="AY11" s="30" t="s">
        <v>235</v>
      </c>
      <c r="AZ11" s="30" t="s">
        <v>235</v>
      </c>
      <c r="BA11" s="30" t="s">
        <v>235</v>
      </c>
      <c r="BB11" s="30" t="s">
        <v>235</v>
      </c>
      <c r="BC11" s="30" t="s">
        <v>235</v>
      </c>
      <c r="BD11" s="30" t="s">
        <v>235</v>
      </c>
      <c r="BE11" s="30" t="s">
        <v>235</v>
      </c>
      <c r="BF11" s="30" t="s">
        <v>235</v>
      </c>
      <c r="BG11" s="30" t="s">
        <v>235</v>
      </c>
      <c r="BH11" s="30" t="s">
        <v>235</v>
      </c>
      <c r="BI11" s="30" t="s">
        <v>235</v>
      </c>
      <c r="BJ11" s="30" t="s">
        <v>235</v>
      </c>
      <c r="BK11" s="30" t="s">
        <v>235</v>
      </c>
      <c r="BL11" s="30" t="s">
        <v>235</v>
      </c>
      <c r="BM11" s="30" t="s">
        <v>235</v>
      </c>
      <c r="BN11" s="30" t="s">
        <v>235</v>
      </c>
      <c r="BO11" s="30" t="s">
        <v>235</v>
      </c>
      <c r="BP11" s="30" t="s">
        <v>235</v>
      </c>
      <c r="BQ11" s="30" t="s">
        <v>235</v>
      </c>
      <c r="BR11" s="30" t="s">
        <v>235</v>
      </c>
      <c r="BS11" s="30" t="s">
        <v>235</v>
      </c>
      <c r="BT11" s="30" t="s">
        <v>235</v>
      </c>
      <c r="BU11" s="30" t="s">
        <v>235</v>
      </c>
      <c r="BV11" s="30" t="s">
        <v>235</v>
      </c>
      <c r="BW11" s="30" t="s">
        <v>235</v>
      </c>
      <c r="BX11" s="30" t="s">
        <v>235</v>
      </c>
      <c r="BY11" s="30" t="s">
        <v>235</v>
      </c>
      <c r="BZ11" s="30" t="s">
        <v>235</v>
      </c>
      <c r="CA11" s="30" t="s">
        <v>235</v>
      </c>
      <c r="CB11" s="30" t="s">
        <v>235</v>
      </c>
      <c r="CC11" s="30" t="s">
        <v>235</v>
      </c>
      <c r="CD11" s="30" t="s">
        <v>235</v>
      </c>
      <c r="CE11" s="30" t="s">
        <v>235</v>
      </c>
      <c r="CF11" s="30" t="s">
        <v>235</v>
      </c>
      <c r="CG11" s="30" t="s">
        <v>235</v>
      </c>
      <c r="CH11" s="30" t="s">
        <v>235</v>
      </c>
      <c r="CI11" s="30" t="s">
        <v>235</v>
      </c>
      <c r="CJ11" s="30" t="s">
        <v>235</v>
      </c>
      <c r="CK11" s="30" t="s">
        <v>235</v>
      </c>
      <c r="CL11" s="30" t="s">
        <v>235</v>
      </c>
      <c r="CM11" s="30" t="s">
        <v>235</v>
      </c>
      <c r="CN11" s="30" t="s">
        <v>235</v>
      </c>
      <c r="CO11" s="30" t="s">
        <v>235</v>
      </c>
      <c r="CP11" s="30" t="s">
        <v>235</v>
      </c>
      <c r="CQ11" s="30" t="s">
        <v>235</v>
      </c>
      <c r="CR11" s="30" t="s">
        <v>235</v>
      </c>
      <c r="CS11" s="30" t="s">
        <v>235</v>
      </c>
      <c r="CT11" s="30" t="s">
        <v>235</v>
      </c>
      <c r="CU11" s="30">
        <v>1</v>
      </c>
      <c r="CV11" s="30" t="s">
        <v>235</v>
      </c>
      <c r="CW11" s="30">
        <v>30</v>
      </c>
      <c r="CX11" s="30" t="s">
        <v>235</v>
      </c>
      <c r="CY11" s="30" t="s">
        <v>235</v>
      </c>
      <c r="CZ11" s="30" t="s">
        <v>235</v>
      </c>
      <c r="DA11" s="30" t="s">
        <v>235</v>
      </c>
      <c r="DB11" s="30" t="s">
        <v>235</v>
      </c>
      <c r="DC11" s="30" t="s">
        <v>235</v>
      </c>
      <c r="DD11" s="30" t="s">
        <v>235</v>
      </c>
      <c r="DE11" s="30" t="s">
        <v>235</v>
      </c>
      <c r="DF11" s="30" t="s">
        <v>235</v>
      </c>
      <c r="DG11" s="30" t="s">
        <v>235</v>
      </c>
      <c r="DH11" s="30" t="s">
        <v>235</v>
      </c>
      <c r="DI11" s="30" t="s">
        <v>235</v>
      </c>
      <c r="DJ11" s="30" t="s">
        <v>319</v>
      </c>
      <c r="DK11" s="30">
        <v>4</v>
      </c>
      <c r="DL11" s="30" t="s">
        <v>268</v>
      </c>
      <c r="DM11" s="30">
        <v>130</v>
      </c>
      <c r="DN11" s="30" t="s">
        <v>279</v>
      </c>
      <c r="DO11" s="30">
        <v>3</v>
      </c>
      <c r="DP11" s="30" t="s">
        <v>244</v>
      </c>
      <c r="DQ11" s="30">
        <v>300</v>
      </c>
      <c r="DR11" s="30" t="s">
        <v>320</v>
      </c>
      <c r="DS11" s="30">
        <v>2</v>
      </c>
      <c r="DT11" s="30" t="s">
        <v>268</v>
      </c>
      <c r="DU11" s="30">
        <v>150</v>
      </c>
      <c r="DV11" s="30" t="s">
        <v>235</v>
      </c>
      <c r="DW11" s="30" t="s">
        <v>235</v>
      </c>
      <c r="DX11" s="30" t="s">
        <v>235</v>
      </c>
      <c r="DY11" s="30" t="s">
        <v>235</v>
      </c>
      <c r="DZ11" s="30" t="s">
        <v>235</v>
      </c>
      <c r="EA11" s="30" t="s">
        <v>235</v>
      </c>
      <c r="EB11" s="30" t="s">
        <v>235</v>
      </c>
      <c r="EC11" s="30" t="s">
        <v>235</v>
      </c>
      <c r="ED11" s="30" t="s">
        <v>235</v>
      </c>
      <c r="EE11" s="30" t="s">
        <v>235</v>
      </c>
      <c r="EF11" s="30" t="s">
        <v>235</v>
      </c>
      <c r="EG11" s="30" t="s">
        <v>235</v>
      </c>
      <c r="EH11" s="30" t="s">
        <v>235</v>
      </c>
      <c r="EI11" s="30" t="s">
        <v>235</v>
      </c>
      <c r="EJ11" s="30" t="s">
        <v>235</v>
      </c>
      <c r="EK11" s="30" t="s">
        <v>235</v>
      </c>
      <c r="EL11" s="30" t="s">
        <v>235</v>
      </c>
      <c r="EM11" s="30" t="s">
        <v>235</v>
      </c>
      <c r="EN11" s="30" t="s">
        <v>235</v>
      </c>
      <c r="EO11" s="30" t="s">
        <v>235</v>
      </c>
      <c r="EP11" s="30" t="s">
        <v>235</v>
      </c>
      <c r="EQ11" s="30" t="s">
        <v>235</v>
      </c>
      <c r="ER11" s="30" t="s">
        <v>235</v>
      </c>
      <c r="ES11" s="30" t="s">
        <v>235</v>
      </c>
      <c r="ET11" s="30" t="s">
        <v>235</v>
      </c>
      <c r="EU11" s="30" t="s">
        <v>235</v>
      </c>
      <c r="EV11" s="30" t="s">
        <v>235</v>
      </c>
      <c r="EW11" s="30" t="s">
        <v>235</v>
      </c>
      <c r="EX11" s="30" t="s">
        <v>235</v>
      </c>
      <c r="EY11" s="30" t="s">
        <v>235</v>
      </c>
      <c r="EZ11" s="30" t="s">
        <v>235</v>
      </c>
      <c r="FA11" s="30" t="s">
        <v>235</v>
      </c>
      <c r="FB11" s="30" t="s">
        <v>235</v>
      </c>
      <c r="FC11" s="30" t="s">
        <v>235</v>
      </c>
      <c r="FD11" s="30" t="s">
        <v>235</v>
      </c>
      <c r="FE11" s="30" t="s">
        <v>235</v>
      </c>
      <c r="FF11" s="30" t="s">
        <v>235</v>
      </c>
      <c r="FG11" s="30" t="s">
        <v>235</v>
      </c>
      <c r="FH11" s="30" t="s">
        <v>235</v>
      </c>
      <c r="FI11" s="30" t="s">
        <v>235</v>
      </c>
      <c r="FJ11" s="30" t="s">
        <v>235</v>
      </c>
      <c r="FK11" s="30" t="s">
        <v>235</v>
      </c>
      <c r="FL11" s="30" t="s">
        <v>235</v>
      </c>
      <c r="FM11" s="30" t="s">
        <v>235</v>
      </c>
      <c r="FN11" s="30" t="s">
        <v>235</v>
      </c>
      <c r="FO11" s="30" t="s">
        <v>235</v>
      </c>
      <c r="FP11" s="30" t="s">
        <v>235</v>
      </c>
      <c r="FQ11" s="30" t="s">
        <v>235</v>
      </c>
      <c r="FR11" s="30" t="s">
        <v>235</v>
      </c>
      <c r="FS11" s="30" t="s">
        <v>235</v>
      </c>
      <c r="FT11" s="30" t="s">
        <v>235</v>
      </c>
      <c r="FU11" s="30" t="s">
        <v>235</v>
      </c>
      <c r="FV11" s="30" t="s">
        <v>235</v>
      </c>
      <c r="FW11" s="30" t="s">
        <v>235</v>
      </c>
      <c r="FX11" s="30" t="s">
        <v>235</v>
      </c>
      <c r="FY11" s="30" t="s">
        <v>235</v>
      </c>
      <c r="FZ11" s="30" t="s">
        <v>235</v>
      </c>
      <c r="GA11" s="30" t="s">
        <v>235</v>
      </c>
      <c r="GB11" s="30" t="s">
        <v>235</v>
      </c>
      <c r="GC11" s="30" t="s">
        <v>235</v>
      </c>
      <c r="GD11" s="30" t="s">
        <v>235</v>
      </c>
      <c r="GE11" s="30" t="s">
        <v>235</v>
      </c>
      <c r="GF11" s="30" t="s">
        <v>235</v>
      </c>
      <c r="GG11" s="30" t="s">
        <v>235</v>
      </c>
      <c r="GH11" s="30" t="s">
        <v>235</v>
      </c>
      <c r="GI11" s="30" t="s">
        <v>235</v>
      </c>
      <c r="GJ11" s="30" t="s">
        <v>235</v>
      </c>
      <c r="GK11" s="30" t="s">
        <v>235</v>
      </c>
      <c r="GL11" s="30" t="s">
        <v>269</v>
      </c>
      <c r="GM11" s="30">
        <v>6</v>
      </c>
      <c r="GN11" s="30" t="s">
        <v>268</v>
      </c>
      <c r="GO11" s="30">
        <v>15</v>
      </c>
      <c r="GP11" s="30" t="s">
        <v>270</v>
      </c>
      <c r="GQ11" s="30">
        <v>6</v>
      </c>
      <c r="GR11" s="30" t="s">
        <v>268</v>
      </c>
      <c r="GS11" s="30">
        <v>10</v>
      </c>
      <c r="GT11" s="30" t="s">
        <v>271</v>
      </c>
      <c r="GU11" s="30">
        <v>1</v>
      </c>
      <c r="GV11" s="30" t="s">
        <v>244</v>
      </c>
      <c r="GW11" s="30">
        <v>36</v>
      </c>
      <c r="GX11" s="30" t="s">
        <v>235</v>
      </c>
      <c r="GY11" s="30" t="s">
        <v>235</v>
      </c>
      <c r="GZ11" s="30" t="s">
        <v>235</v>
      </c>
      <c r="HA11" s="30" t="s">
        <v>235</v>
      </c>
      <c r="HB11" s="30" t="s">
        <v>235</v>
      </c>
      <c r="HC11" s="30" t="s">
        <v>235</v>
      </c>
      <c r="HD11" s="30" t="s">
        <v>235</v>
      </c>
      <c r="HE11" s="30" t="s">
        <v>235</v>
      </c>
      <c r="HF11" s="30" t="s">
        <v>235</v>
      </c>
      <c r="HG11" s="30" t="s">
        <v>235</v>
      </c>
      <c r="HH11" s="30" t="s">
        <v>235</v>
      </c>
      <c r="HI11" s="30" t="s">
        <v>235</v>
      </c>
      <c r="HJ11" s="30" t="s">
        <v>235</v>
      </c>
      <c r="HK11" s="30" t="s">
        <v>235</v>
      </c>
      <c r="HL11" s="30" t="s">
        <v>235</v>
      </c>
      <c r="HM11" s="30" t="s">
        <v>235</v>
      </c>
      <c r="HN11" s="30" t="s">
        <v>235</v>
      </c>
      <c r="HO11" s="30" t="s">
        <v>235</v>
      </c>
      <c r="HP11" s="30" t="s">
        <v>235</v>
      </c>
      <c r="HQ11" s="30" t="s">
        <v>235</v>
      </c>
      <c r="HR11" s="30" t="s">
        <v>235</v>
      </c>
      <c r="HS11" s="30" t="s">
        <v>235</v>
      </c>
      <c r="HT11" s="30" t="s">
        <v>235</v>
      </c>
      <c r="HU11" s="30" t="s">
        <v>235</v>
      </c>
      <c r="HV11" s="30" t="s">
        <v>235</v>
      </c>
      <c r="HW11" s="30" t="s">
        <v>235</v>
      </c>
      <c r="HX11" s="30" t="s">
        <v>235</v>
      </c>
      <c r="HY11" s="30" t="s">
        <v>235</v>
      </c>
      <c r="HZ11" s="30" t="s">
        <v>235</v>
      </c>
      <c r="IA11" s="30" t="s">
        <v>235</v>
      </c>
      <c r="IB11" s="30" t="s">
        <v>235</v>
      </c>
      <c r="IC11" s="30" t="s">
        <v>235</v>
      </c>
      <c r="ID11" s="30" t="s">
        <v>235</v>
      </c>
      <c r="IE11" s="30" t="s">
        <v>235</v>
      </c>
      <c r="IF11" s="30" t="s">
        <v>235</v>
      </c>
      <c r="IG11" s="30" t="s">
        <v>235</v>
      </c>
      <c r="IH11" s="30" t="s">
        <v>235</v>
      </c>
      <c r="II11" s="30" t="s">
        <v>235</v>
      </c>
      <c r="IJ11" s="30" t="s">
        <v>235</v>
      </c>
      <c r="IK11" s="30" t="s">
        <v>235</v>
      </c>
      <c r="IL11" s="30" t="s">
        <v>235</v>
      </c>
      <c r="IM11" s="30" t="s">
        <v>235</v>
      </c>
      <c r="IN11" s="30" t="s">
        <v>235</v>
      </c>
      <c r="IO11" s="30" t="s">
        <v>235</v>
      </c>
      <c r="IP11" s="30" t="s">
        <v>235</v>
      </c>
      <c r="IQ11" s="30" t="s">
        <v>235</v>
      </c>
      <c r="IR11" s="30" t="s">
        <v>235</v>
      </c>
      <c r="IS11" s="30" t="s">
        <v>235</v>
      </c>
      <c r="IT11" s="30" t="s">
        <v>235</v>
      </c>
      <c r="IU11" s="30" t="s">
        <v>235</v>
      </c>
      <c r="IV11" s="30" t="s">
        <v>235</v>
      </c>
      <c r="IW11" s="30" t="s">
        <v>235</v>
      </c>
      <c r="IX11" s="30" t="s">
        <v>235</v>
      </c>
      <c r="IY11" s="30" t="s">
        <v>235</v>
      </c>
      <c r="IZ11" s="30" t="s">
        <v>235</v>
      </c>
      <c r="JA11" s="30" t="s">
        <v>235</v>
      </c>
      <c r="JB11" s="30" t="s">
        <v>235</v>
      </c>
      <c r="JC11" s="30" t="s">
        <v>235</v>
      </c>
      <c r="JD11" s="30" t="s">
        <v>235</v>
      </c>
      <c r="JE11" s="30" t="s">
        <v>235</v>
      </c>
      <c r="JF11" s="30" t="s">
        <v>235</v>
      </c>
      <c r="JG11" s="30" t="s">
        <v>235</v>
      </c>
      <c r="JH11" s="30" t="s">
        <v>235</v>
      </c>
      <c r="JI11" s="30" t="s">
        <v>235</v>
      </c>
      <c r="JJ11" s="30" t="s">
        <v>235</v>
      </c>
      <c r="JK11" s="30" t="s">
        <v>235</v>
      </c>
      <c r="JL11" s="30" t="s">
        <v>235</v>
      </c>
      <c r="JM11" s="30" t="s">
        <v>235</v>
      </c>
      <c r="JN11" s="30" t="s">
        <v>235</v>
      </c>
      <c r="JO11" s="30" t="s">
        <v>235</v>
      </c>
      <c r="JP11" s="30" t="s">
        <v>235</v>
      </c>
      <c r="JQ11" s="30" t="s">
        <v>235</v>
      </c>
      <c r="JR11" s="30" t="s">
        <v>235</v>
      </c>
      <c r="JS11" s="30" t="s">
        <v>235</v>
      </c>
      <c r="JT11" s="30" t="s">
        <v>235</v>
      </c>
      <c r="JU11" s="30" t="s">
        <v>235</v>
      </c>
      <c r="JV11" s="30" t="s">
        <v>235</v>
      </c>
      <c r="JW11" s="30" t="s">
        <v>235</v>
      </c>
      <c r="JX11" s="30" t="s">
        <v>235</v>
      </c>
      <c r="JY11" s="30" t="s">
        <v>235</v>
      </c>
      <c r="JZ11" s="30" t="s">
        <v>235</v>
      </c>
      <c r="KA11" s="30" t="s">
        <v>235</v>
      </c>
      <c r="KB11" s="30" t="s">
        <v>235</v>
      </c>
      <c r="KC11" s="30" t="s">
        <v>235</v>
      </c>
      <c r="KD11" s="30" t="s">
        <v>235</v>
      </c>
      <c r="KE11" s="30" t="s">
        <v>235</v>
      </c>
      <c r="KF11" s="30" t="s">
        <v>235</v>
      </c>
      <c r="KG11" s="30" t="s">
        <v>235</v>
      </c>
      <c r="KH11" s="30" t="s">
        <v>235</v>
      </c>
      <c r="KI11" s="30" t="s">
        <v>235</v>
      </c>
      <c r="KJ11" s="30" t="s">
        <v>235</v>
      </c>
      <c r="KK11" s="30" t="s">
        <v>235</v>
      </c>
      <c r="KL11" s="30" t="s">
        <v>235</v>
      </c>
      <c r="KM11" s="30" t="s">
        <v>235</v>
      </c>
      <c r="KN11" s="30" t="s">
        <v>235</v>
      </c>
      <c r="KO11" s="30" t="s">
        <v>235</v>
      </c>
      <c r="KP11" s="30" t="s">
        <v>235</v>
      </c>
      <c r="KQ11" s="30" t="s">
        <v>235</v>
      </c>
      <c r="KR11" s="30" t="s">
        <v>235</v>
      </c>
      <c r="KS11" s="30" t="s">
        <v>235</v>
      </c>
      <c r="KT11" s="30" t="s">
        <v>235</v>
      </c>
      <c r="KU11" s="30" t="s">
        <v>235</v>
      </c>
      <c r="KV11" s="30" t="s">
        <v>235</v>
      </c>
      <c r="KW11" s="30" t="s">
        <v>235</v>
      </c>
      <c r="KX11" s="30" t="s">
        <v>235</v>
      </c>
      <c r="KY11" s="30" t="s">
        <v>235</v>
      </c>
      <c r="KZ11" s="30" t="s">
        <v>235</v>
      </c>
      <c r="LA11" s="30" t="s">
        <v>235</v>
      </c>
      <c r="LB11" s="23"/>
      <c r="LC11" s="264">
        <v>805</v>
      </c>
      <c r="LD11" s="264">
        <v>1720</v>
      </c>
      <c r="LE11" s="264">
        <v>30</v>
      </c>
      <c r="LF11" s="264">
        <v>186</v>
      </c>
      <c r="LG11" s="23"/>
      <c r="LH11" s="264">
        <v>2741</v>
      </c>
      <c r="LI11" s="264">
        <v>1259</v>
      </c>
      <c r="LJ11" s="264">
        <v>200</v>
      </c>
      <c r="LK11" s="264">
        <v>684</v>
      </c>
      <c r="LL11" s="264">
        <v>45.29292929292933</v>
      </c>
      <c r="LM11" s="264">
        <v>4529.2929292929293</v>
      </c>
      <c r="LN11" s="21"/>
      <c r="LO11" s="14"/>
    </row>
    <row r="12" spans="1:331" ht="20.100000000000001" customHeight="1" x14ac:dyDescent="0.25">
      <c r="A12" s="14"/>
      <c r="B12" s="14"/>
      <c r="C12" s="14"/>
      <c r="D12" s="14"/>
      <c r="E12" s="19"/>
      <c r="F12" s="33">
        <v>3</v>
      </c>
      <c r="G12" s="30" t="s">
        <v>309</v>
      </c>
      <c r="H12" s="208" t="s">
        <v>308</v>
      </c>
      <c r="I12" s="30">
        <v>500</v>
      </c>
      <c r="J12" s="30" t="s">
        <v>6</v>
      </c>
      <c r="K12" s="30" t="s">
        <v>255</v>
      </c>
      <c r="L12" s="66" t="s">
        <v>313</v>
      </c>
      <c r="M12" s="30">
        <v>1000</v>
      </c>
      <c r="N12" s="30" t="s">
        <v>235</v>
      </c>
      <c r="O12" s="30">
        <v>8</v>
      </c>
      <c r="P12" s="30">
        <v>500000</v>
      </c>
      <c r="Q12" s="30">
        <v>10</v>
      </c>
      <c r="R12" s="30">
        <v>8</v>
      </c>
      <c r="S12" s="29" t="s">
        <v>257</v>
      </c>
      <c r="T12" s="70">
        <v>1</v>
      </c>
      <c r="U12" s="70" t="s">
        <v>258</v>
      </c>
      <c r="V12" s="30">
        <v>4</v>
      </c>
      <c r="W12" s="30" t="s">
        <v>259</v>
      </c>
      <c r="X12" s="30">
        <v>1</v>
      </c>
      <c r="Y12" s="30" t="s">
        <v>273</v>
      </c>
      <c r="Z12" s="30">
        <v>1</v>
      </c>
      <c r="AA12" s="30" t="s">
        <v>235</v>
      </c>
      <c r="AB12" s="30" t="s">
        <v>235</v>
      </c>
      <c r="AC12" s="30" t="s">
        <v>235</v>
      </c>
      <c r="AD12" s="30" t="s">
        <v>235</v>
      </c>
      <c r="AE12" s="30" t="s">
        <v>235</v>
      </c>
      <c r="AF12" s="30" t="s">
        <v>235</v>
      </c>
      <c r="AG12" s="30" t="s">
        <v>235</v>
      </c>
      <c r="AH12" s="30" t="s">
        <v>235</v>
      </c>
      <c r="AI12" s="30" t="s">
        <v>235</v>
      </c>
      <c r="AJ12" s="30" t="s">
        <v>235</v>
      </c>
      <c r="AK12" s="30" t="s">
        <v>235</v>
      </c>
      <c r="AL12" s="30" t="s">
        <v>235</v>
      </c>
      <c r="AM12" s="30" t="s">
        <v>235</v>
      </c>
      <c r="AN12" s="30" t="s">
        <v>235</v>
      </c>
      <c r="AO12" s="30" t="s">
        <v>235</v>
      </c>
      <c r="AP12" s="30" t="s">
        <v>235</v>
      </c>
      <c r="AQ12" s="30" t="s">
        <v>235</v>
      </c>
      <c r="AR12" s="30" t="s">
        <v>235</v>
      </c>
      <c r="AS12" s="30" t="s">
        <v>235</v>
      </c>
      <c r="AT12" s="30" t="s">
        <v>235</v>
      </c>
      <c r="AU12" s="30" t="s">
        <v>235</v>
      </c>
      <c r="AV12" s="30" t="s">
        <v>235</v>
      </c>
      <c r="AW12" s="30" t="s">
        <v>235</v>
      </c>
      <c r="AX12" s="30" t="s">
        <v>235</v>
      </c>
      <c r="AY12" s="30" t="s">
        <v>235</v>
      </c>
      <c r="AZ12" s="30" t="s">
        <v>235</v>
      </c>
      <c r="BA12" s="30" t="s">
        <v>235</v>
      </c>
      <c r="BB12" s="30" t="s">
        <v>235</v>
      </c>
      <c r="BC12" s="30" t="s">
        <v>235</v>
      </c>
      <c r="BD12" s="30" t="s">
        <v>235</v>
      </c>
      <c r="BE12" s="30" t="s">
        <v>235</v>
      </c>
      <c r="BF12" s="30" t="s">
        <v>235</v>
      </c>
      <c r="BG12" s="30" t="s">
        <v>235</v>
      </c>
      <c r="BH12" s="30" t="s">
        <v>235</v>
      </c>
      <c r="BI12" s="30" t="s">
        <v>235</v>
      </c>
      <c r="BJ12" s="30" t="s">
        <v>235</v>
      </c>
      <c r="BK12" s="30" t="s">
        <v>235</v>
      </c>
      <c r="BL12" s="30" t="s">
        <v>235</v>
      </c>
      <c r="BM12" s="30" t="s">
        <v>235</v>
      </c>
      <c r="BN12" s="30" t="s">
        <v>235</v>
      </c>
      <c r="BO12" s="30" t="s">
        <v>235</v>
      </c>
      <c r="BP12" s="30" t="s">
        <v>235</v>
      </c>
      <c r="BQ12" s="30" t="s">
        <v>235</v>
      </c>
      <c r="BR12" s="30" t="s">
        <v>235</v>
      </c>
      <c r="BS12" s="30" t="s">
        <v>235</v>
      </c>
      <c r="BT12" s="30" t="s">
        <v>235</v>
      </c>
      <c r="BU12" s="30" t="s">
        <v>235</v>
      </c>
      <c r="BV12" s="30" t="s">
        <v>235</v>
      </c>
      <c r="BW12" s="30" t="s">
        <v>235</v>
      </c>
      <c r="BX12" s="30" t="s">
        <v>235</v>
      </c>
      <c r="BY12" s="30" t="s">
        <v>235</v>
      </c>
      <c r="BZ12" s="30" t="s">
        <v>235</v>
      </c>
      <c r="CA12" s="30" t="s">
        <v>235</v>
      </c>
      <c r="CB12" s="30" t="s">
        <v>235</v>
      </c>
      <c r="CC12" s="30" t="s">
        <v>235</v>
      </c>
      <c r="CD12" s="30" t="s">
        <v>235</v>
      </c>
      <c r="CE12" s="30" t="s">
        <v>235</v>
      </c>
      <c r="CF12" s="30" t="s">
        <v>235</v>
      </c>
      <c r="CG12" s="30" t="s">
        <v>235</v>
      </c>
      <c r="CH12" s="30" t="s">
        <v>235</v>
      </c>
      <c r="CI12" s="30" t="s">
        <v>235</v>
      </c>
      <c r="CJ12" s="30" t="s">
        <v>235</v>
      </c>
      <c r="CK12" s="30" t="s">
        <v>235</v>
      </c>
      <c r="CL12" s="30" t="s">
        <v>235</v>
      </c>
      <c r="CM12" s="30" t="s">
        <v>235</v>
      </c>
      <c r="CN12" s="30" t="s">
        <v>235</v>
      </c>
      <c r="CO12" s="30" t="s">
        <v>235</v>
      </c>
      <c r="CP12" s="30" t="s">
        <v>235</v>
      </c>
      <c r="CQ12" s="30" t="s">
        <v>235</v>
      </c>
      <c r="CR12" s="30" t="s">
        <v>235</v>
      </c>
      <c r="CS12" s="30" t="s">
        <v>235</v>
      </c>
      <c r="CT12" s="30" t="s">
        <v>235</v>
      </c>
      <c r="CU12" s="30">
        <v>1</v>
      </c>
      <c r="CV12" s="30">
        <v>200</v>
      </c>
      <c r="CW12" s="30">
        <v>100</v>
      </c>
      <c r="CX12" s="30">
        <v>201</v>
      </c>
      <c r="CY12" s="30">
        <v>400</v>
      </c>
      <c r="CZ12" s="30">
        <v>75</v>
      </c>
      <c r="DA12" s="30">
        <v>401</v>
      </c>
      <c r="DB12" s="30" t="s">
        <v>235</v>
      </c>
      <c r="DC12" s="30">
        <v>50</v>
      </c>
      <c r="DD12" s="30" t="s">
        <v>235</v>
      </c>
      <c r="DE12" s="30" t="s">
        <v>235</v>
      </c>
      <c r="DF12" s="30" t="s">
        <v>235</v>
      </c>
      <c r="DG12" s="30" t="s">
        <v>235</v>
      </c>
      <c r="DH12" s="30" t="s">
        <v>235</v>
      </c>
      <c r="DI12" s="30" t="s">
        <v>235</v>
      </c>
      <c r="DJ12" s="30" t="s">
        <v>310</v>
      </c>
      <c r="DK12" s="30">
        <v>1</v>
      </c>
      <c r="DL12" s="30" t="s">
        <v>268</v>
      </c>
      <c r="DM12" s="30">
        <v>150</v>
      </c>
      <c r="DN12" s="30" t="s">
        <v>279</v>
      </c>
      <c r="DO12" s="30">
        <v>3</v>
      </c>
      <c r="DP12" s="30" t="s">
        <v>268</v>
      </c>
      <c r="DQ12" s="30">
        <v>100</v>
      </c>
      <c r="DR12" s="30" t="s">
        <v>267</v>
      </c>
      <c r="DS12" s="30">
        <v>2</v>
      </c>
      <c r="DT12" s="30" t="s">
        <v>268</v>
      </c>
      <c r="DU12" s="30">
        <v>125</v>
      </c>
      <c r="DV12" s="30" t="s">
        <v>235</v>
      </c>
      <c r="DW12" s="30" t="s">
        <v>235</v>
      </c>
      <c r="DX12" s="30" t="s">
        <v>235</v>
      </c>
      <c r="DY12" s="30" t="s">
        <v>235</v>
      </c>
      <c r="DZ12" s="30" t="s">
        <v>235</v>
      </c>
      <c r="EA12" s="30" t="s">
        <v>235</v>
      </c>
      <c r="EB12" s="30" t="s">
        <v>235</v>
      </c>
      <c r="EC12" s="30" t="s">
        <v>235</v>
      </c>
      <c r="ED12" s="30" t="s">
        <v>235</v>
      </c>
      <c r="EE12" s="30" t="s">
        <v>235</v>
      </c>
      <c r="EF12" s="30" t="s">
        <v>235</v>
      </c>
      <c r="EG12" s="30" t="s">
        <v>235</v>
      </c>
      <c r="EH12" s="30" t="s">
        <v>235</v>
      </c>
      <c r="EI12" s="30" t="s">
        <v>235</v>
      </c>
      <c r="EJ12" s="30" t="s">
        <v>235</v>
      </c>
      <c r="EK12" s="30" t="s">
        <v>235</v>
      </c>
      <c r="EL12" s="30" t="s">
        <v>235</v>
      </c>
      <c r="EM12" s="30" t="s">
        <v>235</v>
      </c>
      <c r="EN12" s="30" t="s">
        <v>235</v>
      </c>
      <c r="EO12" s="30" t="s">
        <v>235</v>
      </c>
      <c r="EP12" s="30" t="s">
        <v>235</v>
      </c>
      <c r="EQ12" s="30" t="s">
        <v>235</v>
      </c>
      <c r="ER12" s="30" t="s">
        <v>235</v>
      </c>
      <c r="ES12" s="30" t="s">
        <v>235</v>
      </c>
      <c r="ET12" s="30" t="s">
        <v>235</v>
      </c>
      <c r="EU12" s="30" t="s">
        <v>235</v>
      </c>
      <c r="EV12" s="30" t="s">
        <v>235</v>
      </c>
      <c r="EW12" s="30" t="s">
        <v>235</v>
      </c>
      <c r="EX12" s="30" t="s">
        <v>235</v>
      </c>
      <c r="EY12" s="30" t="s">
        <v>235</v>
      </c>
      <c r="EZ12" s="30" t="s">
        <v>235</v>
      </c>
      <c r="FA12" s="30" t="s">
        <v>235</v>
      </c>
      <c r="FB12" s="30" t="s">
        <v>235</v>
      </c>
      <c r="FC12" s="30" t="s">
        <v>235</v>
      </c>
      <c r="FD12" s="30" t="s">
        <v>235</v>
      </c>
      <c r="FE12" s="30" t="s">
        <v>235</v>
      </c>
      <c r="FF12" s="30" t="s">
        <v>235</v>
      </c>
      <c r="FG12" s="30" t="s">
        <v>235</v>
      </c>
      <c r="FH12" s="30" t="s">
        <v>235</v>
      </c>
      <c r="FI12" s="30" t="s">
        <v>235</v>
      </c>
      <c r="FJ12" s="30" t="s">
        <v>235</v>
      </c>
      <c r="FK12" s="30" t="s">
        <v>235</v>
      </c>
      <c r="FL12" s="30" t="s">
        <v>235</v>
      </c>
      <c r="FM12" s="30" t="s">
        <v>235</v>
      </c>
      <c r="FN12" s="30" t="s">
        <v>235</v>
      </c>
      <c r="FO12" s="30" t="s">
        <v>235</v>
      </c>
      <c r="FP12" s="30" t="s">
        <v>235</v>
      </c>
      <c r="FQ12" s="30" t="s">
        <v>235</v>
      </c>
      <c r="FR12" s="30" t="s">
        <v>235</v>
      </c>
      <c r="FS12" s="30" t="s">
        <v>235</v>
      </c>
      <c r="FT12" s="30" t="s">
        <v>235</v>
      </c>
      <c r="FU12" s="30" t="s">
        <v>235</v>
      </c>
      <c r="FV12" s="30" t="s">
        <v>235</v>
      </c>
      <c r="FW12" s="30" t="s">
        <v>235</v>
      </c>
      <c r="FX12" s="30" t="s">
        <v>235</v>
      </c>
      <c r="FY12" s="30" t="s">
        <v>235</v>
      </c>
      <c r="FZ12" s="30" t="s">
        <v>235</v>
      </c>
      <c r="GA12" s="30" t="s">
        <v>235</v>
      </c>
      <c r="GB12" s="30" t="s">
        <v>235</v>
      </c>
      <c r="GC12" s="30" t="s">
        <v>235</v>
      </c>
      <c r="GD12" s="30" t="s">
        <v>235</v>
      </c>
      <c r="GE12" s="30" t="s">
        <v>235</v>
      </c>
      <c r="GF12" s="30" t="s">
        <v>235</v>
      </c>
      <c r="GG12" s="30" t="s">
        <v>235</v>
      </c>
      <c r="GH12" s="30" t="s">
        <v>235</v>
      </c>
      <c r="GI12" s="30" t="s">
        <v>235</v>
      </c>
      <c r="GJ12" s="30" t="s">
        <v>235</v>
      </c>
      <c r="GK12" s="30" t="s">
        <v>235</v>
      </c>
      <c r="GL12" s="30" t="s">
        <v>311</v>
      </c>
      <c r="GM12" s="30">
        <v>3</v>
      </c>
      <c r="GN12" s="30" t="s">
        <v>249</v>
      </c>
      <c r="GO12" s="30">
        <v>60</v>
      </c>
      <c r="GP12" s="30" t="s">
        <v>312</v>
      </c>
      <c r="GQ12" s="30">
        <v>2</v>
      </c>
      <c r="GR12" s="30" t="s">
        <v>244</v>
      </c>
      <c r="GS12" s="30">
        <v>25</v>
      </c>
      <c r="GT12" s="30" t="s">
        <v>235</v>
      </c>
      <c r="GU12" s="30" t="s">
        <v>235</v>
      </c>
      <c r="GV12" s="30" t="s">
        <v>235</v>
      </c>
      <c r="GW12" s="30" t="s">
        <v>235</v>
      </c>
      <c r="GX12" s="30" t="s">
        <v>235</v>
      </c>
      <c r="GY12" s="30" t="s">
        <v>235</v>
      </c>
      <c r="GZ12" s="30" t="s">
        <v>235</v>
      </c>
      <c r="HA12" s="30" t="s">
        <v>235</v>
      </c>
      <c r="HB12" s="30" t="s">
        <v>235</v>
      </c>
      <c r="HC12" s="30" t="s">
        <v>235</v>
      </c>
      <c r="HD12" s="30" t="s">
        <v>235</v>
      </c>
      <c r="HE12" s="30" t="s">
        <v>235</v>
      </c>
      <c r="HF12" s="30" t="s">
        <v>235</v>
      </c>
      <c r="HG12" s="30" t="s">
        <v>235</v>
      </c>
      <c r="HH12" s="30" t="s">
        <v>235</v>
      </c>
      <c r="HI12" s="30" t="s">
        <v>235</v>
      </c>
      <c r="HJ12" s="30" t="s">
        <v>235</v>
      </c>
      <c r="HK12" s="30" t="s">
        <v>235</v>
      </c>
      <c r="HL12" s="30" t="s">
        <v>235</v>
      </c>
      <c r="HM12" s="30" t="s">
        <v>235</v>
      </c>
      <c r="HN12" s="30" t="s">
        <v>235</v>
      </c>
      <c r="HO12" s="30" t="s">
        <v>235</v>
      </c>
      <c r="HP12" s="30" t="s">
        <v>235</v>
      </c>
      <c r="HQ12" s="30" t="s">
        <v>235</v>
      </c>
      <c r="HR12" s="30" t="s">
        <v>235</v>
      </c>
      <c r="HS12" s="30" t="s">
        <v>235</v>
      </c>
      <c r="HT12" s="30" t="s">
        <v>235</v>
      </c>
      <c r="HU12" s="30" t="s">
        <v>235</v>
      </c>
      <c r="HV12" s="30" t="s">
        <v>235</v>
      </c>
      <c r="HW12" s="30" t="s">
        <v>235</v>
      </c>
      <c r="HX12" s="30" t="s">
        <v>235</v>
      </c>
      <c r="HY12" s="30" t="s">
        <v>235</v>
      </c>
      <c r="HZ12" s="30" t="s">
        <v>235</v>
      </c>
      <c r="IA12" s="30" t="s">
        <v>235</v>
      </c>
      <c r="IB12" s="30" t="s">
        <v>235</v>
      </c>
      <c r="IC12" s="30" t="s">
        <v>235</v>
      </c>
      <c r="ID12" s="30" t="s">
        <v>235</v>
      </c>
      <c r="IE12" s="30" t="s">
        <v>235</v>
      </c>
      <c r="IF12" s="30" t="s">
        <v>235</v>
      </c>
      <c r="IG12" s="30" t="s">
        <v>235</v>
      </c>
      <c r="IH12" s="30" t="s">
        <v>235</v>
      </c>
      <c r="II12" s="30" t="s">
        <v>235</v>
      </c>
      <c r="IJ12" s="30" t="s">
        <v>235</v>
      </c>
      <c r="IK12" s="30" t="s">
        <v>235</v>
      </c>
      <c r="IL12" s="30" t="s">
        <v>235</v>
      </c>
      <c r="IM12" s="30" t="s">
        <v>235</v>
      </c>
      <c r="IN12" s="30" t="s">
        <v>235</v>
      </c>
      <c r="IO12" s="30" t="s">
        <v>235</v>
      </c>
      <c r="IP12" s="30" t="s">
        <v>235</v>
      </c>
      <c r="IQ12" s="30" t="s">
        <v>235</v>
      </c>
      <c r="IR12" s="30" t="s">
        <v>235</v>
      </c>
      <c r="IS12" s="30" t="s">
        <v>235</v>
      </c>
      <c r="IT12" s="30" t="s">
        <v>235</v>
      </c>
      <c r="IU12" s="30" t="s">
        <v>235</v>
      </c>
      <c r="IV12" s="30" t="s">
        <v>235</v>
      </c>
      <c r="IW12" s="30" t="s">
        <v>235</v>
      </c>
      <c r="IX12" s="30" t="s">
        <v>235</v>
      </c>
      <c r="IY12" s="30" t="s">
        <v>235</v>
      </c>
      <c r="IZ12" s="30" t="s">
        <v>235</v>
      </c>
      <c r="JA12" s="30" t="s">
        <v>235</v>
      </c>
      <c r="JB12" s="30" t="s">
        <v>235</v>
      </c>
      <c r="JC12" s="30" t="s">
        <v>235</v>
      </c>
      <c r="JD12" s="30" t="s">
        <v>235</v>
      </c>
      <c r="JE12" s="30" t="s">
        <v>235</v>
      </c>
      <c r="JF12" s="30" t="s">
        <v>235</v>
      </c>
      <c r="JG12" s="30" t="s">
        <v>235</v>
      </c>
      <c r="JH12" s="30" t="s">
        <v>235</v>
      </c>
      <c r="JI12" s="30" t="s">
        <v>235</v>
      </c>
      <c r="JJ12" s="30" t="s">
        <v>235</v>
      </c>
      <c r="JK12" s="30" t="s">
        <v>235</v>
      </c>
      <c r="JL12" s="30" t="s">
        <v>235</v>
      </c>
      <c r="JM12" s="30" t="s">
        <v>235</v>
      </c>
      <c r="JN12" s="30" t="s">
        <v>235</v>
      </c>
      <c r="JO12" s="30" t="s">
        <v>235</v>
      </c>
      <c r="JP12" s="30" t="s">
        <v>235</v>
      </c>
      <c r="JQ12" s="30" t="s">
        <v>235</v>
      </c>
      <c r="JR12" s="30" t="s">
        <v>235</v>
      </c>
      <c r="JS12" s="30" t="s">
        <v>235</v>
      </c>
      <c r="JT12" s="30" t="s">
        <v>235</v>
      </c>
      <c r="JU12" s="30" t="s">
        <v>235</v>
      </c>
      <c r="JV12" s="30" t="s">
        <v>235</v>
      </c>
      <c r="JW12" s="30" t="s">
        <v>235</v>
      </c>
      <c r="JX12" s="30" t="s">
        <v>235</v>
      </c>
      <c r="JY12" s="30" t="s">
        <v>235</v>
      </c>
      <c r="JZ12" s="30" t="s">
        <v>235</v>
      </c>
      <c r="KA12" s="30" t="s">
        <v>235</v>
      </c>
      <c r="KB12" s="30" t="s">
        <v>235</v>
      </c>
      <c r="KC12" s="30" t="s">
        <v>235</v>
      </c>
      <c r="KD12" s="30" t="s">
        <v>235</v>
      </c>
      <c r="KE12" s="30" t="s">
        <v>235</v>
      </c>
      <c r="KF12" s="30" t="s">
        <v>235</v>
      </c>
      <c r="KG12" s="30" t="s">
        <v>235</v>
      </c>
      <c r="KH12" s="30" t="s">
        <v>235</v>
      </c>
      <c r="KI12" s="30" t="s">
        <v>235</v>
      </c>
      <c r="KJ12" s="30" t="s">
        <v>235</v>
      </c>
      <c r="KK12" s="30" t="s">
        <v>235</v>
      </c>
      <c r="KL12" s="30" t="s">
        <v>235</v>
      </c>
      <c r="KM12" s="30" t="s">
        <v>235</v>
      </c>
      <c r="KN12" s="30" t="s">
        <v>235</v>
      </c>
      <c r="KO12" s="30" t="s">
        <v>235</v>
      </c>
      <c r="KP12" s="30" t="s">
        <v>235</v>
      </c>
      <c r="KQ12" s="30" t="s">
        <v>235</v>
      </c>
      <c r="KR12" s="30" t="s">
        <v>235</v>
      </c>
      <c r="KS12" s="30" t="s">
        <v>235</v>
      </c>
      <c r="KT12" s="30" t="s">
        <v>235</v>
      </c>
      <c r="KU12" s="30" t="s">
        <v>235</v>
      </c>
      <c r="KV12" s="30" t="s">
        <v>235</v>
      </c>
      <c r="KW12" s="30" t="s">
        <v>235</v>
      </c>
      <c r="KX12" s="30" t="s">
        <v>235</v>
      </c>
      <c r="KY12" s="30" t="s">
        <v>235</v>
      </c>
      <c r="KZ12" s="30" t="s">
        <v>235</v>
      </c>
      <c r="LA12" s="30" t="s">
        <v>235</v>
      </c>
      <c r="LB12" s="23"/>
      <c r="LC12" s="264">
        <v>627.13333333333333</v>
      </c>
      <c r="LD12" s="264">
        <v>700</v>
      </c>
      <c r="LE12" s="264">
        <v>100</v>
      </c>
      <c r="LF12" s="264">
        <v>230</v>
      </c>
      <c r="LG12" s="23"/>
      <c r="LH12" s="264">
        <v>1657.1333333333332</v>
      </c>
      <c r="LI12" s="264">
        <v>1000</v>
      </c>
      <c r="LJ12" s="264" t="s">
        <v>235</v>
      </c>
      <c r="LK12" s="264">
        <v>212.57066666666665</v>
      </c>
      <c r="LL12" s="264">
        <v>28.986909090909194</v>
      </c>
      <c r="LM12" s="264">
        <v>2898.6909090909089</v>
      </c>
      <c r="LN12" s="21"/>
      <c r="LO12" s="14"/>
    </row>
    <row r="13" spans="1:331" ht="20.100000000000001" customHeight="1" x14ac:dyDescent="0.25">
      <c r="A13" s="14"/>
      <c r="B13" s="14"/>
      <c r="C13" s="14"/>
      <c r="D13" s="14"/>
      <c r="E13" s="19"/>
      <c r="F13" s="33">
        <v>4</v>
      </c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29"/>
      <c r="T13" s="7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30"/>
      <c r="EE13" s="30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30"/>
      <c r="EQ13" s="30"/>
      <c r="ER13" s="30"/>
      <c r="ES13" s="30"/>
      <c r="ET13" s="30"/>
      <c r="EU13" s="30"/>
      <c r="EV13" s="30"/>
      <c r="EW13" s="30"/>
      <c r="EX13" s="30"/>
      <c r="EY13" s="30"/>
      <c r="EZ13" s="30"/>
      <c r="FA13" s="30"/>
      <c r="FB13" s="30"/>
      <c r="FC13" s="30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30"/>
      <c r="FO13" s="30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30"/>
      <c r="GA13" s="30"/>
      <c r="GB13" s="30"/>
      <c r="GC13" s="30"/>
      <c r="GD13" s="30"/>
      <c r="GE13" s="30"/>
      <c r="GF13" s="30"/>
      <c r="GG13" s="30"/>
      <c r="GH13" s="30"/>
      <c r="GI13" s="30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  <c r="IG13" s="30"/>
      <c r="IH13" s="30"/>
      <c r="II13" s="30"/>
      <c r="IJ13" s="30"/>
      <c r="IK13" s="30"/>
      <c r="IL13" s="30"/>
      <c r="IM13" s="30"/>
      <c r="IN13" s="30"/>
      <c r="IO13" s="30"/>
      <c r="IP13" s="30"/>
      <c r="IQ13" s="30"/>
      <c r="IR13" s="30"/>
      <c r="IS13" s="30"/>
      <c r="IT13" s="30"/>
      <c r="IU13" s="30"/>
      <c r="IV13" s="30"/>
      <c r="IW13" s="30"/>
      <c r="IX13" s="30"/>
      <c r="IY13" s="30"/>
      <c r="IZ13" s="30"/>
      <c r="JA13" s="30"/>
      <c r="JB13" s="30"/>
      <c r="JC13" s="30"/>
      <c r="JD13" s="30"/>
      <c r="JE13" s="30"/>
      <c r="JF13" s="30"/>
      <c r="JG13" s="30"/>
      <c r="JH13" s="30"/>
      <c r="JI13" s="30"/>
      <c r="JJ13" s="30"/>
      <c r="JK13" s="30"/>
      <c r="JL13" s="30"/>
      <c r="JM13" s="30"/>
      <c r="JN13" s="30"/>
      <c r="JO13" s="30"/>
      <c r="JP13" s="30"/>
      <c r="JQ13" s="30"/>
      <c r="JR13" s="30"/>
      <c r="JS13" s="30"/>
      <c r="JT13" s="30"/>
      <c r="JU13" s="30"/>
      <c r="JV13" s="30"/>
      <c r="JW13" s="30"/>
      <c r="JX13" s="30"/>
      <c r="JY13" s="30"/>
      <c r="JZ13" s="30"/>
      <c r="KA13" s="30"/>
      <c r="KB13" s="30"/>
      <c r="KC13" s="30"/>
      <c r="KD13" s="30"/>
      <c r="KE13" s="30"/>
      <c r="KF13" s="30"/>
      <c r="KG13" s="30"/>
      <c r="KH13" s="30"/>
      <c r="KI13" s="30"/>
      <c r="KJ13" s="30"/>
      <c r="KK13" s="30"/>
      <c r="KL13" s="30"/>
      <c r="KM13" s="30"/>
      <c r="KN13" s="30"/>
      <c r="KO13" s="30"/>
      <c r="KP13" s="30"/>
      <c r="KQ13" s="30"/>
      <c r="KR13" s="30"/>
      <c r="KS13" s="30"/>
      <c r="KT13" s="30"/>
      <c r="KU13" s="30"/>
      <c r="KV13" s="30"/>
      <c r="KW13" s="30"/>
      <c r="KX13" s="30"/>
      <c r="KY13" s="30"/>
      <c r="KZ13" s="30"/>
      <c r="LA13" s="30"/>
      <c r="LB13" s="23"/>
      <c r="LC13" s="264"/>
      <c r="LD13" s="264"/>
      <c r="LE13" s="264"/>
      <c r="LF13" s="264"/>
      <c r="LG13" s="23"/>
      <c r="LH13" s="264"/>
      <c r="LI13" s="264"/>
      <c r="LJ13" s="264"/>
      <c r="LK13" s="264"/>
      <c r="LL13" s="264"/>
      <c r="LM13" s="264"/>
      <c r="LN13" s="21"/>
      <c r="LO13" s="14"/>
    </row>
    <row r="14" spans="1:331" ht="20.100000000000001" customHeight="1" x14ac:dyDescent="0.25">
      <c r="A14" s="14"/>
      <c r="B14" s="14"/>
      <c r="C14" s="14"/>
      <c r="D14" s="14"/>
      <c r="E14" s="19"/>
      <c r="F14" s="33">
        <v>5</v>
      </c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29"/>
      <c r="T14" s="70"/>
      <c r="U14" s="32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30"/>
      <c r="EV14" s="30"/>
      <c r="EW14" s="30"/>
      <c r="EX14" s="30"/>
      <c r="EY14" s="30"/>
      <c r="EZ14" s="30"/>
      <c r="FA14" s="30"/>
      <c r="FB14" s="30"/>
      <c r="FC14" s="30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30"/>
      <c r="FO14" s="30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30"/>
      <c r="GA14" s="30"/>
      <c r="GB14" s="30"/>
      <c r="GC14" s="30"/>
      <c r="GD14" s="30"/>
      <c r="GE14" s="30"/>
      <c r="GF14" s="30"/>
      <c r="GG14" s="30"/>
      <c r="GH14" s="30"/>
      <c r="GI14" s="30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  <c r="IG14" s="30"/>
      <c r="IH14" s="30"/>
      <c r="II14" s="30"/>
      <c r="IJ14" s="30"/>
      <c r="IK14" s="30"/>
      <c r="IL14" s="30"/>
      <c r="IM14" s="30"/>
      <c r="IN14" s="30"/>
      <c r="IO14" s="30"/>
      <c r="IP14" s="30"/>
      <c r="IQ14" s="30"/>
      <c r="IR14" s="30"/>
      <c r="IS14" s="30"/>
      <c r="IT14" s="30"/>
      <c r="IU14" s="30"/>
      <c r="IV14" s="30"/>
      <c r="IW14" s="30"/>
      <c r="IX14" s="30"/>
      <c r="IY14" s="30"/>
      <c r="IZ14" s="30"/>
      <c r="JA14" s="30"/>
      <c r="JB14" s="30"/>
      <c r="JC14" s="30"/>
      <c r="JD14" s="30"/>
      <c r="JE14" s="30"/>
      <c r="JF14" s="30"/>
      <c r="JG14" s="30"/>
      <c r="JH14" s="30"/>
      <c r="JI14" s="30"/>
      <c r="JJ14" s="30"/>
      <c r="JK14" s="30"/>
      <c r="JL14" s="30"/>
      <c r="JM14" s="30"/>
      <c r="JN14" s="30"/>
      <c r="JO14" s="30"/>
      <c r="JP14" s="30"/>
      <c r="JQ14" s="30"/>
      <c r="JR14" s="30"/>
      <c r="JS14" s="30"/>
      <c r="JT14" s="30"/>
      <c r="JU14" s="30"/>
      <c r="JV14" s="30"/>
      <c r="JW14" s="30"/>
      <c r="JX14" s="30"/>
      <c r="JY14" s="30"/>
      <c r="JZ14" s="30"/>
      <c r="KA14" s="30"/>
      <c r="KB14" s="30"/>
      <c r="KC14" s="30"/>
      <c r="KD14" s="30"/>
      <c r="KE14" s="30"/>
      <c r="KF14" s="30"/>
      <c r="KG14" s="30"/>
      <c r="KH14" s="30"/>
      <c r="KI14" s="30"/>
      <c r="KJ14" s="30"/>
      <c r="KK14" s="30"/>
      <c r="KL14" s="30"/>
      <c r="KM14" s="30"/>
      <c r="KN14" s="30"/>
      <c r="KO14" s="30"/>
      <c r="KP14" s="30"/>
      <c r="KQ14" s="30"/>
      <c r="KR14" s="30"/>
      <c r="KS14" s="30"/>
      <c r="KT14" s="30"/>
      <c r="KU14" s="30"/>
      <c r="KV14" s="30"/>
      <c r="KW14" s="30"/>
      <c r="KX14" s="30"/>
      <c r="KY14" s="30"/>
      <c r="KZ14" s="30"/>
      <c r="LA14" s="30"/>
      <c r="LB14" s="23"/>
      <c r="LC14" s="264"/>
      <c r="LD14" s="264"/>
      <c r="LE14" s="264"/>
      <c r="LF14" s="264"/>
      <c r="LG14" s="23"/>
      <c r="LH14" s="264"/>
      <c r="LI14" s="264"/>
      <c r="LJ14" s="264"/>
      <c r="LK14" s="264"/>
      <c r="LL14" s="264"/>
      <c r="LM14" s="264"/>
      <c r="LN14" s="21"/>
      <c r="LO14" s="14"/>
    </row>
    <row r="15" spans="1:331" ht="20.100000000000001" customHeight="1" x14ac:dyDescent="0.25">
      <c r="A15" s="14"/>
      <c r="B15" s="14"/>
      <c r="C15" s="14"/>
      <c r="D15" s="14"/>
      <c r="E15" s="19"/>
      <c r="F15" s="33">
        <v>6</v>
      </c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29"/>
      <c r="T15" s="7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30"/>
      <c r="FC15" s="30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30"/>
      <c r="FO15" s="30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30"/>
      <c r="GA15" s="30"/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  <c r="IG15" s="30"/>
      <c r="IH15" s="30"/>
      <c r="II15" s="30"/>
      <c r="IJ15" s="30"/>
      <c r="IK15" s="30"/>
      <c r="IL15" s="30"/>
      <c r="IM15" s="30"/>
      <c r="IN15" s="30"/>
      <c r="IO15" s="30"/>
      <c r="IP15" s="30"/>
      <c r="IQ15" s="30"/>
      <c r="IR15" s="30"/>
      <c r="IS15" s="30"/>
      <c r="IT15" s="30"/>
      <c r="IU15" s="30"/>
      <c r="IV15" s="30"/>
      <c r="IW15" s="30"/>
      <c r="IX15" s="30"/>
      <c r="IY15" s="30"/>
      <c r="IZ15" s="30"/>
      <c r="JA15" s="30"/>
      <c r="JB15" s="30"/>
      <c r="JC15" s="30"/>
      <c r="JD15" s="30"/>
      <c r="JE15" s="30"/>
      <c r="JF15" s="30"/>
      <c r="JG15" s="30"/>
      <c r="JH15" s="30"/>
      <c r="JI15" s="30"/>
      <c r="JJ15" s="30"/>
      <c r="JK15" s="30"/>
      <c r="JL15" s="30"/>
      <c r="JM15" s="30"/>
      <c r="JN15" s="30"/>
      <c r="JO15" s="30"/>
      <c r="JP15" s="30"/>
      <c r="JQ15" s="30"/>
      <c r="JR15" s="30"/>
      <c r="JS15" s="30"/>
      <c r="JT15" s="30"/>
      <c r="JU15" s="30"/>
      <c r="JV15" s="30"/>
      <c r="JW15" s="30"/>
      <c r="JX15" s="30"/>
      <c r="JY15" s="30"/>
      <c r="JZ15" s="30"/>
      <c r="KA15" s="30"/>
      <c r="KB15" s="30"/>
      <c r="KC15" s="30"/>
      <c r="KD15" s="30"/>
      <c r="KE15" s="30"/>
      <c r="KF15" s="30"/>
      <c r="KG15" s="30"/>
      <c r="KH15" s="30"/>
      <c r="KI15" s="30"/>
      <c r="KJ15" s="30"/>
      <c r="KK15" s="30"/>
      <c r="KL15" s="30"/>
      <c r="KM15" s="30"/>
      <c r="KN15" s="30"/>
      <c r="KO15" s="30"/>
      <c r="KP15" s="30"/>
      <c r="KQ15" s="30"/>
      <c r="KR15" s="30"/>
      <c r="KS15" s="30"/>
      <c r="KT15" s="30"/>
      <c r="KU15" s="30"/>
      <c r="KV15" s="30"/>
      <c r="KW15" s="30"/>
      <c r="KX15" s="30"/>
      <c r="KY15" s="30"/>
      <c r="KZ15" s="30"/>
      <c r="LA15" s="30"/>
      <c r="LB15" s="23"/>
      <c r="LC15" s="264"/>
      <c r="LD15" s="264"/>
      <c r="LE15" s="264"/>
      <c r="LF15" s="264"/>
      <c r="LG15" s="23"/>
      <c r="LH15" s="264"/>
      <c r="LI15" s="264"/>
      <c r="LJ15" s="264"/>
      <c r="LK15" s="264"/>
      <c r="LL15" s="264"/>
      <c r="LM15" s="264"/>
      <c r="LN15" s="21"/>
      <c r="LO15" s="14"/>
    </row>
    <row r="16" spans="1:331" ht="20.100000000000001" customHeight="1" x14ac:dyDescent="0.25">
      <c r="A16" s="14"/>
      <c r="B16" s="14"/>
      <c r="C16" s="14"/>
      <c r="D16" s="14"/>
      <c r="E16" s="19"/>
      <c r="F16" s="33">
        <v>7</v>
      </c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29"/>
      <c r="T16" s="70"/>
      <c r="U16" s="7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30"/>
      <c r="FC16" s="30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30"/>
      <c r="FO16" s="30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30"/>
      <c r="GA16" s="30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30"/>
      <c r="II16" s="30"/>
      <c r="IJ16" s="30"/>
      <c r="IK16" s="30"/>
      <c r="IL16" s="30"/>
      <c r="IM16" s="30"/>
      <c r="IN16" s="30"/>
      <c r="IO16" s="30"/>
      <c r="IP16" s="30"/>
      <c r="IQ16" s="30"/>
      <c r="IR16" s="30"/>
      <c r="IS16" s="30"/>
      <c r="IT16" s="30"/>
      <c r="IU16" s="30"/>
      <c r="IV16" s="30"/>
      <c r="IW16" s="30"/>
      <c r="IX16" s="30"/>
      <c r="IY16" s="30"/>
      <c r="IZ16" s="30"/>
      <c r="JA16" s="30"/>
      <c r="JB16" s="30"/>
      <c r="JC16" s="30"/>
      <c r="JD16" s="30"/>
      <c r="JE16" s="30"/>
      <c r="JF16" s="30"/>
      <c r="JG16" s="30"/>
      <c r="JH16" s="30"/>
      <c r="JI16" s="30"/>
      <c r="JJ16" s="30"/>
      <c r="JK16" s="30"/>
      <c r="JL16" s="30"/>
      <c r="JM16" s="30"/>
      <c r="JN16" s="30"/>
      <c r="JO16" s="30"/>
      <c r="JP16" s="30"/>
      <c r="JQ16" s="30"/>
      <c r="JR16" s="30"/>
      <c r="JS16" s="30"/>
      <c r="JT16" s="30"/>
      <c r="JU16" s="30"/>
      <c r="JV16" s="30"/>
      <c r="JW16" s="30"/>
      <c r="JX16" s="30"/>
      <c r="JY16" s="30"/>
      <c r="JZ16" s="30"/>
      <c r="KA16" s="30"/>
      <c r="KB16" s="30"/>
      <c r="KC16" s="30"/>
      <c r="KD16" s="30"/>
      <c r="KE16" s="30"/>
      <c r="KF16" s="30"/>
      <c r="KG16" s="30"/>
      <c r="KH16" s="30"/>
      <c r="KI16" s="30"/>
      <c r="KJ16" s="30"/>
      <c r="KK16" s="30"/>
      <c r="KL16" s="30"/>
      <c r="KM16" s="30"/>
      <c r="KN16" s="30"/>
      <c r="KO16" s="30"/>
      <c r="KP16" s="30"/>
      <c r="KQ16" s="30"/>
      <c r="KR16" s="30"/>
      <c r="KS16" s="30"/>
      <c r="KT16" s="30"/>
      <c r="KU16" s="30"/>
      <c r="KV16" s="30"/>
      <c r="KW16" s="30"/>
      <c r="KX16" s="30"/>
      <c r="KY16" s="30"/>
      <c r="KZ16" s="30"/>
      <c r="LA16" s="30"/>
      <c r="LB16" s="23"/>
      <c r="LC16" s="264"/>
      <c r="LD16" s="264"/>
      <c r="LE16" s="264"/>
      <c r="LF16" s="264"/>
      <c r="LG16" s="23"/>
      <c r="LH16" s="264"/>
      <c r="LI16" s="264"/>
      <c r="LJ16" s="264"/>
      <c r="LK16" s="264"/>
      <c r="LL16" s="264"/>
      <c r="LM16" s="264"/>
      <c r="LN16" s="21"/>
      <c r="LO16" s="14"/>
    </row>
    <row r="17" spans="1:327" ht="20.100000000000001" customHeight="1" x14ac:dyDescent="0.25">
      <c r="A17" s="14"/>
      <c r="B17" s="14"/>
      <c r="C17" s="14"/>
      <c r="D17" s="14"/>
      <c r="E17" s="19"/>
      <c r="F17" s="33">
        <v>8</v>
      </c>
      <c r="G17" s="67"/>
      <c r="H17" s="261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29"/>
      <c r="T17" s="7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30"/>
      <c r="FC17" s="30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30"/>
      <c r="FO17" s="30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30"/>
      <c r="GA17" s="30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  <c r="IG17" s="30"/>
      <c r="IH17" s="30"/>
      <c r="II17" s="30"/>
      <c r="IJ17" s="30"/>
      <c r="IK17" s="30"/>
      <c r="IL17" s="30"/>
      <c r="IM17" s="30"/>
      <c r="IN17" s="30"/>
      <c r="IO17" s="30"/>
      <c r="IP17" s="30"/>
      <c r="IQ17" s="30"/>
      <c r="IR17" s="30"/>
      <c r="IS17" s="30"/>
      <c r="IT17" s="30"/>
      <c r="IU17" s="30"/>
      <c r="IV17" s="30"/>
      <c r="IW17" s="30"/>
      <c r="IX17" s="30"/>
      <c r="IY17" s="30"/>
      <c r="IZ17" s="30"/>
      <c r="JA17" s="30"/>
      <c r="JB17" s="30"/>
      <c r="JC17" s="30"/>
      <c r="JD17" s="30"/>
      <c r="JE17" s="30"/>
      <c r="JF17" s="30"/>
      <c r="JG17" s="30"/>
      <c r="JH17" s="30"/>
      <c r="JI17" s="30"/>
      <c r="JJ17" s="30"/>
      <c r="JK17" s="30"/>
      <c r="JL17" s="30"/>
      <c r="JM17" s="30"/>
      <c r="JN17" s="30"/>
      <c r="JO17" s="30"/>
      <c r="JP17" s="30"/>
      <c r="JQ17" s="30"/>
      <c r="JR17" s="30"/>
      <c r="JS17" s="30"/>
      <c r="JT17" s="30"/>
      <c r="JU17" s="30"/>
      <c r="JV17" s="30"/>
      <c r="JW17" s="30"/>
      <c r="JX17" s="30"/>
      <c r="JY17" s="30"/>
      <c r="JZ17" s="30"/>
      <c r="KA17" s="30"/>
      <c r="KB17" s="30"/>
      <c r="KC17" s="30"/>
      <c r="KD17" s="30"/>
      <c r="KE17" s="30"/>
      <c r="KF17" s="30"/>
      <c r="KG17" s="30"/>
      <c r="KH17" s="30"/>
      <c r="KI17" s="30"/>
      <c r="KJ17" s="30"/>
      <c r="KK17" s="30"/>
      <c r="KL17" s="30"/>
      <c r="KM17" s="30"/>
      <c r="KN17" s="30"/>
      <c r="KO17" s="30"/>
      <c r="KP17" s="30"/>
      <c r="KQ17" s="30"/>
      <c r="KR17" s="30"/>
      <c r="KS17" s="30"/>
      <c r="KT17" s="30"/>
      <c r="KU17" s="30"/>
      <c r="KV17" s="30"/>
      <c r="KW17" s="30"/>
      <c r="KX17" s="30"/>
      <c r="KY17" s="30"/>
      <c r="KZ17" s="30"/>
      <c r="LA17" s="30"/>
      <c r="LB17" s="23"/>
      <c r="LC17" s="264"/>
      <c r="LD17" s="264"/>
      <c r="LE17" s="264"/>
      <c r="LF17" s="264"/>
      <c r="LG17" s="23"/>
      <c r="LH17" s="264"/>
      <c r="LI17" s="264"/>
      <c r="LJ17" s="264"/>
      <c r="LK17" s="264"/>
      <c r="LL17" s="264"/>
      <c r="LM17" s="264"/>
      <c r="LN17" s="21"/>
      <c r="LO17" s="14"/>
    </row>
    <row r="18" spans="1:327" ht="20.100000000000001" customHeight="1" x14ac:dyDescent="0.25">
      <c r="A18" s="14"/>
      <c r="B18" s="14"/>
      <c r="C18" s="14"/>
      <c r="D18" s="14"/>
      <c r="E18" s="19"/>
      <c r="F18" s="33">
        <v>9</v>
      </c>
      <c r="G18" s="67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29"/>
      <c r="T18" s="70"/>
      <c r="U18" s="32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  <c r="DS18" s="30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30"/>
      <c r="EE18" s="30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30"/>
      <c r="EV18" s="30"/>
      <c r="EW18" s="30"/>
      <c r="EX18" s="30"/>
      <c r="EY18" s="30"/>
      <c r="EZ18" s="30"/>
      <c r="FA18" s="30"/>
      <c r="FB18" s="30"/>
      <c r="FC18" s="30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30"/>
      <c r="FO18" s="30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30"/>
      <c r="GA18" s="30"/>
      <c r="GB18" s="30"/>
      <c r="GC18" s="30"/>
      <c r="GD18" s="30"/>
      <c r="GE18" s="30"/>
      <c r="GF18" s="30"/>
      <c r="GG18" s="30"/>
      <c r="GH18" s="30"/>
      <c r="GI18" s="30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  <c r="IG18" s="30"/>
      <c r="IH18" s="30"/>
      <c r="II18" s="30"/>
      <c r="IJ18" s="30"/>
      <c r="IK18" s="30"/>
      <c r="IL18" s="30"/>
      <c r="IM18" s="30"/>
      <c r="IN18" s="30"/>
      <c r="IO18" s="30"/>
      <c r="IP18" s="30"/>
      <c r="IQ18" s="30"/>
      <c r="IR18" s="30"/>
      <c r="IS18" s="30"/>
      <c r="IT18" s="30"/>
      <c r="IU18" s="30"/>
      <c r="IV18" s="30"/>
      <c r="IW18" s="30"/>
      <c r="IX18" s="30"/>
      <c r="IY18" s="30"/>
      <c r="IZ18" s="30"/>
      <c r="JA18" s="30"/>
      <c r="JB18" s="30"/>
      <c r="JC18" s="30"/>
      <c r="JD18" s="30"/>
      <c r="JE18" s="30"/>
      <c r="JF18" s="30"/>
      <c r="JG18" s="30"/>
      <c r="JH18" s="30"/>
      <c r="JI18" s="30"/>
      <c r="JJ18" s="30"/>
      <c r="JK18" s="30"/>
      <c r="JL18" s="30"/>
      <c r="JM18" s="30"/>
      <c r="JN18" s="30"/>
      <c r="JO18" s="30"/>
      <c r="JP18" s="30"/>
      <c r="JQ18" s="30"/>
      <c r="JR18" s="30"/>
      <c r="JS18" s="30"/>
      <c r="JT18" s="30"/>
      <c r="JU18" s="30"/>
      <c r="JV18" s="30"/>
      <c r="JW18" s="30"/>
      <c r="JX18" s="30"/>
      <c r="JY18" s="30"/>
      <c r="JZ18" s="30"/>
      <c r="KA18" s="30"/>
      <c r="KB18" s="30"/>
      <c r="KC18" s="30"/>
      <c r="KD18" s="30"/>
      <c r="KE18" s="30"/>
      <c r="KF18" s="30"/>
      <c r="KG18" s="30"/>
      <c r="KH18" s="30"/>
      <c r="KI18" s="30"/>
      <c r="KJ18" s="30"/>
      <c r="KK18" s="30"/>
      <c r="KL18" s="30"/>
      <c r="KM18" s="30"/>
      <c r="KN18" s="30"/>
      <c r="KO18" s="30"/>
      <c r="KP18" s="30"/>
      <c r="KQ18" s="30"/>
      <c r="KR18" s="30"/>
      <c r="KS18" s="30"/>
      <c r="KT18" s="30"/>
      <c r="KU18" s="30"/>
      <c r="KV18" s="30"/>
      <c r="KW18" s="30"/>
      <c r="KX18" s="30"/>
      <c r="KY18" s="30"/>
      <c r="KZ18" s="30"/>
      <c r="LA18" s="30"/>
      <c r="LB18" s="23"/>
      <c r="LC18" s="264"/>
      <c r="LD18" s="264"/>
      <c r="LE18" s="264"/>
      <c r="LF18" s="264"/>
      <c r="LG18" s="23"/>
      <c r="LH18" s="264"/>
      <c r="LI18" s="264"/>
      <c r="LJ18" s="264"/>
      <c r="LK18" s="264"/>
      <c r="LL18" s="264"/>
      <c r="LM18" s="264"/>
      <c r="LN18" s="21"/>
      <c r="LO18" s="14"/>
    </row>
    <row r="19" spans="1:327" ht="20.100000000000001" customHeight="1" x14ac:dyDescent="0.25">
      <c r="A19" s="14"/>
      <c r="B19" s="14"/>
      <c r="C19" s="14"/>
      <c r="D19" s="14"/>
      <c r="E19" s="19"/>
      <c r="F19" s="33">
        <v>10</v>
      </c>
      <c r="G19" s="67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29"/>
      <c r="T19" s="7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30"/>
      <c r="II19" s="30"/>
      <c r="IJ19" s="30"/>
      <c r="IK19" s="30"/>
      <c r="IL19" s="30"/>
      <c r="IM19" s="30"/>
      <c r="IN19" s="30"/>
      <c r="IO19" s="30"/>
      <c r="IP19" s="30"/>
      <c r="IQ19" s="30"/>
      <c r="IR19" s="30"/>
      <c r="IS19" s="30"/>
      <c r="IT19" s="30"/>
      <c r="IU19" s="30"/>
      <c r="IV19" s="30"/>
      <c r="IW19" s="30"/>
      <c r="IX19" s="30"/>
      <c r="IY19" s="30"/>
      <c r="IZ19" s="30"/>
      <c r="JA19" s="30"/>
      <c r="JB19" s="30"/>
      <c r="JC19" s="30"/>
      <c r="JD19" s="30"/>
      <c r="JE19" s="30"/>
      <c r="JF19" s="30"/>
      <c r="JG19" s="30"/>
      <c r="JH19" s="30"/>
      <c r="JI19" s="30"/>
      <c r="JJ19" s="30"/>
      <c r="JK19" s="30"/>
      <c r="JL19" s="30"/>
      <c r="JM19" s="30"/>
      <c r="JN19" s="30"/>
      <c r="JO19" s="30"/>
      <c r="JP19" s="30"/>
      <c r="JQ19" s="30"/>
      <c r="JR19" s="30"/>
      <c r="JS19" s="30"/>
      <c r="JT19" s="30"/>
      <c r="JU19" s="30"/>
      <c r="JV19" s="30"/>
      <c r="JW19" s="30"/>
      <c r="JX19" s="30"/>
      <c r="JY19" s="30"/>
      <c r="JZ19" s="30"/>
      <c r="KA19" s="30"/>
      <c r="KB19" s="30"/>
      <c r="KC19" s="30"/>
      <c r="KD19" s="30"/>
      <c r="KE19" s="30"/>
      <c r="KF19" s="30"/>
      <c r="KG19" s="30"/>
      <c r="KH19" s="30"/>
      <c r="KI19" s="30"/>
      <c r="KJ19" s="30"/>
      <c r="KK19" s="30"/>
      <c r="KL19" s="30"/>
      <c r="KM19" s="30"/>
      <c r="KN19" s="30"/>
      <c r="KO19" s="30"/>
      <c r="KP19" s="30"/>
      <c r="KQ19" s="30"/>
      <c r="KR19" s="30"/>
      <c r="KS19" s="30"/>
      <c r="KT19" s="30"/>
      <c r="KU19" s="30"/>
      <c r="KV19" s="30"/>
      <c r="KW19" s="30"/>
      <c r="KX19" s="30"/>
      <c r="KY19" s="30"/>
      <c r="KZ19" s="30"/>
      <c r="LA19" s="30"/>
      <c r="LB19" s="23"/>
      <c r="LC19" s="264"/>
      <c r="LD19" s="264"/>
      <c r="LE19" s="264"/>
      <c r="LF19" s="264"/>
      <c r="LG19" s="23"/>
      <c r="LH19" s="264"/>
      <c r="LI19" s="264"/>
      <c r="LJ19" s="264"/>
      <c r="LK19" s="264"/>
      <c r="LL19" s="264"/>
      <c r="LM19" s="264"/>
      <c r="LN19" s="21"/>
      <c r="LO19" s="14"/>
    </row>
    <row r="20" spans="1:327" x14ac:dyDescent="0.25">
      <c r="E20" s="34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68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5"/>
      <c r="GH20" s="35"/>
      <c r="GI20" s="35"/>
      <c r="GJ20" s="35"/>
      <c r="GK20" s="35"/>
      <c r="GL20" s="35"/>
      <c r="GM20" s="35"/>
      <c r="GN20" s="35"/>
      <c r="GO20" s="35"/>
      <c r="GP20" s="35"/>
      <c r="GQ20" s="35"/>
      <c r="GR20" s="35"/>
      <c r="GS20" s="35"/>
      <c r="GT20" s="35"/>
      <c r="GU20" s="35"/>
      <c r="GV20" s="35"/>
      <c r="GW20" s="35"/>
      <c r="GX20" s="35"/>
      <c r="GY20" s="35"/>
      <c r="GZ20" s="35"/>
      <c r="HA20" s="35"/>
      <c r="HB20" s="35"/>
      <c r="HC20" s="35"/>
      <c r="HD20" s="35"/>
      <c r="HE20" s="35"/>
      <c r="HF20" s="35"/>
      <c r="HG20" s="35"/>
      <c r="HH20" s="35"/>
      <c r="HI20" s="35"/>
      <c r="HJ20" s="35"/>
      <c r="HK20" s="35"/>
      <c r="HL20" s="35"/>
      <c r="HM20" s="35"/>
      <c r="HN20" s="35"/>
      <c r="HO20" s="35"/>
      <c r="HP20" s="35"/>
      <c r="HQ20" s="35"/>
      <c r="HR20" s="35"/>
      <c r="HS20" s="35"/>
      <c r="HT20" s="35"/>
      <c r="HU20" s="35"/>
      <c r="HV20" s="35"/>
      <c r="HW20" s="35"/>
      <c r="HX20" s="35"/>
      <c r="HY20" s="35"/>
      <c r="HZ20" s="35"/>
      <c r="IA20" s="35"/>
      <c r="IB20" s="35"/>
      <c r="IC20" s="35"/>
      <c r="ID20" s="35"/>
      <c r="IE20" s="35"/>
      <c r="IF20" s="35"/>
      <c r="IG20" s="35"/>
      <c r="IH20" s="35"/>
      <c r="II20" s="35"/>
      <c r="IJ20" s="35"/>
      <c r="IK20" s="35"/>
      <c r="IL20" s="35"/>
      <c r="IM20" s="35"/>
      <c r="IN20" s="35"/>
      <c r="IO20" s="35"/>
      <c r="IP20" s="35"/>
      <c r="IQ20" s="35"/>
      <c r="IR20" s="35"/>
      <c r="IS20" s="35"/>
      <c r="IT20" s="35"/>
      <c r="IU20" s="35"/>
      <c r="IV20" s="35"/>
      <c r="IW20" s="35"/>
      <c r="IX20" s="35"/>
      <c r="IY20" s="35"/>
      <c r="IZ20" s="35"/>
      <c r="JA20" s="35"/>
      <c r="JB20" s="35"/>
      <c r="JC20" s="35"/>
      <c r="JD20" s="35"/>
      <c r="JE20" s="35"/>
      <c r="JF20" s="35"/>
      <c r="JG20" s="35"/>
      <c r="JH20" s="35"/>
      <c r="JI20" s="35"/>
      <c r="JJ20" s="35"/>
      <c r="JK20" s="35"/>
      <c r="JL20" s="35"/>
      <c r="JM20" s="35"/>
      <c r="JN20" s="35"/>
      <c r="JO20" s="35"/>
      <c r="JP20" s="35"/>
      <c r="JQ20" s="35"/>
      <c r="JR20" s="35"/>
      <c r="JS20" s="35"/>
      <c r="JT20" s="35"/>
      <c r="JU20" s="35"/>
      <c r="JV20" s="35"/>
      <c r="JW20" s="35"/>
      <c r="JX20" s="35"/>
      <c r="JY20" s="35"/>
      <c r="JZ20" s="35"/>
      <c r="KA20" s="35"/>
      <c r="KB20" s="35"/>
      <c r="KC20" s="35"/>
      <c r="KD20" s="35"/>
      <c r="KE20" s="35"/>
      <c r="KF20" s="35"/>
      <c r="KG20" s="35"/>
      <c r="KH20" s="35"/>
      <c r="KI20" s="35"/>
      <c r="KJ20" s="35"/>
      <c r="KK20" s="35"/>
      <c r="KL20" s="35"/>
      <c r="KM20" s="35"/>
      <c r="KN20" s="35"/>
      <c r="KO20" s="35"/>
      <c r="KP20" s="35"/>
      <c r="KQ20" s="35"/>
      <c r="KR20" s="35"/>
      <c r="KS20" s="35"/>
      <c r="KT20" s="35"/>
      <c r="KU20" s="35"/>
      <c r="KV20" s="35"/>
      <c r="KW20" s="35"/>
      <c r="KX20" s="35"/>
      <c r="KY20" s="35"/>
      <c r="KZ20" s="35"/>
      <c r="LA20" s="35"/>
      <c r="LB20" s="35"/>
      <c r="LC20" s="35"/>
      <c r="LD20" s="35"/>
      <c r="LE20" s="35"/>
      <c r="LF20" s="35"/>
      <c r="LG20" s="35"/>
      <c r="LH20" s="35"/>
      <c r="LI20" s="35"/>
      <c r="LJ20" s="35"/>
      <c r="LK20" s="35"/>
      <c r="LL20" s="35"/>
      <c r="LM20" s="35"/>
      <c r="LN20" s="36"/>
    </row>
    <row r="21" spans="1:327" ht="7.15" customHeight="1" x14ac:dyDescent="0.25">
      <c r="S21" s="32"/>
    </row>
    <row r="22" spans="1:327" s="1" customFormat="1" ht="22.9" customHeight="1" x14ac:dyDescent="0.25"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  <c r="IW22" s="15"/>
      <c r="IX22" s="15"/>
      <c r="IY22" s="15"/>
      <c r="IZ22" s="15"/>
      <c r="JA22" s="15"/>
      <c r="JB22" s="15"/>
      <c r="JC22" s="15"/>
      <c r="JD22" s="15"/>
      <c r="JE22" s="15"/>
      <c r="JF22" s="15"/>
      <c r="JG22" s="15"/>
      <c r="JH22" s="15"/>
      <c r="JI22" s="15"/>
      <c r="JJ22" s="15"/>
      <c r="JK22" s="15"/>
      <c r="JL22" s="15"/>
      <c r="JM22" s="15"/>
      <c r="JN22" s="15"/>
      <c r="JO22" s="15"/>
      <c r="JP22" s="15"/>
      <c r="JQ22" s="15"/>
      <c r="JR22" s="15"/>
      <c r="JS22" s="15"/>
      <c r="JT22" s="15"/>
      <c r="JU22" s="15"/>
      <c r="JV22" s="15"/>
      <c r="JW22" s="15"/>
      <c r="JX22" s="15"/>
      <c r="JY22" s="15"/>
      <c r="JZ22" s="15"/>
      <c r="KA22" s="15"/>
      <c r="KB22" s="15"/>
      <c r="KC22" s="15"/>
      <c r="KD22" s="15"/>
      <c r="KE22" s="15"/>
      <c r="KF22" s="15"/>
      <c r="KG22" s="15"/>
      <c r="KH22" s="15"/>
      <c r="KI22" s="15"/>
      <c r="KJ22" s="15"/>
      <c r="KK22" s="15"/>
      <c r="KL22" s="15"/>
      <c r="KM22" s="15"/>
      <c r="KN22" s="15"/>
      <c r="KO22" s="15"/>
      <c r="KP22" s="15"/>
      <c r="KQ22" s="15"/>
      <c r="KR22" s="15"/>
      <c r="KS22" s="15"/>
      <c r="KT22" s="15"/>
      <c r="KU22" s="15"/>
      <c r="KV22" s="15"/>
      <c r="KW22" s="15"/>
      <c r="KX22" s="15"/>
      <c r="KY22" s="15"/>
      <c r="KZ22" s="15"/>
      <c r="LA22" s="15"/>
      <c r="LB22" s="15"/>
      <c r="LC22" s="15"/>
      <c r="LD22" s="15"/>
      <c r="LE22" s="15"/>
      <c r="LF22" s="15"/>
      <c r="LG22" s="15"/>
      <c r="LH22" s="15"/>
      <c r="LI22" s="15"/>
      <c r="LJ22" s="15"/>
      <c r="LK22" s="15"/>
      <c r="LL22" s="15"/>
      <c r="LM22" s="15"/>
      <c r="LN22" s="15"/>
    </row>
    <row r="41" ht="24" customHeight="1" x14ac:dyDescent="0.25"/>
  </sheetData>
  <mergeCells count="1">
    <mergeCell ref="CU8:DI8"/>
  </mergeCells>
  <phoneticPr fontId="25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1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F8611-F673-4FF7-8429-078A85042229}">
  <sheetPr codeName="Sheet7"/>
  <dimension ref="B2:AU203"/>
  <sheetViews>
    <sheetView showGridLines="0" showRowColHeaders="0" zoomScaleNormal="100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2.140625" style="48" customWidth="1"/>
    <col min="2" max="2" width="9.140625" style="48"/>
    <col min="3" max="3" width="16.5703125" style="48" customWidth="1"/>
    <col min="4" max="4" width="9.140625" style="48"/>
    <col min="5" max="5" width="6.140625" style="48" customWidth="1"/>
    <col min="6" max="7" width="21" style="48" bestFit="1" customWidth="1"/>
    <col min="8" max="8" width="6.140625" style="48" customWidth="1"/>
    <col min="9" max="9" width="30.7109375" style="48" customWidth="1"/>
    <col min="10" max="10" width="18.28515625" style="48" customWidth="1"/>
    <col min="11" max="11" width="6.140625" style="48" customWidth="1"/>
    <col min="12" max="12" width="16.5703125" style="48" customWidth="1"/>
    <col min="13" max="13" width="13" style="48" customWidth="1"/>
    <col min="14" max="14" width="17" style="48" customWidth="1"/>
    <col min="15" max="15" width="13" style="48" customWidth="1"/>
    <col min="16" max="16" width="6.140625" style="48" customWidth="1"/>
    <col min="17" max="17" width="27.7109375" style="48" customWidth="1"/>
    <col min="18" max="19" width="21" style="48" customWidth="1"/>
    <col min="20" max="20" width="4.85546875" style="48" customWidth="1"/>
    <col min="21" max="21" width="29.140625" style="48" customWidth="1"/>
    <col min="22" max="23" width="21" style="48" customWidth="1"/>
    <col min="24" max="24" width="5.28515625" style="48" customWidth="1"/>
    <col min="25" max="25" width="27.85546875" style="48" customWidth="1"/>
    <col min="26" max="27" width="21" style="48" customWidth="1"/>
    <col min="28" max="28" width="9.140625" style="48"/>
    <col min="29" max="29" width="40.42578125" style="48" customWidth="1"/>
    <col min="30" max="31" width="30.7109375" style="48" customWidth="1"/>
    <col min="32" max="32" width="34.140625" style="48" customWidth="1"/>
    <col min="33" max="33" width="17.85546875" style="48" bestFit="1" customWidth="1"/>
    <col min="34" max="34" width="17.5703125" style="48" customWidth="1"/>
    <col min="35" max="35" width="2.28515625" style="48" customWidth="1"/>
    <col min="36" max="41" width="20.7109375" style="48" customWidth="1"/>
    <col min="42" max="42" width="2.28515625" style="48" customWidth="1"/>
    <col min="43" max="16384" width="9.140625" style="48"/>
  </cols>
  <sheetData>
    <row r="2" spans="3:47" ht="15.75" x14ac:dyDescent="0.25">
      <c r="C2" s="213" t="s">
        <v>256</v>
      </c>
      <c r="F2" s="76" t="s">
        <v>65</v>
      </c>
      <c r="G2" s="80">
        <f>MAX(COUNTA($G$4:$G$23)-COUNTBLANK($G$4:$G$23),1)</f>
        <v>7</v>
      </c>
      <c r="I2" s="76" t="s">
        <v>65</v>
      </c>
      <c r="J2" s="80">
        <f>MAX(COUNTA($J$4:$J$13)-COUNTBLANK($J$4:$J$13),1)</f>
        <v>3</v>
      </c>
      <c r="L2" s="365" t="s">
        <v>223</v>
      </c>
      <c r="M2" s="223"/>
      <c r="N2" s="224"/>
      <c r="O2" s="225"/>
      <c r="Q2" s="91" t="s">
        <v>293</v>
      </c>
      <c r="R2" s="92"/>
      <c r="S2" s="92"/>
      <c r="T2" s="92"/>
      <c r="U2" s="92"/>
      <c r="V2" s="92"/>
      <c r="W2" s="92"/>
      <c r="X2" s="92"/>
      <c r="Y2" s="92"/>
      <c r="Z2" s="92"/>
      <c r="AA2" s="93"/>
      <c r="AC2" s="81" t="s">
        <v>0</v>
      </c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3"/>
    </row>
    <row r="3" spans="3:47" x14ac:dyDescent="0.25">
      <c r="C3" s="214" t="s">
        <v>317</v>
      </c>
      <c r="F3" s="78" t="s">
        <v>63</v>
      </c>
      <c r="G3" s="77" t="s">
        <v>64</v>
      </c>
      <c r="I3" s="78" t="s">
        <v>149</v>
      </c>
      <c r="J3" s="77" t="s">
        <v>64</v>
      </c>
      <c r="L3" s="221" t="s">
        <v>27</v>
      </c>
      <c r="M3" s="222" t="str">
        <f>IFERROR(IF(SUM(PriceCalculator!$G$38:$G$47)&gt;0,SUM(PriceCalculator!$G$38:$G$47),""),"")</f>
        <v/>
      </c>
      <c r="N3" s="221" t="s">
        <v>27</v>
      </c>
      <c r="O3" s="222" t="str">
        <f>IFERROR(IF(SUM(PriceCalculator!$G$38:$G$47)&gt;0,SUM(PriceCalculator!$G$38:$G$47),""),"")</f>
        <v/>
      </c>
      <c r="Q3" s="84"/>
      <c r="AA3" s="85"/>
      <c r="AC3" s="84"/>
      <c r="AL3" s="352" t="s">
        <v>301</v>
      </c>
      <c r="AM3" s="352" t="s">
        <v>302</v>
      </c>
      <c r="AR3" s="85"/>
    </row>
    <row r="4" spans="3:47" x14ac:dyDescent="0.25">
      <c r="E4" s="336">
        <v>1</v>
      </c>
      <c r="F4" s="79" t="str">
        <f>IFERROR(IF(LEN(INDEX(RawMaterials!$D$8:$D$27,$E4,1))&gt;0,INDEX(RawMaterials!$D$8:$D$27,$E4,1),""),"")</f>
        <v>Steel sheet</v>
      </c>
      <c r="G4" s="75" t="str">
        <f t="array" ref="G4">IFERROR(INDEX($F$4:$F$23,MATCH(0,INDEX((LEN($F$4:$F$23)=0)+COUNTIF($G$3:$G3,$F$4:$F$23),0),0)),"")</f>
        <v>Steel sheet</v>
      </c>
      <c r="I4" s="75" t="str">
        <f>IFERROR(IF(LEN(INDEX(Products!$E$8:$E$17,$E4,1))&gt;0,INDEX(Products!$E$8:$E$17,$E4,1),""),"")</f>
        <v>SteelWood GlassBox</v>
      </c>
      <c r="J4" s="75" t="str" cm="1">
        <f t="array" ref="J4">IFERROR(INDEX($I$4:$I$13,MATCH(0,INDEX((LEN($I$4:$I$13)=0)+COUNTIF($J$3:$J3,$I$4:$I$13),0),0)),"")</f>
        <v>SteelWood GlassBox</v>
      </c>
      <c r="L4" s="98" t="s">
        <v>28</v>
      </c>
      <c r="M4" s="99" t="str">
        <f>IFERROR(IF(SUM(PriceCalculator!$G$82:$G$86)&gt;0,SUM(PriceCalculator!$G$82:$G$86),""),"")</f>
        <v/>
      </c>
      <c r="N4" s="98" t="s">
        <v>28</v>
      </c>
      <c r="O4" s="99" t="str">
        <f>IFERROR(IF(SUM(PriceCalculator!$G$82:$G$86)&gt;0,SUM(PriceCalculator!$G$82:$G$86),""),"")</f>
        <v/>
      </c>
      <c r="Q4" s="84"/>
      <c r="R4" s="25" t="s">
        <v>13</v>
      </c>
      <c r="S4" s="25" t="s">
        <v>12</v>
      </c>
      <c r="V4" s="25" t="s">
        <v>13</v>
      </c>
      <c r="W4" s="25" t="s">
        <v>12</v>
      </c>
      <c r="Z4" s="25" t="s">
        <v>13</v>
      </c>
      <c r="AA4" s="94" t="s">
        <v>12</v>
      </c>
      <c r="AC4" s="84"/>
      <c r="AJ4" s="325" t="s">
        <v>148</v>
      </c>
      <c r="AK4" s="351" t="str">
        <f>IFERROR(IF(LEN(Dashboard!$E$7)&gt;0,Dashboard!$E$7,""),"")</f>
        <v>SteelWood GlassBox</v>
      </c>
      <c r="AL4" s="350" t="str">
        <f>IFERROR(INDEX(Database!$L$10:$L$19,MATCH(Dashboard!$E$7,Database!$H$10:$H$19,0),1),"")</f>
        <v>Markup (%)</v>
      </c>
      <c r="AM4" s="350" t="str">
        <f>IFERROR(INDEX(Database!$K$10:$K$19,MATCH(Dashboard!$E$7,Database!$H$10:$H$19,0),1),"")</f>
        <v>Amazon</v>
      </c>
      <c r="AQ4" s="50"/>
      <c r="AR4" s="85"/>
    </row>
    <row r="5" spans="3:47" x14ac:dyDescent="0.25">
      <c r="E5" s="337">
        <v>2</v>
      </c>
      <c r="F5" s="79" t="str">
        <f>IFERROR(IF(LEN(INDEX(RawMaterials!$D$8:$D$27,$E5,1))&gt;0,INDEX(RawMaterials!$D$8:$D$27,$E5,1),""),"")</f>
        <v>Wooden block</v>
      </c>
      <c r="G5" s="75" t="str">
        <f t="array" ref="G5">IFERROR(INDEX($F$4:$F$23,MATCH(0,INDEX((LEN($F$4:$F$23)=0)+COUNTIF($G$3:$G4,$F$4:$F$23),0),0)),"")</f>
        <v>Wooden block</v>
      </c>
      <c r="I5" s="75" t="str">
        <f>IFERROR(IF(LEN(INDEX(Products!$E$8:$E$17,$E5,1))&gt;0,INDEX(Products!$E$8:$E$17,$E5,1),""),"")</f>
        <v>SteelWood GlassShelf</v>
      </c>
      <c r="J5" s="75" t="str" cm="1">
        <f t="array" ref="J5">IFERROR(INDEX($I$4:$I$13,MATCH(0,INDEX((LEN($I$4:$I$13)=0)+COUNTIF($J$3:$J4,$I$4:$I$13),0),0)),"")</f>
        <v>SteelWood GlassShelf</v>
      </c>
      <c r="L5" s="98" t="s">
        <v>35</v>
      </c>
      <c r="M5" s="99" t="str">
        <f>IFERROR(IF(LEN(PriceCalculator!$G$106)&gt;0,PriceCalculator!$G$106,""),"")</f>
        <v/>
      </c>
      <c r="N5" s="98" t="s">
        <v>35</v>
      </c>
      <c r="O5" s="226">
        <f>IFERROR(IF(PriceCalculator!$F$7=Calc!$C$7,PriceCalculator!$G$106,IF(LEN(numberofproducts)=0,PriceCalculator!$G$106,IF(AND(PriceCalculator!$E$7&gt;=PriceCalculator!$D$106,OR(PriceCalculator!$E$7&lt;=PriceCalculator!$F$106,LEN(PriceCalculator!$F$106)=0)),PriceCalculator!$G$106,IF(AND(PriceCalculator!$E$7&gt;=PriceCalculator!$D$107,OR(PriceCalculator!$E$7&lt;=PriceCalculator!$F$107,LEN(PriceCalculator!$F$107)=0)),PriceCalculator!$G$107,IF(AND(PriceCalculator!$E$7&gt;=PriceCalculator!$D$108,OR(PriceCalculator!$E$7&lt;=PriceCalculator!$F$108,LEN(PriceCalculator!$F$108)=0)),PriceCalculator!$G$108,IF(AND(PriceCalculator!$E$7&gt;=PriceCalculator!$D$109,OR(PriceCalculator!$E$7&lt;=PriceCalculator!$F$109,LEN(PriceCalculator!$F$109)=0)),PriceCalculator!$G$109,IF(AND(PriceCalculator!$E$7&gt;=PriceCalculator!$D$110,OR(PriceCalculator!$E$7&lt;=PriceCalculator!$F$110,LEN(PriceCalculator!$F$110)=0)),PriceCalculator!$G$110,PriceCalculator!$G$106))))))),"")</f>
        <v>0</v>
      </c>
      <c r="Q5" s="95" t="str">
        <f>"COGS " &amp; "(" &amp; currency &amp; "):"</f>
        <v>COGS ($):</v>
      </c>
      <c r="R5" s="26" t="str">
        <f>IFERROR($M$8,"")</f>
        <v/>
      </c>
      <c r="S5" s="26" t="str">
        <f>IFERROR(IF((numberofproducts)&gt;1,$O$8*numberofproducts,""),"")</f>
        <v/>
      </c>
      <c r="U5" s="25" t="str">
        <f>"COGS " &amp; "(" &amp; currency &amp; "):"</f>
        <v>COGS ($):</v>
      </c>
      <c r="V5" s="26" t="str">
        <f>IFERROR($M$8,"")</f>
        <v/>
      </c>
      <c r="W5" s="26" t="str">
        <f>IFERROR(IF((numberofproducts)&gt;1,$O$8*numberofproducts,""),"")</f>
        <v/>
      </c>
      <c r="Y5" s="25" t="str">
        <f>"COGS " &amp; "(" &amp; currency &amp; "):"</f>
        <v>COGS ($):</v>
      </c>
      <c r="Z5" s="26" t="str">
        <f>IFERROR($M$8,"")</f>
        <v/>
      </c>
      <c r="AA5" s="96" t="str">
        <f>IFERROR(IF((numberofproducts)&gt;1,$O$8*numberofproducts,""),"")</f>
        <v/>
      </c>
      <c r="AC5" s="84"/>
      <c r="AQ5" s="50"/>
      <c r="AR5" s="85"/>
    </row>
    <row r="6" spans="3:47" x14ac:dyDescent="0.25">
      <c r="C6" s="213" t="s">
        <v>72</v>
      </c>
      <c r="E6" s="336">
        <v>3</v>
      </c>
      <c r="F6" s="79" t="str">
        <f>IFERROR(IF(LEN(INDEX(RawMaterials!$D$8:$D$27,$E6,1))&gt;0,INDEX(RawMaterials!$D$8:$D$27,$E6,1),""),"")</f>
        <v>Glass cover</v>
      </c>
      <c r="G6" s="75" t="str">
        <f t="array" ref="G6">IFERROR(INDEX($F$4:$F$23,MATCH(0,INDEX((LEN($F$4:$F$23)=0)+COUNTIF($G$3:$G5,$F$4:$F$23),0),0)),"")</f>
        <v>Glass cover</v>
      </c>
      <c r="I6" s="75" t="str">
        <f>IFERROR(IF(LEN(INDEX(Products!$E$8:$E$17,$E6,1))&gt;0,INDEX(Products!$E$8:$E$17,$E6,1),""),"")</f>
        <v>Glasswood Desk</v>
      </c>
      <c r="J6" s="75" t="str" cm="1">
        <f t="array" ref="J6">IFERROR(INDEX($I$4:$I$13,MATCH(0,INDEX((LEN($I$4:$I$13)=0)+COUNTIF($J$3:$J5,$I$4:$I$13),0),0)),"")</f>
        <v>Glasswood Desk</v>
      </c>
      <c r="L6" s="98" t="s">
        <v>11</v>
      </c>
      <c r="M6" s="99" t="str">
        <f>IFERROR(IF(SUM(PriceCalculator!$G$115:$G$124)&gt;0,SUM(PriceCalculator!$G$115:$G$124),""),"")</f>
        <v/>
      </c>
      <c r="N6" s="98" t="s">
        <v>11</v>
      </c>
      <c r="O6" s="99" t="str">
        <f>IFERROR(IF(SUM(PriceCalculator!$G$115:$G$124)&gt;0,SUM(PriceCalculator!$G$115:$G$124),""),"")</f>
        <v/>
      </c>
      <c r="Q6" s="296"/>
      <c r="R6" s="297"/>
      <c r="S6" s="297"/>
      <c r="U6" s="298"/>
      <c r="V6" s="297"/>
      <c r="W6" s="297"/>
      <c r="Y6" s="298"/>
      <c r="Z6" s="297"/>
      <c r="AA6" s="301"/>
      <c r="AC6" s="327" t="s">
        <v>297</v>
      </c>
      <c r="AD6" s="328"/>
      <c r="AF6" s="325" t="s">
        <v>154</v>
      </c>
      <c r="AG6" s="325" t="s">
        <v>64</v>
      </c>
      <c r="AH6" s="325">
        <f>MAX(COUNTA($AH$7:$AH$10)-COUNTBLANK($AH$7:$AH$10),1)</f>
        <v>4</v>
      </c>
      <c r="AL6" s="325" t="s">
        <v>154</v>
      </c>
      <c r="AM6" s="325"/>
      <c r="AN6" s="325" t="s">
        <v>64</v>
      </c>
      <c r="AO6" s="325">
        <f>MAX(COUNTA($AO$7:$AO$13)-COUNTBLANK($AO$7:$AO$13),1)</f>
        <v>5</v>
      </c>
      <c r="AQ6" s="353" t="s">
        <v>300</v>
      </c>
      <c r="AR6" s="354"/>
    </row>
    <row r="7" spans="3:47" x14ac:dyDescent="0.25">
      <c r="C7" s="214" t="s">
        <v>7</v>
      </c>
      <c r="E7" s="336">
        <v>4</v>
      </c>
      <c r="F7" s="79" t="str">
        <f>IFERROR(IF(LEN(INDEX(RawMaterials!$D$8:$D$27,$E7,1))&gt;0,INDEX(RawMaterials!$D$8:$D$27,$E7,1),""),"")</f>
        <v>Plastic part</v>
      </c>
      <c r="G7" s="75" t="str">
        <f t="array" ref="G7">IFERROR(INDEX($F$4:$F$23,MATCH(0,INDEX((LEN($F$4:$F$23)=0)+COUNTIF($G$3:$G6,$F$4:$F$23),0),0)),"")</f>
        <v>Plastic part</v>
      </c>
      <c r="I7" s="75" t="str">
        <f>IFERROR(IF(LEN(INDEX(Products!$E$8:$E$17,$E7,1))&gt;0,INDEX(Products!$E$8:$E$17,$E7,1),""),"")</f>
        <v/>
      </c>
      <c r="J7" s="75" t="str" cm="1">
        <f t="array" ref="J7">IFERROR(INDEX($I$4:$I$13,MATCH(0,INDEX((LEN($I$4:$I$13)=0)+COUNTIF($J$3:$J6,$I$4:$I$13),0),0)),"")</f>
        <v/>
      </c>
      <c r="L7" s="84"/>
      <c r="M7" s="85"/>
      <c r="N7" s="84"/>
      <c r="O7" s="85"/>
      <c r="Q7" s="95" t="str">
        <f>$C$15 &amp; ":"</f>
        <v>Markup (%):</v>
      </c>
      <c r="R7" s="236">
        <f>IFERROR(IF(LEN(INDEX(PriceCalculator!$D$15:$D$33,MATCH($Q$7,PriceCalculator!$C$15:$C$33,0),1))&gt;0,INDEX(PriceCalculator!$D$15:$D$33,MATCH($Q$7,PriceCalculator!$C$15:$C$33,0),1),0),"")</f>
        <v>0</v>
      </c>
      <c r="S7" s="236">
        <f>IFERROR(IF(LEN(INDEX(PriceCalculator!$E$15:$E$33,MATCH($Q$7,PriceCalculator!$C$15:$C$33,0),1))&gt;0,INDEX(PriceCalculator!$E$15:$E$33,MATCH($Q$7,PriceCalculator!$C$15:$C$33,0),1),0),"")</f>
        <v>0</v>
      </c>
      <c r="U7" s="25" t="str">
        <f>$C$16 &amp; ":"</f>
        <v>Planned Sales Price ($):</v>
      </c>
      <c r="V7" s="236" t="str">
        <f>IFERROR(IF(LEN(INDEX(PriceCalculator!$D$15:$D$33,MATCH($U$7,PriceCalculator!$C$15:$C$33,0),1))&gt;0,INDEX(PriceCalculator!$D$15:$D$33,MATCH($U$7,PriceCalculator!$C$15:$C$33,0),1),0),"")</f>
        <v/>
      </c>
      <c r="W7" s="236" t="str">
        <f>IFERROR(IF(LEN(INDEX(PriceCalculator!$E$15:$E$33,MATCH($U$7,PriceCalculator!$C$15:$C$33,0),1))&gt;0,INDEX(PriceCalculator!$E$15:$E$33,MATCH($U$7,PriceCalculator!$C$15:$C$33,0),1),0),"")</f>
        <v/>
      </c>
      <c r="Y7" s="25" t="str">
        <f>$C$17 &amp; ":"</f>
        <v>Desired Profit ($):</v>
      </c>
      <c r="Z7" s="236" t="str">
        <f>IFERROR(IF(LEN(INDEX(PriceCalculator!$D$15:$D$33,MATCH($Y$7,PriceCalculator!$C$15:$C$33,0),1))&gt;0,INDEX(PriceCalculator!$D$15:$D$33,MATCH($Y$7,PriceCalculator!$C$15:$C$33,0),1),0),"")</f>
        <v/>
      </c>
      <c r="AA7" s="237" t="str">
        <f>IFERROR(IF(LEN(INDEX(PriceCalculator!$E$15:$E$33,MATCH($Y$7,PriceCalculator!$C$15:$C$33,0),1))&gt;0,INDEX(PriceCalculator!$E$15:$E$33,MATCH($Y$7,PriceCalculator!$C$15:$C$33,0),1),0),"")</f>
        <v/>
      </c>
      <c r="AC7" s="325" t="s">
        <v>27</v>
      </c>
      <c r="AD7" s="326">
        <f>IFERROR(IF(AND(LEN($AK$4)&gt;0,LEN(INDEX(Products!$F$8:$F$17,MATCH(Calc!$AK$4,Products!$E$8:$E$17,0)))&gt;0),INDEX(Products!$F$8:$F$17,MATCH(Calc!$AK$4,Products!$E$8:$E$17,0),1),""),"")</f>
        <v>235.22857142857146</v>
      </c>
      <c r="AE7" s="219"/>
      <c r="AF7" s="349" t="str">
        <f>IFERROR(IF(LEN($AD7)&gt;0,$AC7,""),"")</f>
        <v>Material Costs</v>
      </c>
      <c r="AG7" s="325" t="str">
        <f>IFERROR(INDEX($AF$7:$AF$10,MATCH(0,INDEX((LEN($AF$7:$AF$10)=0)+COUNTIF($AG$6:$AG6,$AF$7:$AF$10),0),0)),"")</f>
        <v>Material Costs</v>
      </c>
      <c r="AH7" s="326">
        <f>IFERROR(IF(LEN($AG$7)=0,"",INDEX(Calc!$AD$7:$AD$10,MATCH(Calc!AG7,Calc!$AC$7:$AC$10,0))),"")</f>
        <v>235.22857142857146</v>
      </c>
      <c r="AJ7" s="325" t="s">
        <v>159</v>
      </c>
      <c r="AK7" s="326">
        <f>IFERROR(IF($AC$23=$AD$20,$AD$39,IF($AC$23=$AE$20,$AE$39,$AF$39)),"")</f>
        <v>1065.1184415584414</v>
      </c>
      <c r="AL7" s="69" t="str">
        <f>IFERROR(IF(LEN($AK7)&gt;0,IF(LEN($AJ7)&gt;0,$AJ7,"Sales Price"),""),"")</f>
        <v>Sales Price</v>
      </c>
      <c r="AM7" s="380">
        <f>IFERROR(IF($AC$23=$AD$20,$AD$39,IF($AC$23=$AE$20,$AE$39,$AF$39)),"")</f>
        <v>1065.1184415584414</v>
      </c>
      <c r="AN7" s="325" t="str">
        <f>IFERROR(INDEX($AL$7:$AL$13,MATCH(0,INDEX((LEN($AL$7:$AL$13)=0)+COUNTIF($AN$6:$AN6,$AL$7:$AL$13),0),0)),"")</f>
        <v>Sales Price</v>
      </c>
      <c r="AO7" s="326">
        <f>IFERROR(IF(LEN($AN$7)=0,"",INDEX(Calc!$AM$7:$AM$13,MATCH(Calc!AN7,Calc!$AL$7:$AL$13,0))),"")</f>
        <v>1065.1184415584414</v>
      </c>
      <c r="AQ7" s="325" t="s">
        <v>297</v>
      </c>
      <c r="AR7" s="326">
        <f>IFERROR(IF(AND(LEN($AK$4)&gt;0,LEN(INDEX(Products!$J$8:$J$17,MATCH(Calc!$AK$4,Products!$E$8:$E$17,0)))&gt;0),INDEX(Products!$J$8:$J$17,MATCH(Calc!$AK$4,Products!$E$8:$E$17,0),1),""),"")</f>
        <v>723.22857142857151</v>
      </c>
      <c r="AS7" s="219"/>
      <c r="AU7" s="219"/>
    </row>
    <row r="8" spans="3:47" x14ac:dyDescent="0.25">
      <c r="C8" s="214" t="s">
        <v>6</v>
      </c>
      <c r="E8" s="336">
        <v>5</v>
      </c>
      <c r="F8" s="79" t="str">
        <f>IFERROR(IF(LEN(INDEX(RawMaterials!$D$8:$D$27,$E8,1))&gt;0,INDEX(RawMaterials!$D$8:$D$27,$E8,1),""),"")</f>
        <v>Wooden boards</v>
      </c>
      <c r="G8" s="75" t="str">
        <f t="array" ref="G8">IFERROR(INDEX($F$4:$F$23,MATCH(0,INDEX((LEN($F$4:$F$23)=0)+COUNTIF($G$3:$G7,$F$4:$F$23),0),0)),"")</f>
        <v>Wooden boards</v>
      </c>
      <c r="I8" s="75" t="str">
        <f>IFERROR(IF(LEN(INDEX(Products!$E$8:$E$17,$E8,1))&gt;0,INDEX(Products!$E$8:$E$17,$E8,1),""),"")</f>
        <v/>
      </c>
      <c r="J8" s="75" t="str" cm="1">
        <f t="array" ref="J8">IFERROR(INDEX($I$4:$I$13,MATCH(0,INDEX((LEN($I$4:$I$13)=0)+COUNTIF($J$3:$J7,$I$4:$I$13),0),0)),"")</f>
        <v/>
      </c>
      <c r="L8" s="215" t="s">
        <v>144</v>
      </c>
      <c r="M8" s="216" t="str">
        <f>IFERROR(IF(SUM($M$3:$M$6)&gt;0,SUM($M$3:$M$6),""),"")</f>
        <v/>
      </c>
      <c r="N8" s="215" t="s">
        <v>144</v>
      </c>
      <c r="O8" s="216" t="str">
        <f>IFERROR(IF(SUM($O$3:$O$6)&gt;0,SUM($O$3:$O$6),""),"")</f>
        <v/>
      </c>
      <c r="Q8" s="95" t="str">
        <f xml:space="preserve"> "Markup (" &amp; currency &amp; "):"</f>
        <v>Markup ($):</v>
      </c>
      <c r="R8" s="26" t="str">
        <f>IFERROR(IF($R$7=0,"",IF(AND(LEN($R$5)&gt;0,LEN($R$7)&gt;0),($R$5*$R$7/100),"")),"")</f>
        <v/>
      </c>
      <c r="S8" s="26" t="str">
        <f>IFERROR(IF($S$7=0,"",IF(AND(LEN($S$5)&gt;0,LEN($S$7)&gt;0),($S$5*$S$7/100),"")),"")</f>
        <v/>
      </c>
      <c r="U8" s="25" t="str">
        <f>$C$15 &amp; ":"</f>
        <v>Markup (%):</v>
      </c>
      <c r="V8" s="26" t="str">
        <f>IFERROR(IF($V$7=0,"",IF(LEN($V$7)&gt;0,($V$7-$V$5)/$V$5*100,"")),"")</f>
        <v/>
      </c>
      <c r="W8" s="26" t="str">
        <f>IFERROR(IF($W$7=0,"",IF(LEN($W$7)&gt;0,($W$7-$W$5)/$W$5*100,"")),"")</f>
        <v/>
      </c>
      <c r="Y8" s="25" t="str">
        <f>$C$15 &amp; ":"</f>
        <v>Markup (%):</v>
      </c>
      <c r="Z8" s="37" t="str">
        <f>IFERROR(IF($Z$7=0,"",IF(AND(LEN($Z$7)&gt;0,($Z$11=0)),($Z$7/$Z$5)*100,($Z$12+$Z$13-$Z$5)/$Z$5*100)),"")</f>
        <v/>
      </c>
      <c r="AA8" s="387" t="str">
        <f>IFERROR(IF($AA$7=0,"",IF(AND(LEN($AA$7)&gt;0,$AA$11=0),($AA$7/$AA$5)*100,($AA$12+$AA$13-$AA$5)/$AA$5*100)),"")</f>
        <v/>
      </c>
      <c r="AC8" s="325" t="s">
        <v>28</v>
      </c>
      <c r="AD8" s="326">
        <f>IFERROR(IF(AND(LEN($AK$4)&gt;0,LEN(INDEX(Products!$G$8:$G$17,MATCH(Calc!$AK$4,Products!$E$8:$E$17,0)))&gt;0),INDEX(Products!$G$8:$G$17,MATCH(Calc!$AK$4,Products!$E$8:$E$17,0),1),""),"")</f>
        <v>330</v>
      </c>
      <c r="AE8" s="219"/>
      <c r="AF8" s="349" t="str">
        <f>IFERROR(IF(LEN($AD8)&gt;0,$AC8,""),"")</f>
        <v>Labor Costs</v>
      </c>
      <c r="AG8" s="325" t="str">
        <f>IFERROR(INDEX($AF$7:$AF$10,MATCH(0,INDEX((LEN($AF$7:$AF$10)=0)+COUNTIF($AG$6:$AG7,$AF$7:$AF$10),0),0)),"")</f>
        <v>Labor Costs</v>
      </c>
      <c r="AH8" s="326">
        <f>IFERROR(IF(LEN($AG$8)=0,"",INDEX(Calc!$AD$7:$AD$10,MATCH(Calc!AG8,Calc!$AC$7:$AC$10,0))),"")</f>
        <v>330</v>
      </c>
      <c r="AJ8" s="325" t="str">
        <f>IFERROR(IF(LEN(Products!$Q$7)&gt;0,Products!$Q$7,""),"")</f>
        <v>Timbercraft Co.</v>
      </c>
      <c r="AK8" s="326">
        <f>IFERROR(IF(AND(LEN($AK$4)&gt;0,LEN(INDEX(Products!$Q$8:$Q$17,MATCH(Calc!$AK$4,Products!$E$8:$E$17,0)))&gt;0),INDEX(Products!$Q$8:$Q$17,MATCH(Calc!$AK$4,Products!$E$8:$E$17,0),1),""),"")</f>
        <v>1150</v>
      </c>
      <c r="AL8" s="69" t="str">
        <f>IFERROR(IF(LEN($AK8)&gt;0,IF(LEN($AJ8)&gt;0,$AJ8,"Competitor 1"),""),"")</f>
        <v>Timbercraft Co.</v>
      </c>
      <c r="AM8" s="380">
        <f>IFERROR(IF(AND(LEN($AK$4)&gt;0,LEN(INDEX(Products!$Q$8:$Q$17,MATCH(Calc!$AK$4,Products!$E$8:$E$17,0)))&gt;0),INDEX(Products!$Q$8:$Q$17,MATCH(Calc!$AK$4,Products!$E$8:$E$17,0),1),""),"")</f>
        <v>1150</v>
      </c>
      <c r="AN8" s="325" t="str">
        <f>IFERROR(INDEX($AL$7:$AL$13,MATCH(0,INDEX((LEN($AL$7:$AL$13)=0)+COUNTIF($AN$6:$AN7,$AL$7:$AL$13),0),0)),"")</f>
        <v>Timbercraft Co.</v>
      </c>
      <c r="AO8" s="326">
        <f>IFERROR(IF(LEN($AN$7)=0,"",INDEX(Calc!$AM$7:$AM$13,MATCH(Calc!AN8,Calc!$AL$7:$AL$13,0))),"")</f>
        <v>1150</v>
      </c>
      <c r="AQ8" s="325" t="s">
        <v>155</v>
      </c>
      <c r="AR8" s="326">
        <f>IFERROR(IF($AC$23=$AD$20,$AD$24,IF($AC$23=$AE$20,$AE$21*$AE$24/100,$AF$21*AF24/100)),"")</f>
        <v>361.6142857142857</v>
      </c>
      <c r="AS8" s="219"/>
    </row>
    <row r="9" spans="3:47" x14ac:dyDescent="0.25">
      <c r="E9" s="336">
        <v>6</v>
      </c>
      <c r="F9" s="79" t="str">
        <f>IFERROR(IF(LEN(INDEX(RawMaterials!$D$8:$D$27,$E9,1))&gt;0,INDEX(RawMaterials!$D$8:$D$27,$E9,1),""),"")</f>
        <v>Steel brackets</v>
      </c>
      <c r="G9" s="75" t="str">
        <f t="array" ref="G9">IFERROR(INDEX($F$4:$F$23,MATCH(0,INDEX((LEN($F$4:$F$23)=0)+COUNTIF($G$3:$G8,$F$4:$F$23),0),0)),"")</f>
        <v>Steel brackets</v>
      </c>
      <c r="I9" s="75" t="str">
        <f>IFERROR(IF(LEN(INDEX(Products!$E$8:$E$17,$E9,1))&gt;0,INDEX(Products!$E$8:$E$17,$E9,1),""),"")</f>
        <v/>
      </c>
      <c r="J9" s="75" t="str" cm="1">
        <f t="array" ref="J9">IFERROR(INDEX($I$4:$I$13,MATCH(0,INDEX((LEN($I$4:$I$13)=0)+COUNTIF($J$3:$J8,$I$4:$I$13),0),0)),"")</f>
        <v/>
      </c>
      <c r="Q9" s="302" t="str">
        <f>"Pre-Discount Price (" &amp; currency &amp; "):"</f>
        <v>Pre-Discount Price ($):</v>
      </c>
      <c r="R9" s="26" t="str">
        <f>IFERROR(IF($R$7=0,"",IF(AND(LEN($R$5)&gt;0,LEN($R$7)&gt;0),($R$5+$R$8),"")),"")</f>
        <v/>
      </c>
      <c r="S9" s="26" t="str">
        <f>IFERROR(IF($S$7=0,"",IF(AND(LEN($S$5)&gt;0,LEN($S$7)&gt;0),($S$5+$S$8),"")),"")</f>
        <v/>
      </c>
      <c r="U9" s="253" t="str">
        <f>"Pre-Discount Price (" &amp; currency &amp; "):"</f>
        <v>Pre-Discount Price ($):</v>
      </c>
      <c r="V9" s="26" t="str">
        <f>IFERROR(IF(LEN($V$5)&gt;0,(IF($V$7&lt;&gt;0,$V$7,"")),""),"")</f>
        <v/>
      </c>
      <c r="W9" s="26" t="str">
        <f>IFERROR(IF(LEN($W$5)&gt;0,(IF($W$7&lt;&gt;0,$W$7,"")),""),"")</f>
        <v/>
      </c>
      <c r="Y9" s="253" t="str">
        <f>"Pre-Discount Price (" &amp; currency &amp; "):"</f>
        <v>Pre-Discount Price ($):</v>
      </c>
      <c r="Z9" s="37" t="str">
        <f>IFERROR(IF(LEN($Z$13)&gt;0,($Z$5+$Z$5*$Z$8/100),""),"")</f>
        <v/>
      </c>
      <c r="AA9" s="387" t="str">
        <f>IFERROR(IF(LEN($AA$13)&gt;0,($AA$5+$AA$5*$AA$8/100),""),"")</f>
        <v/>
      </c>
      <c r="AC9" s="325" t="s">
        <v>35</v>
      </c>
      <c r="AD9" s="326">
        <f>IFERROR(IF(LEN(AND(LEN($AK$4)&gt;0,INDEX(Products!$H$8:$H$17,MATCH(Calc!$AK$4,Products!$E$8:$E$17,0)))&gt;0),INDEX(Products!$H$8:$H$17,MATCH(Calc!$AK$4,Products!$E$8:$E$17,0),1),""),"")</f>
        <v>50</v>
      </c>
      <c r="AE9" s="219"/>
      <c r="AF9" s="349" t="str">
        <f>IFERROR(IF(LEN($AD9)&gt;0,$AC9,""),"")</f>
        <v>Shipping Costs</v>
      </c>
      <c r="AG9" s="325" t="str">
        <f>IFERROR(INDEX($AF$7:$AF$10,MATCH(0,INDEX((LEN($AF$7:$AF$10)=0)+COUNTIF($AG$6:$AG8,$AF$7:$AF$10),0),0)),"")</f>
        <v>Shipping Costs</v>
      </c>
      <c r="AH9" s="326">
        <f>IFERROR(IF(LEN($AG$9)=0,"",INDEX(Calc!$AD$7:$AD$10,MATCH(Calc!AG9,Calc!$AC$7:$AC$10,0))),"")</f>
        <v>50</v>
      </c>
      <c r="AJ9" s="325" t="str">
        <f>IFERROR(IF(LEN(Products!$R$7)&gt;0,Products!$R$7,""),"")</f>
        <v>WoodWise Design</v>
      </c>
      <c r="AK9" s="326" t="str">
        <f>IFERROR(IF(AND(LEN($AK$4)&gt;0,LEN(INDEX(Products!$R$8:$R$17,MATCH(Calc!$AK$4,Products!$E$8:$E$17,0)))&gt;0),INDEX(Products!$R$8:$R$17,MATCH(Calc!$AK$4,Products!$E$8:$E$17,0),1),""),"")</f>
        <v/>
      </c>
      <c r="AL9" s="69" t="str">
        <f>IFERROR(IF(LEN($AK9)&gt;0,IF(LEN($AJ9)&gt;0,$AJ9,"Competitor 2"),""),"")</f>
        <v/>
      </c>
      <c r="AM9" s="380" t="str">
        <f>IFERROR(IF(AND(LEN($AK$4)&gt;0,LEN(INDEX(Products!$R$8:$R$17,MATCH(Calc!$AK$4,Products!$E$8:$E$17,0)))&gt;0),INDEX(Products!$R$8:$R$17,MATCH(Calc!$AK$4,Products!$E$8:$E$17,0),1),""),"")</f>
        <v/>
      </c>
      <c r="AN9" s="325" t="str">
        <f>IFERROR(INDEX($AL$7:$AL$13,MATCH(0,INDEX((LEN($AL$7:$AL$13)=0)+COUNTIF($AN$6:$AN8,$AL$7:$AL$13),0),0)),"")</f>
        <v>Cedarwood Workshop</v>
      </c>
      <c r="AO9" s="326">
        <f>IFERROR(IF(LEN($AN$7)=0,"",INDEX(Calc!$AM$7:$AM$13,MATCH(Calc!AN9,Calc!$AL$7:$AL$13,0))),"")</f>
        <v>956</v>
      </c>
      <c r="AQ9" s="325" t="s">
        <v>156</v>
      </c>
      <c r="AR9" s="326">
        <f>IFERROR(IF($AC$23=$AD$20,-$AD$28,IF($AC$23=$AE$20,-$AE$28,-$AF$28)),"")</f>
        <v>-108.48428571428572</v>
      </c>
      <c r="AS9" s="219"/>
      <c r="AU9" s="219"/>
    </row>
    <row r="10" spans="3:47" x14ac:dyDescent="0.25">
      <c r="C10" s="213" t="s">
        <v>145</v>
      </c>
      <c r="E10" s="336">
        <v>7</v>
      </c>
      <c r="F10" s="79" t="str">
        <f>IFERROR(IF(LEN(INDEX(RawMaterials!$D$8:$D$27,$E10,1))&gt;0,INDEX(RawMaterials!$D$8:$D$27,$E10,1),""),"")</f>
        <v>Glass dividers</v>
      </c>
      <c r="G10" s="75" t="str">
        <f t="array" ref="G10">IFERROR(INDEX($F$4:$F$23,MATCH(0,INDEX((LEN($F$4:$F$23)=0)+COUNTIF($G$3:$G9,$F$4:$F$23),0),0)),"")</f>
        <v>Glass dividers</v>
      </c>
      <c r="I10" s="75" t="str">
        <f>IFERROR(IF(LEN(INDEX(Products!$E$8:$E$17,$E10,1))&gt;0,INDEX(Products!$E$8:$E$17,$E10,1),""),"")</f>
        <v/>
      </c>
      <c r="J10" s="75" t="str" cm="1">
        <f t="array" ref="J10">IFERROR(INDEX($I$4:$I$13,MATCH(0,INDEX((LEN($I$4:$I$13)=0)+COUNTIF($J$3:$J9,$I$4:$I$13),0),0)),"")</f>
        <v/>
      </c>
      <c r="Q10" s="296"/>
      <c r="R10" s="297"/>
      <c r="S10" s="297"/>
      <c r="U10" s="298"/>
      <c r="V10" s="297"/>
      <c r="W10" s="297"/>
      <c r="Y10" s="298"/>
      <c r="Z10" s="299"/>
      <c r="AA10" s="300"/>
      <c r="AC10" s="325" t="s">
        <v>11</v>
      </c>
      <c r="AD10" s="326">
        <f>IFERROR(IF(AND(LEN($AK$4)&gt;0,LEN(INDEX(Products!$I$8:$I$17,MATCH(Calc!$AK$4,Products!$E$8:$E$17,0)))&gt;0),INDEX(Products!$I$8:$I$17,MATCH(Calc!$AK$4,Products!$E$8:$E$17,0),1),""),"")</f>
        <v>108</v>
      </c>
      <c r="AE10" s="219"/>
      <c r="AF10" s="349" t="str">
        <f>IFERROR(IF(LEN($AD10)&gt;0,$AC10,""),"")</f>
        <v>Fixed/Other Costs</v>
      </c>
      <c r="AG10" s="325" t="str">
        <f>IFERROR(INDEX($AF$7:$AF$10,MATCH(0,INDEX((LEN($AF$7:$AF$10)=0)+COUNTIF($AG$6:$AG9,$AF$7:$AF$10),0),0)),"")</f>
        <v>Fixed/Other Costs</v>
      </c>
      <c r="AH10" s="326">
        <f>IFERROR(IF(LEN($AG$10)=0,"",INDEX(Calc!$AD$7:$AD$10,MATCH(Calc!AG10,Calc!$AC$7:$AC$10,0))),"")</f>
        <v>108</v>
      </c>
      <c r="AJ10" s="325" t="str">
        <f>IFERROR(IF(LEN(Products!$S$7)&gt;0,Products!$S$7,""),"")</f>
        <v>Forest Artisans</v>
      </c>
      <c r="AK10" s="326" t="str">
        <f>IFERROR(IF(AND(LEN($AK$4)&gt;0,LEN(INDEX(Products!$S$8:$S$17,MATCH(Calc!$AK$4,Products!$E$8:$E$17,0)))&gt;0),INDEX(Products!$S$8:$S$17,MATCH(Calc!$AK$4,Products!$E$8:$E$17,0),1),""),"")</f>
        <v/>
      </c>
      <c r="AL10" s="69" t="str">
        <f>IFERROR(IF(LEN($AK10)&gt;0,IF(LEN($AJ10)&gt;0,$AJ10,"Competitor 3"),""),"")</f>
        <v/>
      </c>
      <c r="AM10" s="380" t="str">
        <f>IFERROR(IF(AND(LEN($AK$4)&gt;0,LEN(INDEX(Products!$S$8:$S$17,MATCH(Calc!$AK$4,Products!$E$8:$E$17,0)))&gt;0),INDEX(Products!$S$8:$S$17,MATCH(Calc!$AK$4,Products!$E$8:$E$17,0),1),""),"")</f>
        <v/>
      </c>
      <c r="AN10" s="325" t="str">
        <f>IFERROR(INDEX($AL$7:$AL$13,MATCH(0,INDEX((LEN($AL$7:$AL$13)=0)+COUNTIF($AN$6:$AN9,$AL$7:$AL$13),0),0)),"")</f>
        <v>Timberland Craftsman</v>
      </c>
      <c r="AO10" s="326">
        <f>IFERROR(IF(LEN($AN$7)=0,"",INDEX(Calc!$AM$7:$AM$13,MATCH(Calc!AN10,Calc!$AL$7:$AL$13,0))),"")</f>
        <v>1235</v>
      </c>
      <c r="AQ10" s="325" t="s">
        <v>157</v>
      </c>
      <c r="AR10" s="326">
        <f>IFERROR(IF($AC$23=$AD$20,$AD$32,IF($AC$23=$AE$20,$AE$32,$AF$32)),"")</f>
        <v>78.108685714285713</v>
      </c>
      <c r="AS10" s="219"/>
      <c r="AU10" s="219"/>
    </row>
    <row r="11" spans="3:47" x14ac:dyDescent="0.25">
      <c r="C11" s="214" t="str">
        <f xml:space="preserve"> "Fixed (" &amp; currency &amp; ")"</f>
        <v>Fixed ($)</v>
      </c>
      <c r="E11" s="336">
        <v>8</v>
      </c>
      <c r="F11" s="79" t="str">
        <f>IFERROR(IF(LEN(INDEX(RawMaterials!$D$8:$D$27,$E11,1))&gt;0,INDEX(RawMaterials!$D$8:$D$27,$E11,1),""),"")</f>
        <v/>
      </c>
      <c r="G11" s="75" t="str">
        <f t="array" ref="G11">IFERROR(INDEX($F$4:$F$23,MATCH(0,INDEX((LEN($F$4:$F$23)=0)+COUNTIF($G$3:$G10,$F$4:$F$23),0),0)),"")</f>
        <v/>
      </c>
      <c r="I11" s="75" t="str">
        <f>IFERROR(IF(LEN(INDEX(Products!$E$8:$E$17,$E11,1))&gt;0,INDEX(Products!$E$8:$E$17,$E11,1),""),"")</f>
        <v/>
      </c>
      <c r="J11" s="75" t="str" cm="1">
        <f t="array" ref="J11">IFERROR(INDEX($I$4:$I$13,MATCH(0,INDEX((LEN($I$4:$I$13)=0)+COUNTIF($J$3:$J10,$I$4:$I$13),0),0)),"")</f>
        <v/>
      </c>
      <c r="Q11" s="95" t="s">
        <v>68</v>
      </c>
      <c r="R11" s="236">
        <f>IFERROR(IF(LEN(INDEX(PriceCalculator!$D$15:$D$33,MATCH($Q$11,PriceCalculator!$C$15:$C$33,0),1))&gt;0,INDEX(PriceCalculator!$D$15:$D$33,MATCH($Q$11,PriceCalculator!$C$15:$C$33,0),1),0),"")</f>
        <v>0</v>
      </c>
      <c r="S11" s="236">
        <f>IFERROR(IF(LEN(INDEX(PriceCalculator!$E$15:$E$33,MATCH($Q$11,PriceCalculator!$C$15:$C$33,0),1))&gt;0,INDEX(PriceCalculator!$E$15:$E$33,MATCH($Q$11,PriceCalculator!$C$15:$C$33,0),1),0),"")</f>
        <v>0</v>
      </c>
      <c r="U11" s="25" t="s">
        <v>68</v>
      </c>
      <c r="V11" s="236">
        <f>IFERROR(IF(LEN(INDEX(PriceCalculator!$D$15:$D$33,MATCH($Q$11,PriceCalculator!$C$15:$C$33,0),1))&gt;0,INDEX(PriceCalculator!$D$15:$D$33,MATCH($Q$11,PriceCalculator!$C$15:$C$33,0),1),0),"")</f>
        <v>0</v>
      </c>
      <c r="W11" s="236">
        <f>IFERROR(IF(LEN(INDEX(PriceCalculator!$E$15:$E$33,MATCH($Q$11,PriceCalculator!$C$15:$C$33,0),1))&gt;0,INDEX(PriceCalculator!$E$15:$E$33,MATCH($Q$11,PriceCalculator!$C$15:$C$33,0),1),0),"")</f>
        <v>0</v>
      </c>
      <c r="Y11" s="25" t="s">
        <v>68</v>
      </c>
      <c r="Z11" s="236">
        <f>IFERROR(IF(LEN(INDEX(PriceCalculator!$D$15:$D$33,MATCH($Q$11,PriceCalculator!$C$15:$C$33,0),1))&gt;0,INDEX(PriceCalculator!$D$15:$D$33,MATCH($Q$11,PriceCalculator!$C$15:$C$33,0),1),0),"")</f>
        <v>0</v>
      </c>
      <c r="AA11" s="237">
        <f>IFERROR(IF(LEN(INDEX(PriceCalculator!$E$15:$E$33,MATCH($Q$11,PriceCalculator!$C$15:$C$33,0),1))&gt;0,INDEX(PriceCalculator!$E$15:$E$33,MATCH($Q$11,PriceCalculator!$C$15:$C$33,0),1),0),"")</f>
        <v>0</v>
      </c>
      <c r="AC11" s="84"/>
      <c r="AJ11" s="325" t="str">
        <f>IFERROR(IF(LEN(Products!$T$7)&gt;0,Products!$T$7,""),"")</f>
        <v>Cedarwood Workshop</v>
      </c>
      <c r="AK11" s="326">
        <f>IFERROR(IF(AND(LEN($AK$4)&gt;0,LEN(INDEX(Products!$T$8:$T$17,MATCH(Calc!$AK$4,Products!$E$8:$E$17,0)))&gt;0),INDEX(Products!$T$8:$T$17,MATCH(Calc!$AK$4,Products!$E$8:$E$17,0),1),""),"")</f>
        <v>956</v>
      </c>
      <c r="AL11" s="69" t="str">
        <f>IFERROR(IF(LEN($AK11)&gt;0,IF(LEN($AJ11)&gt;0,$AJ11,"Competitor 4"),""),"")</f>
        <v>Cedarwood Workshop</v>
      </c>
      <c r="AM11" s="380">
        <f>IFERROR(IF(AND(LEN($AK$4)&gt;0,LEN(INDEX(Products!$T$8:$T$17,MATCH(Calc!$AK$4,Products!$E$8:$E$17,0)))&gt;0),INDEX(Products!$T$8:$T$17,MATCH(Calc!$AK$4,Products!$E$8:$E$17,0),1),""),"")</f>
        <v>956</v>
      </c>
      <c r="AN11" s="325" t="str">
        <f>IFERROR(INDEX($AL$7:$AL$13,MATCH(0,INDEX((LEN($AL$7:$AL$13)=0)+COUNTIF($AN$6:$AN10,$AL$7:$AL$13),0),0)),"")</f>
        <v>Oak &amp; Pine Co.</v>
      </c>
      <c r="AO11" s="326">
        <f>IFERROR(IF(LEN($AN$7)=0,"",INDEX(Calc!$AM$7:$AM$13,MATCH(Calc!AN11,Calc!$AL$7:$AL$13,0))),"")</f>
        <v>1560</v>
      </c>
      <c r="AQ11" s="325" t="s">
        <v>158</v>
      </c>
      <c r="AR11" s="326">
        <f>IFERROR(IF($AC$23=$AD$20,$AD$35,IF($AC$23=$AE$20,$AE$35,$AF$35)),"")</f>
        <v>10.651184415584339</v>
      </c>
      <c r="AS11" s="219"/>
      <c r="AU11" s="219"/>
    </row>
    <row r="12" spans="3:47" x14ac:dyDescent="0.25">
      <c r="C12" s="214" t="s">
        <v>146</v>
      </c>
      <c r="E12" s="336">
        <v>9</v>
      </c>
      <c r="F12" s="79" t="str">
        <f>IFERROR(IF(LEN(INDEX(RawMaterials!$D$8:$D$27,$E12,1))&gt;0,INDEX(RawMaterials!$D$8:$D$27,$E12,1),""),"")</f>
        <v/>
      </c>
      <c r="G12" s="75" t="str">
        <f t="array" ref="G12">IFERROR(INDEX($F$4:$F$23,MATCH(0,INDEX((LEN($F$4:$F$23)=0)+COUNTIF($G$3:$G11,$F$4:$F$23),0),0)),"")</f>
        <v/>
      </c>
      <c r="I12" s="75" t="str">
        <f>IFERROR(IF(LEN(INDEX(Products!$E$8:$E$17,$E12,1))&gt;0,INDEX(Products!$E$8:$E$17,$E12,1),""),"")</f>
        <v/>
      </c>
      <c r="J12" s="75" t="str" cm="1">
        <f t="array" ref="J12">IFERROR(INDEX($I$4:$I$13,MATCH(0,INDEX((LEN($I$4:$I$13)=0)+COUNTIF($J$3:$J11,$I$4:$I$13),0),0)),"")</f>
        <v/>
      </c>
      <c r="L12" s="373" t="s">
        <v>65</v>
      </c>
      <c r="M12" s="375">
        <f>MAX(COUNTA($M$14:$M$33)-COUNTBLANK($M$14:$M$33),1)</f>
        <v>3</v>
      </c>
      <c r="N12" s="373" t="s">
        <v>65</v>
      </c>
      <c r="O12" s="374">
        <f>MAX(COUNTA($O$14:$O$33)-COUNTBLANK($O$14:$O$33),1)</f>
        <v>3</v>
      </c>
      <c r="Q12" s="95" t="str">
        <f>"Discount " &amp; "(" &amp; currency &amp; "):"</f>
        <v>Discount ($):</v>
      </c>
      <c r="R12" s="26" t="str">
        <f>IFERROR(IF($R$11=0,"",IF(AND(LEN($R$8)&gt;0,$R$11&lt;&gt;0),$R$9*$R$11/100,$R$5*$R$11/100)),"")</f>
        <v/>
      </c>
      <c r="S12" s="26" t="str">
        <f>IFERROR(IF($S$11=0,"",IF(AND(LEN($S$9)&gt;0,$S$11&lt;&gt;0),$S$9*$S$11/100,$S$5*$S$11/100)),"")</f>
        <v/>
      </c>
      <c r="U12" s="25" t="str">
        <f>"Discount " &amp; "(" &amp; currency &amp; "):"</f>
        <v>Discount ($):</v>
      </c>
      <c r="V12" s="26" t="str">
        <f>IFERROR(IF($V$11=0,"",IF(AND(LEN($V$9)&gt;0,LEN($V$11)&gt;0),($V$9)*($V$11/100),($V$5)*($V$11/100))),"")</f>
        <v/>
      </c>
      <c r="W12" s="26" t="str">
        <f>IFERROR(IF($W$11=0,"",IF(AND(LEN($W$9)&gt;0,LEN($W$11)&gt;0),($W$9)*($W$11/100),($W$5)*($W$11/100))),"")</f>
        <v/>
      </c>
      <c r="Y12" s="25" t="str">
        <f>"Discount " &amp; "(" &amp; currency &amp; "):"</f>
        <v>Discount ($):</v>
      </c>
      <c r="Z12" s="26" t="str">
        <f>IFERROR(IF($Z$11&lt;&gt;0,IF($Z$7&lt;&gt;0,($Z$13)/(100-$Z$11)*$Z$11,$Z$5*$Z$11/100),""),"")</f>
        <v/>
      </c>
      <c r="AA12" s="96" t="str">
        <f>IFERROR(IF($AA$11&lt;&gt;0,IF($AA$7&lt;&gt;0,($AA$13)/(100-$AA$11)*$AA$11,$AA$5*$AA$11/100),""),"")</f>
        <v/>
      </c>
      <c r="AC12" s="329" t="str">
        <f>"Cash to start (" &amp; currency &amp; "):"</f>
        <v>Cash to start ($):</v>
      </c>
      <c r="AD12" s="326">
        <f>IFERROR(IF(SUM($AD$7:$AD$10)=0,"",SUM($AD$7:$AD$10)),"")</f>
        <v>723.22857142857151</v>
      </c>
      <c r="AJ12" s="325" t="str">
        <f>IFERROR(IF(LEN(Products!$U$7)&gt;0,Products!$U$7,""),"")</f>
        <v>Timberland Craftsman</v>
      </c>
      <c r="AK12" s="326">
        <f>IFERROR(IF(AND(LEN($AK$4)&gt;0,LEN(INDEX(Products!$U$8:$U$17,MATCH(Calc!$AK$4,Products!$E$8:$E$17,0)))&gt;0),INDEX(Products!$U$8:$U$17,MATCH(Calc!$AK$4,Products!$E$8:$E$17,0),1),""),"")</f>
        <v>1235</v>
      </c>
      <c r="AL12" s="69" t="str">
        <f>IFERROR(IF(LEN($AK12)&gt;0,IF(LEN($AJ12)&gt;0,$AJ12,"Competitor 5"),""),"")</f>
        <v>Timberland Craftsman</v>
      </c>
      <c r="AM12" s="380">
        <f>IFERROR(IF(AND(LEN($AK$4)&gt;0,LEN(INDEX(Products!$U$8:$U$17,MATCH(Calc!$AK$4,Products!$E$8:$E$17,0)))&gt;0),INDEX(Products!$U$8:$U$17,MATCH(Calc!$AK$4,Products!$E$8:$E$17,0),1),""),"")</f>
        <v>1235</v>
      </c>
      <c r="AN12" s="325" t="str">
        <f>IFERROR(INDEX($AL$7:$AL$13,MATCH(0,INDEX((LEN($AL$7:$AL$13)=0)+COUNTIF($AN$6:$AN11,$AL$7:$AL$13),0),0)),"")</f>
        <v/>
      </c>
      <c r="AO12" s="326" t="str">
        <f>IFERROR(IF(LEN($AN$7)=0,"",INDEX(Calc!$AM$7:$AM$13,MATCH(Calc!AN12,Calc!$AL$7:$AL$13,0))),"")</f>
        <v/>
      </c>
      <c r="AQ12" s="325" t="s">
        <v>159</v>
      </c>
      <c r="AR12" s="326">
        <f>IFERROR(IF($AC$23=$AD$20,$AD$39,IF($AC$23=$AE$20,$AE$39,$AF$39)),"")</f>
        <v>1065.1184415584414</v>
      </c>
      <c r="AS12" s="219"/>
      <c r="AU12" s="219"/>
    </row>
    <row r="13" spans="3:47" x14ac:dyDescent="0.25">
      <c r="E13" s="336">
        <v>10</v>
      </c>
      <c r="F13" s="79" t="str">
        <f>IFERROR(IF(LEN(INDEX(RawMaterials!$D$8:$D$27,$E13,1))&gt;0,INDEX(RawMaterials!$D$8:$D$27,$E13,1),""),"")</f>
        <v/>
      </c>
      <c r="G13" s="75" t="str">
        <f t="array" ref="G13">IFERROR(INDEX($F$4:$F$23,MATCH(0,INDEX((LEN($F$4:$F$23)=0)+COUNTIF($G$3:$G12,$F$4:$F$23),0),0)),"")</f>
        <v/>
      </c>
      <c r="I13" s="75" t="str">
        <f>IFERROR(IF(LEN(INDEX(Products!$E$8:$E$17,$E13,1))&gt;0,INDEX(Products!$E$8:$E$17,$E13,1),""),"")</f>
        <v/>
      </c>
      <c r="J13" s="75" t="str" cm="1">
        <f t="array" ref="J13">IFERROR(INDEX($I$4:$I$13,MATCH(0,INDEX((LEN($I$4:$I$13)=0)+COUNTIF($J$3:$J12,$I$4:$I$13),0),0)),"")</f>
        <v/>
      </c>
      <c r="L13" s="366" t="s">
        <v>306</v>
      </c>
      <c r="M13" s="376" t="s">
        <v>307</v>
      </c>
      <c r="N13" s="366" t="s">
        <v>304</v>
      </c>
      <c r="O13" s="367" t="s">
        <v>307</v>
      </c>
      <c r="Q13" s="302" t="str">
        <f>"Net Price (" &amp; currency &amp; "):"</f>
        <v>Net Price ($):</v>
      </c>
      <c r="R13" s="26" t="str">
        <f>IFERROR(IF($R$11=0,"",IF(AND(LEN($R$5)&gt;0,LEN($R$9)&gt;0,LEN($R$12)&gt;0),$R$9-$R$12,IF(AND(LEN($R$5)&gt;0,LEN($R$9)&gt;0,LEN($R$12)=0),$R$9,IF(AND(LEN($R$5)&gt;0,LEN($R$9)=0,LEN($R$12)&gt;0),$R$5-$R$12,$R$5)))),"")</f>
        <v/>
      </c>
      <c r="S13" s="26" t="str">
        <f>IFERROR(IF($S$11=0,"",IF(AND(LEN($S$5)&gt;0,LEN($S$9)&gt;0,LEN($S$12)&gt;0),$S$9-$S$12,IF(AND(LEN($S$5)&gt;0,LEN($S$9)&gt;0,LEN($S$12)=0),$S$9,IF(AND(LEN($S$5)&gt;0,LEN($S$9)=0,LEN($S$12)&gt;0),$S$5-$S$12,$S$5)))),"")</f>
        <v/>
      </c>
      <c r="U13" s="253" t="str">
        <f>"Net Price (" &amp; currency &amp; "):"</f>
        <v>Net Price ($):</v>
      </c>
      <c r="V13" s="26" t="str">
        <f>IFERROR(IF($V$11=0,"",IF(AND(LEN($V$9)&gt;0,LEN($V$12)&gt;0),$V$9-$V$12,$V$5-$V$12)),"")</f>
        <v/>
      </c>
      <c r="W13" s="26" t="str">
        <f>IFERROR(IF($W$11=0,"",IF(AND(LEN($W$9)&gt;0,LEN($W$12)&gt;0),$W$9-$W$12,$W$5-$W$12)),"")</f>
        <v/>
      </c>
      <c r="Y13" s="253" t="str">
        <f>"Net Price (" &amp; currency &amp; "):"</f>
        <v>Net Price ($):</v>
      </c>
      <c r="Z13" s="26" t="str">
        <f>IFERROR(IF(LEN($Z$5)&gt;0,IF($Z$7=0,IF($Z$11&lt;&gt;0,$Z$5-$Z$12,""),$Z$5+$Z$7),""),"")</f>
        <v/>
      </c>
      <c r="AA13" s="96" t="str">
        <f>IFERROR(IF(LEN($AA$5)&gt;0,IF($AA$7=0,IF($AA$11&lt;&gt;0,$AA$5-$AA$12,""),$AA$5+$AA$7),""),"")</f>
        <v/>
      </c>
      <c r="AC13" s="329" t="s">
        <v>160</v>
      </c>
      <c r="AD13" s="325">
        <f>IFERROR(IF(LEN($AR$9)&gt;0,ROUNDUP($AR$7/($AR$8+$AR$9),0),ROUNDUP($AR$7/($AR$8),0)+1),"")</f>
        <v>3</v>
      </c>
      <c r="AJ13" s="325" t="str">
        <f>IFERROR(IF(LEN(Products!$V$7)&gt;0,Products!$V$7,""),"")</f>
        <v>Oak &amp; Pine Co.</v>
      </c>
      <c r="AK13" s="326">
        <f>IFERROR(IF(AND(LEN($AK$4)&gt;0,LEN(INDEX(Products!$V$8:$V$17,MATCH(Calc!$AK$4,Products!$E$8:$E$17,0)))&gt;0),INDEX(Products!$V$8:$V$17,MATCH(Calc!$AK$4,Products!$E$8:$E$17,0),1),""),"")</f>
        <v>1560</v>
      </c>
      <c r="AL13" s="69" t="str">
        <f>IFERROR(IF(LEN($AK13)&gt;0,IF(LEN($AJ13)&gt;0,$AJ13,"Competitor 6"),""),"")</f>
        <v>Oak &amp; Pine Co.</v>
      </c>
      <c r="AM13" s="380">
        <f>IFERROR(IF(AND(LEN($AK$4)&gt;0,LEN(INDEX(Products!$V$8:$V$17,MATCH(Calc!$AK$4,Products!$E$8:$E$17,0)))&gt;0),INDEX(Products!$V$8:$V$17,MATCH(Calc!$AK$4,Products!$E$8:$E$17,0),1),""),"")</f>
        <v>1560</v>
      </c>
      <c r="AN13" s="325" t="str">
        <f>IFERROR(INDEX($AL$7:$AL$13,MATCH(0,INDEX((LEN($AL$7:$AL$13)=0)+COUNTIF($AN$6:$AN12,$AL$7:$AL$13),0),0)),"")</f>
        <v/>
      </c>
      <c r="AO13" s="326" t="str">
        <f>IFERROR(IF(LEN($AN$7)=0,"",INDEX(Calc!$AM$7:$AM$13,MATCH(Calc!AN13,Calc!$AL$7:$AL$13,0))),"")</f>
        <v/>
      </c>
      <c r="AR13" s="85"/>
    </row>
    <row r="14" spans="3:47" x14ac:dyDescent="0.25">
      <c r="C14" s="213" t="s">
        <v>147</v>
      </c>
      <c r="E14" s="336">
        <v>11</v>
      </c>
      <c r="F14" s="79" t="str">
        <f>IFERROR(IF(LEN(INDEX(RawMaterials!$D$8:$D$27,$E14,1))&gt;0,INDEX(RawMaterials!$D$8:$D$27,$E14,1),""),"")</f>
        <v/>
      </c>
      <c r="G14" s="75" t="str">
        <f t="array" ref="G14">IFERROR(INDEX($F$4:$F$23,MATCH(0,INDEX((LEN($F$4:$F$23)=0)+COUNTIF($G$3:$G13,$F$4:$F$23),0),0)),"")</f>
        <v/>
      </c>
      <c r="L14" s="368" t="str">
        <f>IFERROR(IF(LEN(Menu!$E10)&gt;0,Menu!$E10,""),"")</f>
        <v>Facebook</v>
      </c>
      <c r="M14" s="377" t="str">
        <f t="array" ref="M14">IFERROR(INDEX($L$14:$L$33,MATCH(0,INDEX((LEN($L$14:$L$33)=0)+COUNTIF($M$13:$M13,$L$14:$L$33),0),0)),"")</f>
        <v>Facebook</v>
      </c>
      <c r="N14" s="368" t="str">
        <f>IFERROR(IF(LEN(Menu!$I10)&gt;0,Menu!$I10,""),"")</f>
        <v>Onlywood</v>
      </c>
      <c r="O14" s="369" t="str">
        <f t="array" ref="O14">IFERROR(INDEX($N$14:$N$33,MATCH(0,INDEX((LEN($N$14:$N$33)=0)+COUNTIF($O$13:$O13,$N$14:$N$33),0),0)),"")</f>
        <v>Onlywood</v>
      </c>
      <c r="Q14" s="296"/>
      <c r="R14" s="297"/>
      <c r="S14" s="297"/>
      <c r="U14" s="298"/>
      <c r="V14" s="297"/>
      <c r="W14" s="297"/>
      <c r="Y14" s="298"/>
      <c r="Z14" s="297"/>
      <c r="AA14" s="301"/>
      <c r="AC14" s="332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90"/>
    </row>
    <row r="15" spans="3:47" x14ac:dyDescent="0.25">
      <c r="C15" s="214" t="s">
        <v>291</v>
      </c>
      <c r="E15" s="336">
        <v>12</v>
      </c>
      <c r="F15" s="79" t="str">
        <f>IFERROR(IF(LEN(INDEX(RawMaterials!$D$8:$D$27,$E15,1))&gt;0,INDEX(RawMaterials!$D$8:$D$27,$E15,1),""),"")</f>
        <v/>
      </c>
      <c r="G15" s="75" t="str">
        <f t="array" ref="G15">IFERROR(INDEX($F$4:$F$23,MATCH(0,INDEX((LEN($F$4:$F$23)=0)+COUNTIF($G$3:$G14,$F$4:$F$23),0),0)),"")</f>
        <v/>
      </c>
      <c r="L15" s="368" t="str">
        <f>IFERROR(IF(LEN(Menu!$E11)&gt;0,Menu!$E11,""),"")</f>
        <v>Amazon</v>
      </c>
      <c r="M15" s="377" t="str">
        <f t="array" ref="M15">IFERROR(INDEX($L$14:$L$33,MATCH(0,INDEX((LEN($L$14:$L$33)=0)+COUNTIF($M$13:$M14,$L$14:$L$33),0),0)),"")</f>
        <v>Amazon</v>
      </c>
      <c r="N15" s="368" t="str">
        <f>IFERROR(IF(LEN(Menu!$I11)&gt;0,Menu!$I11,""),"")</f>
        <v>Voltran</v>
      </c>
      <c r="O15" s="369" t="str">
        <f t="array" ref="O15">IFERROR(INDEX($N$14:$N$33,MATCH(0,INDEX((LEN($N$14:$N$33)=0)+COUNTIF($O$13:$O14,$N$14:$N$33),0),0)),"")</f>
        <v>Voltran</v>
      </c>
      <c r="Q15" s="95" t="s">
        <v>69</v>
      </c>
      <c r="R15" s="236">
        <f>IFERROR(IF(LEN(INDEX(PriceCalculator!$D$15:$D$33,MATCH($Q$15,PriceCalculator!$C$15:$C$33,0),1))&gt;0,INDEX(PriceCalculator!$D$15:$D$33,MATCH($Q$15,PriceCalculator!$C$15:$C$33,0),1),0),"")</f>
        <v>0</v>
      </c>
      <c r="S15" s="236">
        <f>IFERROR(IF(LEN(INDEX(PriceCalculator!$E$15:$E$33,MATCH($Q$15,PriceCalculator!$C$15:$C$33,0),1))&gt;0,INDEX(PriceCalculator!$E$15:$E$33,MATCH($Q$15,PriceCalculator!$C$15:$C$33,0),1),0),"")</f>
        <v>0</v>
      </c>
      <c r="U15" s="25" t="s">
        <v>69</v>
      </c>
      <c r="V15" s="236">
        <f>IFERROR(IF(LEN(INDEX(PriceCalculator!$D$15:$D$33,MATCH($Q$15,PriceCalculator!$C$15:$C$33,0),1))&gt;0,INDEX(PriceCalculator!$D$15:$D$33,MATCH($Q$15,PriceCalculator!$C$15:$C$33,0),1),0),"")</f>
        <v>0</v>
      </c>
      <c r="W15" s="236">
        <f>IFERROR(IF(LEN(INDEX(PriceCalculator!$E$15:$E$33,MATCH($Q$15,PriceCalculator!$C$15:$C$33,0),1))&gt;0,INDEX(PriceCalculator!$E$15:$E$33,MATCH($Q$15,PriceCalculator!$C$15:$C$33,0),1),0),"")</f>
        <v>0</v>
      </c>
      <c r="Y15" s="25" t="s">
        <v>69</v>
      </c>
      <c r="Z15" s="236">
        <f>IFERROR(IF(LEN(INDEX(PriceCalculator!$D$15:$D$33,MATCH($Q$15,PriceCalculator!$C$15:$C$33,0),1))&gt;0,INDEX(PriceCalculator!$D$15:$D$33,MATCH($Q$15,PriceCalculator!$C$15:$C$33,0),1),0),"")</f>
        <v>0</v>
      </c>
      <c r="AA15" s="237">
        <f>IFERROR(IF(LEN(INDEX(PriceCalculator!$E$15:$E$33,MATCH($Q$15,PriceCalculator!$C$15:$C$33,0),1))&gt;0,INDEX(PriceCalculator!$E$15:$E$33,MATCH($Q$15,PriceCalculator!$C$15:$C$33,0),1),0),"")</f>
        <v>0</v>
      </c>
      <c r="AC15" s="86"/>
      <c r="AR15" s="85"/>
    </row>
    <row r="16" spans="3:47" x14ac:dyDescent="0.25">
      <c r="C16" s="214" t="str">
        <f>"Planned Sales Price (" &amp; currency&amp; ")"</f>
        <v>Planned Sales Price ($)</v>
      </c>
      <c r="E16" s="336">
        <v>13</v>
      </c>
      <c r="F16" s="79" t="str">
        <f>IFERROR(IF(LEN(INDEX(RawMaterials!$D$8:$D$27,$E16,1))&gt;0,INDEX(RawMaterials!$D$8:$D$27,$E16,1),""),"")</f>
        <v/>
      </c>
      <c r="G16" s="75" t="str">
        <f t="array" ref="G16">IFERROR(INDEX($F$4:$F$23,MATCH(0,INDEX((LEN($F$4:$F$23)=0)+COUNTIF($G$3:$G15,$F$4:$F$23),0),0)),"")</f>
        <v/>
      </c>
      <c r="L16" s="368" t="str">
        <f>IFERROR(IF(LEN(Menu!$E12)&gt;0,Menu!$E12,""),"")</f>
        <v>Etsy</v>
      </c>
      <c r="M16" s="377" t="str">
        <f t="array" ref="M16">IFERROR(INDEX($L$14:$L$33,MATCH(0,INDEX((LEN($L$14:$L$33)=0)+COUNTIF($M$13:$M15,$L$14:$L$33),0),0)),"")</f>
        <v>Etsy</v>
      </c>
      <c r="N16" s="368" t="str">
        <f>IFERROR(IF(LEN(Menu!$I12)&gt;0,Menu!$I12,""),"")</f>
        <v>Plaser</v>
      </c>
      <c r="O16" s="369" t="str">
        <f t="array" ref="O16">IFERROR(INDEX($N$14:$N$33,MATCH(0,INDEX((LEN($N$14:$N$33)=0)+COUNTIF($O$13:$O15,$N$14:$N$33),0),0)),"")</f>
        <v>Plaser</v>
      </c>
      <c r="Q16" s="95" t="str">
        <f>"Tax " &amp; "(" &amp; currency &amp; "):"</f>
        <v>Tax ($):</v>
      </c>
      <c r="R16" s="26" t="str">
        <f>IFERROR(IF($R$15=0,"",IF(AND(LEN($R$13)&gt;0,$R$15&lt;&gt;0),($R$13*$R$15/100),IF(AND(LEN($R$13)=0,LEN($R$15)&lt;&gt;0,LEN($R$9)&lt;&gt;0),($R$9*$R$15)/100,($R$5*$R$15/100)))),"")</f>
        <v/>
      </c>
      <c r="S16" s="26" t="str">
        <f>IFERROR(IF($S$15=0,"",IF(AND(LEN($S$13)&gt;0,$S$15&lt;&gt;0),($S$13*$S$15/100),IF(AND(LEN($S$13)=0,LEN($S$15)&lt;&gt;0,LEN($S$9)&lt;&gt;0),($S$9*$S$15)/100,($S$5*$S$15/100)))),"")</f>
        <v/>
      </c>
      <c r="U16" s="25" t="str">
        <f>"Tax " &amp; "(" &amp; currency &amp; "):"</f>
        <v>Tax ($):</v>
      </c>
      <c r="V16" s="26" t="str">
        <f>IFERROR(IF($V$15=0,"",IF(AND(LEN($V$13)&gt;0,$V$15&lt;&gt;0),($V$13*$V$15/100),IF(AND(LEN($V$13)=0,LEN($V$15)&lt;&gt;0,LEN($V$9)&lt;&gt;0),($V$9*$V$15)/100,($V$5*$V$15/100)))),"")</f>
        <v/>
      </c>
      <c r="W16" s="26" t="str">
        <f>IFERROR(IF($W$15=0,"",IF(AND(LEN($W$13)&gt;0,$W$15&lt;&gt;0),($W$13*$W$15/100),IF(AND(LEN($W$13)=0,LEN($W$15)&lt;&gt;0,LEN($W$9)&lt;&gt;0),($W$9*$W$15)/100,($W$5*$W$15/100)))),"")</f>
        <v/>
      </c>
      <c r="Y16" s="25" t="str">
        <f>"Tax " &amp; "(" &amp; currency &amp; "):"</f>
        <v>Tax ($):</v>
      </c>
      <c r="Z16" s="26" t="str">
        <f>IFERROR(IF($Z$15=0,"",IF(LEN($Z$13)&gt;0,$Z$13*$Z$15/100,$Z$5*$Z$15/100)),"")</f>
        <v/>
      </c>
      <c r="AA16" s="96" t="str">
        <f>IFERROR(IF($AA$15=0,"",IF(LEN($AA$13)&gt;0,$AA$13*$AA$15/100,$AA$5*$AA$15/100)),"")</f>
        <v/>
      </c>
      <c r="AC16" s="330" t="str">
        <f>"Current " &amp; $AL$4 &amp; ":"</f>
        <v>Current Markup (%):</v>
      </c>
      <c r="AD16" s="331">
        <f>IFERROR(IF(LEN(INDEX(Database!$M$10:$M$19,MATCH(Dashboard!$E$7,Database!$H$10:$H$19,0),1))&gt;0,INDEX(Database!$M$10:$M$19,MATCH(Dashboard!$E$7,Database!$H$10:$H$19,0),1),0),"")</f>
        <v>50</v>
      </c>
      <c r="AE16" s="87"/>
      <c r="AF16" s="330" t="str">
        <f>"New " &amp; $AL$4 &amp; ":"</f>
        <v>New Markup (%):</v>
      </c>
      <c r="AG16" s="385" t="str">
        <f>IFERROR(IF(LEN(Dashboard!$E$15)&gt;0,Dashboard!$E$15,""),"")</f>
        <v/>
      </c>
      <c r="AJ16" s="325" t="str">
        <f xml:space="preserve"> "New Final Sales Price (" &amp; currency &amp; "):"</f>
        <v>New Final Sales Price ($):</v>
      </c>
      <c r="AK16" s="386" t="str">
        <f>IFERROR(IF(OR(LEN($AG$16)&gt;0,LEN($AG$17)&gt;0),IF($AC$23=$AD$20,$AD$39,IF($AC$23=$AE$20,$AE$39,"")),""),"")</f>
        <v/>
      </c>
      <c r="AR16" s="85"/>
    </row>
    <row r="17" spans="2:44" x14ac:dyDescent="0.25">
      <c r="C17" s="214" t="str">
        <f>"Desired Profit (" &amp; currency &amp; ")"</f>
        <v>Desired Profit ($)</v>
      </c>
      <c r="E17" s="336">
        <v>14</v>
      </c>
      <c r="F17" s="79" t="str">
        <f>IFERROR(IF(LEN(INDEX(RawMaterials!$D$8:$D$27,$E17,1))&gt;0,INDEX(RawMaterials!$D$8:$D$27,$E17,1),""),"")</f>
        <v/>
      </c>
      <c r="G17" s="75" t="str">
        <f t="array" ref="G17">IFERROR(INDEX($F$4:$F$23,MATCH(0,INDEX((LEN($F$4:$F$23)=0)+COUNTIF($G$3:$G16,$F$4:$F$23),0),0)),"")</f>
        <v/>
      </c>
      <c r="L17" s="368" t="str">
        <f>IFERROR(IF(LEN(Menu!$E13)&gt;0,Menu!$E13,""),"")</f>
        <v/>
      </c>
      <c r="M17" s="377" t="str">
        <f t="array" ref="M17">IFERROR(INDEX($L$14:$L$33,MATCH(0,INDEX((LEN($L$14:$L$33)=0)+COUNTIF($M$13:$M16,$L$14:$L$33),0),0)),"")</f>
        <v/>
      </c>
      <c r="N17" s="368" t="str">
        <f>IFERROR(IF(LEN(Menu!$I13)&gt;0,Menu!$I13,""),"")</f>
        <v/>
      </c>
      <c r="O17" s="369" t="str">
        <f t="array" ref="O17">IFERROR(INDEX($N$14:$N$33,MATCH(0,INDEX((LEN($N$14:$N$33)=0)+COUNTIF($O$13:$O16,$N$14:$N$33),0),0)),"")</f>
        <v/>
      </c>
      <c r="Q17" s="302" t="str">
        <f>"List Price (" &amp; currency &amp; "):"</f>
        <v>List Price ($):</v>
      </c>
      <c r="R17" s="26" t="str">
        <f>IFERROR(IF(LEN($R$5)&gt;0,IF($R$15=0,"",IF(LEN($R$5)&gt;0,IF(AND(LEN($R$9)&gt;0,LEN($R$13)&gt;0),$R$13+$R$16,IF(AND(LEN($R$9)=0,LEN($R$13)&gt;0),$R$13+$R$16,IF(AND(LEN($R$9)&gt;0,LEN($R$13)=0),$R$9+$R$16,$R$5+$R$16))))),""),"")</f>
        <v/>
      </c>
      <c r="S17" s="26" t="str">
        <f>IFERROR(IF(LEN($S$5)&gt;0,IF($S$15=0,"",IF(LEN($S$5)&gt;0,IF(AND(LEN($S$9)&gt;0,LEN($S$13)&gt;0),$S$13+$S$16,IF(AND(LEN($S$9)=0,LEN($S$13)&gt;0),$S$13+$S$16,IF(AND(LEN($S$9)&gt;0,LEN($S$13)=0),$S$9+$S$16,$S$5+$S$16))))),""),"")</f>
        <v/>
      </c>
      <c r="U17" s="253" t="str">
        <f>"List Price (" &amp; currency &amp; "):"</f>
        <v>List Price ($):</v>
      </c>
      <c r="V17" s="26" t="str">
        <f>IFERROR(IF(LEN($V$5)&gt;0,IF($V$15=0,"",IF(LEN($V$5)&gt;0,IF(AND(LEN($V$9)&gt;0,LEN($V$13)&gt;0),$V$13+$V$16,IF(AND(LEN($V$9)=0,LEN($V$13)&gt;0),$V$13+$V$16,IF(AND(LEN($V$9)&gt;0,LEN($V$13)=0),$V$9+$V$16,$V$5+$V$16))))),""),"")</f>
        <v/>
      </c>
      <c r="W17" s="26" t="str">
        <f>IFERROR(IF(LEN($W$5)&gt;0,IF($W$15=0,"",IF(LEN($W$5)&gt;0,IF(AND(LEN($W$9)&gt;0,LEN($W$13)&gt;0),$W$13+$W$16,IF(AND(LEN($W$9)=0,LEN($W$13)&gt;0),$W$13+$W$16,IF(AND(LEN($W$9)&gt;0,LEN($W$13)=0),$W$9+$W$16,$W$5+$W$16))))),""),"")</f>
        <v/>
      </c>
      <c r="Y17" s="253" t="str">
        <f>"List Price (" &amp; currency &amp; "):"</f>
        <v>List Price ($):</v>
      </c>
      <c r="Z17" s="26" t="str">
        <f>IFERROR(IF(LEN($Z$16)&gt;0,IF(LEN($Z$13)&gt;0,$Z$13+$Z$16,$Z$5+$Z$16),""),"")</f>
        <v/>
      </c>
      <c r="AA17" s="96" t="str">
        <f>IFERROR(IF(LEN($AA$16)&gt;0,IF(LEN($AA$13)&gt;0,$AA$13+$AA$16,$AA$5+$AA$16),""),"")</f>
        <v/>
      </c>
      <c r="AC17" s="330" t="s">
        <v>298</v>
      </c>
      <c r="AD17" s="331">
        <f>IFERROR(IF(LEN(INDEX(Database!$N$10:$N$19,MATCH(Dashboard!$E$7,Database!$H$10:$H$19,0),1))&gt;0,INDEX(Database!$N$10:$N$19,MATCH(Dashboard!$E$7,Database!$H$10:$H$19,0),1),0),"")</f>
        <v>10</v>
      </c>
      <c r="AE17" s="87"/>
      <c r="AF17" s="330" t="s">
        <v>299</v>
      </c>
      <c r="AG17" s="385" t="str">
        <f>IFERROR(IF(LEN(Dashboard!$E$16)&gt;0,Dashboard!$E$16,""),"")</f>
        <v/>
      </c>
      <c r="AJ17" s="325" t="s">
        <v>296</v>
      </c>
      <c r="AK17" s="386" t="str">
        <f>IFERROR(IF(OR(LEN($AG$16)&gt;0,LEN($AG$17)&gt;0),IF($AC$23=$AF$20,$AF$24,""),""),"")</f>
        <v/>
      </c>
      <c r="AR17" s="85"/>
    </row>
    <row r="18" spans="2:44" x14ac:dyDescent="0.25">
      <c r="E18" s="336">
        <v>15</v>
      </c>
      <c r="F18" s="79" t="str">
        <f>IFERROR(IF(LEN(INDEX(RawMaterials!$D$8:$D$27,$E18,1))&gt;0,INDEX(RawMaterials!$D$8:$D$27,$E18,1),""),"")</f>
        <v/>
      </c>
      <c r="G18" s="75" t="str">
        <f t="array" ref="G18">IFERROR(INDEX($F$4:$F$23,MATCH(0,INDEX((LEN($F$4:$F$23)=0)+COUNTIF($G$3:$G17,$F$4:$F$23),0),0)),"")</f>
        <v/>
      </c>
      <c r="L18" s="368" t="str">
        <f>IFERROR(IF(LEN(Menu!$E14)&gt;0,Menu!$E14,""),"")</f>
        <v/>
      </c>
      <c r="M18" s="377" t="str">
        <f t="array" ref="M18">IFERROR(INDEX($L$14:$L$33,MATCH(0,INDEX((LEN($L$14:$L$33)=0)+COUNTIF($M$13:$M17,$L$14:$L$33),0),0)),"")</f>
        <v/>
      </c>
      <c r="N18" s="368" t="str">
        <f>IFERROR(IF(LEN(Menu!$I14)&gt;0,Menu!$I14,""),"")</f>
        <v/>
      </c>
      <c r="O18" s="369" t="str">
        <f t="array" ref="O18">IFERROR(INDEX($N$14:$N$33,MATCH(0,INDEX((LEN($N$14:$N$33)=0)+COUNTIF($O$13:$O17,$N$14:$N$33),0),0)),"")</f>
        <v/>
      </c>
      <c r="Q18" s="296"/>
      <c r="R18" s="297"/>
      <c r="S18" s="297"/>
      <c r="U18" s="298"/>
      <c r="V18" s="297"/>
      <c r="W18" s="297"/>
      <c r="Y18" s="298"/>
      <c r="Z18" s="297"/>
      <c r="AA18" s="301"/>
      <c r="AC18" s="333"/>
      <c r="AD18" s="334"/>
      <c r="AE18" s="334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90"/>
    </row>
    <row r="19" spans="2:44" x14ac:dyDescent="0.25">
      <c r="C19" s="213" t="s">
        <v>224</v>
      </c>
      <c r="E19" s="336">
        <v>16</v>
      </c>
      <c r="F19" s="79" t="str">
        <f>IFERROR(IF(LEN(INDEX(RawMaterials!$D$8:$D$27,$E19,1))&gt;0,INDEX(RawMaterials!$D$8:$D$27,$E19,1),""),"")</f>
        <v/>
      </c>
      <c r="G19" s="75" t="str">
        <f t="array" ref="G19">IFERROR(INDEX($F$4:$F$23,MATCH(0,INDEX((LEN($F$4:$F$23)=0)+COUNTIF($G$3:$G18,$F$4:$F$23),0),0)),"")</f>
        <v/>
      </c>
      <c r="L19" s="368" t="str">
        <f>IFERROR(IF(LEN(Menu!$E15)&gt;0,Menu!$E15,""),"")</f>
        <v/>
      </c>
      <c r="M19" s="377" t="str">
        <f t="array" ref="M19">IFERROR(INDEX($L$14:$L$33,MATCH(0,INDEX((LEN($L$14:$L$33)=0)+COUNTIF($M$13:$M18,$L$14:$L$33),0),0)),"")</f>
        <v/>
      </c>
      <c r="N19" s="368" t="str">
        <f>IFERROR(IF(LEN(Menu!$I15)&gt;0,Menu!$I15,""),"")</f>
        <v/>
      </c>
      <c r="O19" s="369" t="str">
        <f t="array" ref="O19">IFERROR(INDEX($N$14:$N$33,MATCH(0,INDEX((LEN($N$14:$N$33)=0)+COUNTIF($O$13:$O18,$N$14:$N$33),0),0)),"")</f>
        <v/>
      </c>
      <c r="Q19" s="95" t="str">
        <f xml:space="preserve"> "Platform Listing Fee (" &amp; currency &amp; "):"</f>
        <v>Platform Listing Fee ($):</v>
      </c>
      <c r="R19" s="26" t="str">
        <f>IFERROR(IF(LEN($R$5)=0,"",IF(INDEX(Menu!$F$10:$F$29,MATCH(PriceCalculator!$G$7,Menu!$E$10:$E$29,0),1)=$C$11,(INDEX(Menu!$G$10:$G$29,MATCH(PriceCalculator!$G$7,Menu!$E$10:$E$29,0),1)),IF(LEN($R$17)&gt;0,($R$17)/(1-(INDEX(Menu!$G$10:$G$29,MATCH(PriceCalculator!$G$7,Menu!$E$10:$E$29,0),1)/100))-$R$17,IF(LEN($R$13)&gt;0,$R$13/(1-(INDEX(Menu!$G$10:$G$29,MATCH(PriceCalculator!$G$7,Menu!$E$10:$E$29,0),1)/100))-$R$13,IF(LEN($R$9)&gt;0,$R$9/(1-(INDEX(Menu!$G$10:$G$29,MATCH(PriceCalculator!$G$7,Menu!$E$10:$E$29,0),1)/100))-$R$9,$R$5/(1-(INDEX(Menu!$G$10:$G$29,MATCH(PriceCalculator!$G$7,Menu!$E$10:$E$29,0),1)/100))-$R$5))))),"")</f>
        <v/>
      </c>
      <c r="S19" s="26" t="str">
        <f>IFERROR(IF(LEN($S$5)=0,"",IF(INDEX(Menu!$F$10:$F$29,MATCH(PriceCalculator!$G$7,Menu!$E$10:$E$29,0),1)=$C$11,(INDEX(Menu!$G$10:$G$29,MATCH(PriceCalculator!$G$7,Menu!$E$10:$E$29,0),1))*numberofproducts,IF(LEN($S$17)&gt;0,($S$17)/(1-(INDEX(Menu!$G$10:$G$29,MATCH(PriceCalculator!$G$7,Menu!$E$10:$E$29,0),1)/100))-$S$17,IF(LEN($S$13)&gt;0,$S$13/(1-(INDEX(Menu!$G$10:$G$29,MATCH(PriceCalculator!$G$7,Menu!$E$10:$E$29,0),1)/100))-$S$13,IF(LEN($S$9)&gt;0,$S$9/(1-(INDEX(Menu!$G$10:$G$29,MATCH(PriceCalculator!$G$7,Menu!$E$10:$E$29,0),1)/100))-$S$9,$S$5/(1-(INDEX(Menu!$G$10:$G$29,MATCH(PriceCalculator!$G$7,Menu!$E$10:$E$29,0),1)/100))-$S$5))))),"")</f>
        <v/>
      </c>
      <c r="U19" s="25" t="str">
        <f xml:space="preserve"> "Platform Listing Fee (" &amp; currency &amp; "):"</f>
        <v>Platform Listing Fee ($):</v>
      </c>
      <c r="V19" s="26" t="str">
        <f>IFERROR(IF(LEN($V$5)=0,"",IF(INDEX(Menu!$F$10:$F$29,MATCH(PriceCalculator!$G$7,Menu!$E$10:$E$29,0),1)=$C$11,(INDEX(Menu!$G$10:$G$29,MATCH(PriceCalculator!$G$7,Menu!$E$10:$E$29,0),1)),IF(LEN($V$17)&gt;0,($V$17)/(1-(INDEX(Menu!$G$10:$G$29,MATCH(PriceCalculator!$G$7,Menu!$E$10:$E$29,0),1)/100))-$V$17,IF(LEN($V$13)&gt;0,$V$13/(1-(INDEX(Menu!$G$10:$G$29,MATCH(PriceCalculator!$G$7,Menu!$E$10:$E$29,0),1)/100))-$V$13,IF(LEN($V$9)&gt;0,$V$9/(1-(INDEX(Menu!$G$10:$G$29,MATCH(PriceCalculator!$G$7,Menu!$E$10:$E$29,0),1)/100))-$V$9,$V$5/(1-(INDEX(Menu!$G$10:$G$29,MATCH(PriceCalculator!$G$7,Menu!$E$10:$E$29,0),1)/100))-$V$5))))),"")</f>
        <v/>
      </c>
      <c r="W19" s="26" t="str">
        <f>IFERROR(IF(LEN($W$5)=0,"",IF(INDEX(Menu!$F$10:$F$29,MATCH(PriceCalculator!$G$7,Menu!$E$10:$E$29,0),1)=$C$11,(INDEX(Menu!$G$10:$G$29,MATCH(PriceCalculator!$G$7,Menu!$E$10:$E$29,0),1))*numberofproducts,IF(LEN($W$17)&gt;0,($W$17)/(1-(INDEX(Menu!$G$10:$G$29,MATCH(PriceCalculator!$G$7,Menu!$E$10:$E$29,0),1)/100))-$W$17,IF(LEN($W$13)&gt;0,$W$13/(1-(INDEX(Menu!$G$10:$G$29,MATCH(PriceCalculator!$G$7,Menu!$E$10:$E$29,0),1)/100))-$W$13,IF(LEN($W$9)&gt;0,$W$9/(1-(INDEX(Menu!$G$10:$G$29,MATCH(PriceCalculator!$G$7,Menu!$E$10:$E$29,0),1)/100))-$W$9,$W$5/(1-(INDEX(Menu!$G$10:$G$29,MATCH(PriceCalculator!$G$7,Menu!$E$10:$E$29,0),1)/100))-$W$5))))),"")</f>
        <v/>
      </c>
      <c r="Y19" s="25" t="str">
        <f xml:space="preserve"> "Platform Listing Fee (" &amp; currency &amp; "):"</f>
        <v>Platform Listing Fee ($):</v>
      </c>
      <c r="Z19" s="26" t="str">
        <f>IFERROR(IF(LEN($Z$5)=0,"",IF(INDEX(Menu!$F$10:$F$29,MATCH(PriceCalculator!$G$7,Menu!$E$10:$E$29,0),1)=$C$11,(INDEX(Menu!$G$10:$G$29,MATCH(PriceCalculator!$G$7,Menu!$E$10:$E$29,0),1)),IF(LEN($Z$17)&gt;0,($Z$17)/(1-(INDEX(Menu!$G$10:$G$29,MATCH(PriceCalculator!$G$7,Menu!$E$10:$E$29,0),1)/100))-$Z$17,IF(LEN($Z$13)&gt;0,$Z$13/(1-(INDEX(Menu!$G$10:$G$29,MATCH(PriceCalculator!$G$7,Menu!$E$10:$E$29,0),1)/100))-$Z$13,IF(LEN($Z$9)&gt;0,$Z$9/(1-(INDEX(Menu!$G$10:$G$29,MATCH(PriceCalculator!$G$7,Menu!$E$10:$E$29,0),1)/100))-$Z$9,$Z$5/(1-(INDEX(Menu!$G$10:$G$29,MATCH(PriceCalculator!$G$7,Menu!$E$10:$E$29,0),1)/100))-$Z$5))))),"")</f>
        <v/>
      </c>
      <c r="AA19" s="96" t="str">
        <f>IFERROR(IF(LEN($AA$5)=0,"",IF(INDEX(Menu!$F$10:$F$29,MATCH(PriceCalculator!$G$7,Menu!$E$10:$E$29,0),1)=$C$11,(INDEX(Menu!$G$10:$G$29,MATCH(PriceCalculator!$G$7,Menu!$E$10:$E$29,0),1))*numberofproducts,IF(LEN($AA$17)&gt;0,($AA$17)/(1-(INDEX(Menu!$G$10:$G$29,MATCH(PriceCalculator!$G$7,Menu!$E$10:$E$29,0),1)/100))-$AA$17,IF(LEN($AA$13)&gt;0,$AA$13/(1-(INDEX(Menu!$G$10:$G$29,MATCH(PriceCalculator!$G$7,Menu!$E$10:$E$29,0),1)/100))-$AA$13,IF(LEN($AA$9)&gt;0,$AA$9/(1-(INDEX(Menu!$G$10:$G$29,MATCH(PriceCalculator!$G$7,Menu!$E$10:$E$29,0),1)/100))-$AA$9,$AA$5/(1-(INDEX(Menu!$G$10:$G$29,MATCH(PriceCalculator!$G$7,Menu!$E$10:$E$29,0),1)/100))-$AA$5))))),"")</f>
        <v/>
      </c>
      <c r="AC19" s="341"/>
      <c r="AD19" s="340"/>
      <c r="AE19" s="340"/>
      <c r="AF19" s="340"/>
      <c r="AG19" s="340"/>
      <c r="AH19" s="340"/>
      <c r="AI19" s="340"/>
      <c r="AJ19" s="340"/>
      <c r="AK19" s="340"/>
      <c r="AL19" s="340"/>
      <c r="AM19" s="340"/>
      <c r="AN19" s="340"/>
      <c r="AO19" s="340"/>
      <c r="AP19" s="340"/>
      <c r="AQ19" s="340"/>
      <c r="AR19" s="342"/>
    </row>
    <row r="20" spans="2:44" x14ac:dyDescent="0.25">
      <c r="B20" s="213" t="s">
        <v>63</v>
      </c>
      <c r="C20" s="75">
        <f>IFERROR(IF(LEN(RawMaterials!$D$8)&gt;0,COUNTA(RawMaterials!$D$8:$D$27)+1,1),"")</f>
        <v>8</v>
      </c>
      <c r="E20" s="336">
        <v>17</v>
      </c>
      <c r="F20" s="79" t="str">
        <f>IFERROR(IF(LEN(INDEX(RawMaterials!$D$8:$D$27,$E20,1))&gt;0,INDEX(RawMaterials!$D$8:$D$27,$E20,1),""),"")</f>
        <v/>
      </c>
      <c r="G20" s="75" t="str">
        <f t="array" ref="G20">IFERROR(INDEX($F$4:$F$23,MATCH(0,INDEX((LEN($F$4:$F$23)=0)+COUNTIF($G$3:$G19,$F$4:$F$23),0),0)),"")</f>
        <v/>
      </c>
      <c r="L20" s="368" t="str">
        <f>IFERROR(IF(LEN(Menu!$E16)&gt;0,Menu!$E16,""),"")</f>
        <v/>
      </c>
      <c r="M20" s="377" t="str">
        <f t="array" ref="M20">IFERROR(INDEX($L$14:$L$33,MATCH(0,INDEX((LEN($L$14:$L$33)=0)+COUNTIF($M$13:$M19,$L$14:$L$33),0),0)),"")</f>
        <v/>
      </c>
      <c r="N20" s="368" t="str">
        <f>IFERROR(IF(LEN(Menu!$I16)&gt;0,Menu!$I16,""),"")</f>
        <v/>
      </c>
      <c r="O20" s="369" t="str">
        <f t="array" ref="O20">IFERROR(INDEX($N$14:$N$33,MATCH(0,INDEX((LEN($N$14:$N$33)=0)+COUNTIF($O$13:$O19,$N$14:$N$33),0),0)),"")</f>
        <v/>
      </c>
      <c r="Q20" s="296"/>
      <c r="R20" s="297"/>
      <c r="S20" s="297"/>
      <c r="U20" s="298"/>
      <c r="V20" s="297"/>
      <c r="W20" s="297"/>
      <c r="Y20" s="298"/>
      <c r="Z20" s="297"/>
      <c r="AA20" s="301"/>
      <c r="AC20" s="84"/>
      <c r="AD20" s="25" t="str">
        <f>$C$15 &amp; ":"</f>
        <v>Markup (%):</v>
      </c>
      <c r="AE20" s="25" t="str">
        <f>$C$16 &amp; ":"</f>
        <v>Planned Sales Price ($):</v>
      </c>
      <c r="AF20" s="25" t="str">
        <f>$C$17 &amp; ":"</f>
        <v>Desired Profit ($):</v>
      </c>
      <c r="AR20" s="85"/>
    </row>
    <row r="21" spans="2:44" x14ac:dyDescent="0.25">
      <c r="B21" s="213" t="s">
        <v>149</v>
      </c>
      <c r="C21" s="75">
        <f>IFERROR(IF(LEN(Products!$E$8)&gt;0,COUNTA(Products!$E$8:$E$17)-COUNTBLANK(Products!$E$8:$E$17)+1,1),"")</f>
        <v>4</v>
      </c>
      <c r="E21" s="336">
        <v>18</v>
      </c>
      <c r="F21" s="79" t="str">
        <f>IFERROR(IF(LEN(INDEX(RawMaterials!$D$8:$D$27,$E21,1))&gt;0,INDEX(RawMaterials!$D$8:$D$27,$E21,1),""),"")</f>
        <v/>
      </c>
      <c r="G21" s="75" t="str">
        <f t="array" ref="G21">IFERROR(INDEX($F$4:$F$23,MATCH(0,INDEX((LEN($F$4:$F$23)=0)+COUNTIF($G$3:$G20,$F$4:$F$23),0),0)),"")</f>
        <v/>
      </c>
      <c r="L21" s="368" t="str">
        <f>IFERROR(IF(LEN(Menu!$E17)&gt;0,Menu!$E17,""),"")</f>
        <v/>
      </c>
      <c r="M21" s="377" t="str">
        <f t="array" ref="M21">IFERROR(INDEX($L$14:$L$33,MATCH(0,INDEX((LEN($L$14:$L$33)=0)+COUNTIF($M$13:$M20,$L$14:$L$33),0),0)),"")</f>
        <v/>
      </c>
      <c r="N21" s="368" t="str">
        <f>IFERROR(IF(LEN(Menu!$I17)&gt;0,Menu!$I17,""),"")</f>
        <v/>
      </c>
      <c r="O21" s="369" t="str">
        <f t="array" ref="O21">IFERROR(INDEX($N$14:$N$33,MATCH(0,INDEX((LEN($N$14:$N$33)=0)+COUNTIF($O$13:$O20,$N$14:$N$33),0),0)),"")</f>
        <v/>
      </c>
      <c r="Q21" s="304" t="s">
        <v>292</v>
      </c>
      <c r="R21" s="26" t="str">
        <f>IFERROR(IF(LEN($R$23)&gt;0,IF(LEN($R$13)&gt;0,($R$13-$R$5)*100/$R$13,IF(LEN($R$9)&gt;0,($R$9-$R$5)/$R$9*100,"")),""),"")</f>
        <v/>
      </c>
      <c r="S21" s="26" t="str">
        <f>IFERROR(IF(LEN($S$23)&gt;0,IF(LEN($S$13)&gt;0,($S$13-$S$5)*100/$S$13,IF(LEN($S$9)&gt;0,($S$9-$S$5)/$S$9*100,"")),""),"")</f>
        <v/>
      </c>
      <c r="U21" s="159" t="s">
        <v>292</v>
      </c>
      <c r="V21" s="26" t="str">
        <f>IFERROR(IF(LEN($V$23)&gt;0,IF(LEN($V$13)&gt;0,($V$13-$V$5)*100/$V$13,IF(LEN($V$9)&gt;0,($V$9-$V$5)/$V$9*100,"")),""),"")</f>
        <v/>
      </c>
      <c r="W21" s="26" t="str">
        <f>IFERROR(IF(LEN($W$23)&gt;0,IF(LEN($W$13)&gt;0,($W$13-$W$5)*100/$W$13,IF(LEN($W$9)&gt;0,($W$9-$W$5)/$W$9*100,"")),""),"")</f>
        <v/>
      </c>
      <c r="Y21" s="159" t="s">
        <v>292</v>
      </c>
      <c r="Z21" s="26" t="str">
        <f>IFERROR(IF(LEN($Z$23)&gt;0,IF(LEN($Z$13)&gt;0,($Z$13-$Z$5)*100/$Z$13,IF(LEN($Z$9)&gt;0,($Z$9-$Z$5)/$Z$9*100,"")),""),"")</f>
        <v/>
      </c>
      <c r="AA21" s="96" t="str">
        <f>IFERROR(IF(LEN($AA$23)&gt;0,IF(LEN($AA$13)&gt;0,($AA$13-$AA$5)*100/$AA$13,IF(LEN($AA$9)&gt;0,($AA$9-$AA$5)/$AA$9*100,"")),""),"")</f>
        <v/>
      </c>
      <c r="AC21" s="95" t="str">
        <f>"COGS " &amp; "(" &amp; currency &amp; "):"</f>
        <v>COGS ($):</v>
      </c>
      <c r="AD21" s="26">
        <f>IFERROR(IF($AC$23=AD$20,$AR$7,""),"")</f>
        <v>723.22857142857151</v>
      </c>
      <c r="AE21" s="26" t="str">
        <f>IFERROR(IF($AC$23=AE$20,$AR$7,""),"")</f>
        <v/>
      </c>
      <c r="AF21" s="26" t="str">
        <f>IFERROR(IF($AC$23=AF$20,$AR$7,""),"")</f>
        <v/>
      </c>
      <c r="AR21" s="85"/>
    </row>
    <row r="22" spans="2:44" x14ac:dyDescent="0.25">
      <c r="E22" s="336">
        <v>19</v>
      </c>
      <c r="F22" s="79" t="str">
        <f>IFERROR(IF(LEN(INDEX(RawMaterials!$D$8:$D$27,$E22,1))&gt;0,INDEX(RawMaterials!$D$8:$D$27,$E22,1),""),"")</f>
        <v/>
      </c>
      <c r="G22" s="75" t="str">
        <f t="array" ref="G22">IFERROR(INDEX($F$4:$F$23,MATCH(0,INDEX((LEN($F$4:$F$23)=0)+COUNTIF($G$3:$G21,$F$4:$F$23),0),0)),"")</f>
        <v/>
      </c>
      <c r="L22" s="368" t="str">
        <f>IFERROR(IF(LEN(Menu!$E18)&gt;0,Menu!$E18,""),"")</f>
        <v/>
      </c>
      <c r="M22" s="377" t="str">
        <f t="array" ref="M22">IFERROR(INDEX($L$14:$L$33,MATCH(0,INDEX((LEN($L$14:$L$33)=0)+COUNTIF($M$13:$M21,$L$14:$L$33),0),0)),"")</f>
        <v/>
      </c>
      <c r="N22" s="368" t="str">
        <f>IFERROR(IF(LEN(Menu!$I18)&gt;0,Menu!$I18,""),"")</f>
        <v/>
      </c>
      <c r="O22" s="369" t="str">
        <f t="array" ref="O22">IFERROR(INDEX($N$14:$N$33,MATCH(0,INDEX((LEN($N$14:$N$33)=0)+COUNTIF($O$13:$O21,$N$14:$N$33),0),0)),"")</f>
        <v/>
      </c>
      <c r="Q22" s="304" t="str">
        <f>"Profit Margin " &amp; "(" &amp; currency &amp; "):"</f>
        <v>Profit Margin ($):</v>
      </c>
      <c r="R22" s="26" t="str">
        <f>IFERROR(IF(LEN($R$23)&gt;0,IF(LEN($R$13)&gt;0,($R$13-$R$5),IF(LEN($R$9)&gt;0,($R$9-$R$5),"")),""),"")</f>
        <v/>
      </c>
      <c r="S22" s="26" t="str">
        <f>IFERROR(IF(LEN($S$23)&gt;0,IF(LEN($S$13)&gt;0,($S$13-$S$5),IF(LEN($S$9)&gt;0,($S$9-$S$5),"")),""),"")</f>
        <v/>
      </c>
      <c r="U22" s="159" t="str">
        <f>"Profit Margin " &amp; "(" &amp; currency &amp; "):"</f>
        <v>Profit Margin ($):</v>
      </c>
      <c r="V22" s="26" t="str">
        <f>IFERROR(IF(LEN($V$23)&gt;0,IF(LEN($V$13)&gt;0,($V$13-$V$5),IF(LEN($V$9)&gt;0,($V$9-$V$5),"")),""),"")</f>
        <v/>
      </c>
      <c r="W22" s="26" t="str">
        <f>IFERROR(IF(LEN($W$23)&gt;0,IF(LEN($W$13)&gt;0,($W$13-$W$5),IF(LEN($W$9)&gt;0,($W$9-$W$5),"")),""),"")</f>
        <v/>
      </c>
      <c r="Y22" s="159" t="str">
        <f>"Profit Margin " &amp; "(" &amp; currency &amp; "):"</f>
        <v>Profit Margin ($):</v>
      </c>
      <c r="Z22" s="26" t="str">
        <f>IFERROR(IF(LEN($Z$23)&gt;0,IF(LEN($Z$13)&gt;0,($Z$13-$Z$5),IF(LEN($Z$9)&gt;0,($Z$9-$Z$5),"")),""),"")</f>
        <v/>
      </c>
      <c r="AA22" s="96" t="str">
        <f>IFERROR(IF(LEN($AA$23)&gt;0,IF(LEN($AA$13)&gt;0,($AA$13-$AA$5),IF(LEN($AA$9)&gt;0,($AA$9-$AA$5),"")),""),"")</f>
        <v/>
      </c>
      <c r="AC22" s="321"/>
      <c r="AD22"/>
      <c r="AE22"/>
      <c r="AF22"/>
      <c r="AR22" s="85"/>
    </row>
    <row r="23" spans="2:44" ht="15.75" x14ac:dyDescent="0.25">
      <c r="E23" s="336">
        <v>20</v>
      </c>
      <c r="F23" s="79" t="str">
        <f>IFERROR(IF(LEN(INDEX(RawMaterials!$D$8:$D$27,$E23,1))&gt;0,INDEX(RawMaterials!$D$8:$D$27,$E23,1),""),"")</f>
        <v/>
      </c>
      <c r="G23" s="75" t="str">
        <f t="array" ref="G23">IFERROR(INDEX($F$4:$F$23,MATCH(0,INDEX((LEN($F$4:$F$23)=0)+COUNTIF($G$3:$G22,$F$4:$F$23),0),0)),"")</f>
        <v/>
      </c>
      <c r="L23" s="368" t="str">
        <f>IFERROR(IF(LEN(Menu!$E19)&gt;0,Menu!$E19,""),"")</f>
        <v/>
      </c>
      <c r="M23" s="377" t="str">
        <f t="array" ref="M23">IFERROR(INDEX($L$14:$L$33,MATCH(0,INDEX((LEN($L$14:$L$33)=0)+COUNTIF($M$13:$M22,$L$14:$L$33),0),0)),"")</f>
        <v/>
      </c>
      <c r="N23" s="368" t="str">
        <f>IFERROR(IF(LEN(Menu!$I19)&gt;0,Menu!$I19,""),"")</f>
        <v/>
      </c>
      <c r="O23" s="369" t="str">
        <f t="array" ref="O23">IFERROR(INDEX($N$14:$N$33,MATCH(0,INDEX((LEN($N$14:$N$33)=0)+COUNTIF($O$13:$O22,$N$14:$N$33),0),0)),"")</f>
        <v/>
      </c>
      <c r="Q23" s="97" t="str">
        <f xml:space="preserve"> "Final Sales Price (" &amp; currency &amp; "):"</f>
        <v>Final Sales Price ($):</v>
      </c>
      <c r="R23" s="28" t="str">
        <f>IFERROR(IF(LEN($R$5)&gt;0,IF(LEN($R$19)&gt;0,IF(LEN($R$17)&gt;0,$R$17+$R$19,IF(LEN($R$13)&gt;0,$R$13+$R$19,IF(LEN($R$9)&gt;0,$R$9+$R$19,$R$5+$R$19))),IF(OR(LEN($R$19)&gt;0,LEN($R$17)&gt;0,LEN($R$13)&gt;0,LEN($R$9)&gt;0),IF(LEN($R$17)&gt;0,$R$17,IF(LEN($R$13)&gt;0,$R$13,IF(LEN($R$9)&gt;0,$R$9,$R$5))),"")),""),"")</f>
        <v/>
      </c>
      <c r="S23" s="28" t="str">
        <f>IFERROR(IF(LEN($S$5)&gt;0,IF(LEN($S$19)&gt;0,IF(LEN($S$17)&gt;0,$S$17+$S$19,IF(LEN($S$13)&gt;0,$S$13+$S$19,IF(LEN($S$9)&gt;0,$S$9+$S$19,$S$5+$S$19))),IF(OR(LEN($S$19)&gt;0,LEN($S$17)&gt;0,LEN($S$13)&gt;0,LEN($S$9)&gt;0),IF(LEN($S$17)&gt;0,$S$17,IF(LEN($S$13)&gt;0,$S$13,IF(LEN($S$9)&gt;0,$S$9,$S$5))),"")),""),"")</f>
        <v/>
      </c>
      <c r="U23" s="27" t="str">
        <f xml:space="preserve"> "Final Sales Price (" &amp; currency &amp; "):"</f>
        <v>Final Sales Price ($):</v>
      </c>
      <c r="V23" s="28" t="str">
        <f>IFERROR(IF(LEN($V$5)&gt;0,IF(LEN($V$19)&gt;0,IF(LEN($V$17)&gt;0,$V$17+$V$19,IF(LEN($V$13)&gt;0,$V$13+$V$19,IF(LEN($V$9)&gt;0,$V$9+$V$19,$V$5+$V$19))),IF(OR(LEN($V$19)&gt;0,LEN($V$17)&gt;0,LEN($V$13)&gt;0,LEN($V$9)&gt;0),IF(LEN($V$17)&gt;0,$V$17,IF(LEN($V$13)&gt;0,$V$13,IF(LEN($V$9)&gt;0,$V$9,$V$5))),"")),""),"")</f>
        <v/>
      </c>
      <c r="W23" s="28" t="str">
        <f>IFERROR(IF(LEN($W$5)&gt;0,IF(LEN($W$19)&gt;0,IF(LEN($W$17)&gt;0,$W$17+$W$19,IF(LEN($W$13)&gt;0,$W$13+$W$19,IF(LEN($W$9)&gt;0,$W$9+$W$19,$W$5+$W$19))),IF(OR(LEN($W$19)&gt;0,LEN($W$17)&gt;0,LEN($W$13)&gt;0,LEN($W$9)&gt;0),IF(LEN($W$17)&gt;0,$W$17,IF(LEN($W$13)&gt;0,$W$13,IF(LEN($W$9)&gt;0,$W$9,$W$5))),"")),""),"")</f>
        <v/>
      </c>
      <c r="Y23" s="27" t="str">
        <f xml:space="preserve"> "Final Sales Price (" &amp; currency &amp; "):"</f>
        <v>Final Sales Price ($):</v>
      </c>
      <c r="Z23" s="28" t="str">
        <f>IFERROR(IF(LEN($Z$5)&gt;0,IF(LEN($Z$19)&gt;0,IF(LEN($Z$17)&gt;0,$Z$17+$Z$19,IF(LEN($Z$13)&gt;0,$Z$13+$Z$19,IF(LEN($Z$9)&gt;0,$Z$9+$Z$19,$Z$5+$Z$19))),IF(OR(LEN($Z$19)&gt;0,LEN($Z$17)&gt;0,LEN($Z$13)&gt;0,LEN($Z$9)&gt;0),IF(LEN($Z$17)&gt;0,$Z$17,IF(LEN($Z$13)&gt;0,$Z$13,IF(LEN($Z$9)&gt;0,$Z$9,$Z$5))),"")),""),"")</f>
        <v/>
      </c>
      <c r="AA23" s="388" t="str">
        <f>IFERROR(IF(LEN($AA$5)&gt;0,IF(LEN($AA$19)&gt;0,IF(LEN($AA$17)&gt;0,$AA$17+$AA$19,IF(LEN($AA$13)&gt;0,$AA$13+$AA$19,IF(LEN($AA$9)&gt;0,$AA$9+$AA$19,$AA$5+$AA$19))),IF(OR(LEN($AA$19)&gt;0,LEN($AA$17)&gt;0,LEN($AA$13)&gt;0,LEN($AA$9)&gt;0),IF(LEN($AA$17)&gt;0,$AA$17,IF(LEN($AA$13)&gt;0,$AA$13,IF(LEN($AA$9)&gt;0,$AA$9,$AA$5))),"")),""),"")</f>
        <v/>
      </c>
      <c r="AC23" s="95" t="str">
        <f>IF(LEN($AL$4)&gt;0,$AL$4 &amp; ":","")</f>
        <v>Markup (%):</v>
      </c>
      <c r="AD23" s="236">
        <f>IFERROR(IF(AND($AC$23=$AD$20,LEN($AG$16)&gt;0),$AG$16,IF($AC$23=$AD$20,IF(LEN(INDEX(Database!$M$10:$M$19,MATCH(Calc!$AK$4,Database!$H$10:$H$19,0),1))&gt;0,INDEX(Database!$M$10:$M$19,MATCH(Calc!$AK$4,Database!$H$10:$H$19,0),1),0),"")),"")</f>
        <v>50</v>
      </c>
      <c r="AE23" s="236" t="str">
        <f>IFERROR(IF(AND($AC$23=$AE$20,LEN($AG$16)&gt;0),$AG$16,IF($AC$23=$AE$20,IF(LEN(INDEX(Database!$M$10:$M$19,MATCH(Calc!$AK$4,Database!$H$10:$H$19,0),1))&gt;0,INDEX(Database!$M$10:$M$19,MATCH(Calc!$AK$4,Database!$H$10:$H$19,0),1),0),"")),"")</f>
        <v/>
      </c>
      <c r="AF23" s="236" t="str">
        <f>IFERROR(IF(AND($AC$23=$AF$20,LEN($AG$16)&gt;0),$AG$16,IF($AC$23=$AF$20,IF(LEN(INDEX(Database!$M$10:$M$19,MATCH(Calc!$AK$4,Database!$H$10:$H$19,0),1))&gt;0,INDEX(Database!$M$10:$M$19,MATCH(Calc!$AK$4,Database!$H$10:$H$19,0),1),0),"")),"")</f>
        <v/>
      </c>
      <c r="AR23" s="85"/>
    </row>
    <row r="24" spans="2:44" x14ac:dyDescent="0.25">
      <c r="B24" s="49"/>
      <c r="C24" s="100" t="s">
        <v>23</v>
      </c>
      <c r="E24" s="400"/>
      <c r="L24" s="368" t="str">
        <f>IFERROR(IF(LEN(Menu!$E20)&gt;0,Menu!$E20,""),"")</f>
        <v/>
      </c>
      <c r="M24" s="377" t="str">
        <f t="array" ref="M24">IFERROR(INDEX($L$14:$L$33,MATCH(0,INDEX((LEN($L$14:$L$33)=0)+COUNTIF($M$13:$M23,$L$14:$L$33),0),0)),"")</f>
        <v/>
      </c>
      <c r="N24" s="368" t="str">
        <f>IFERROR(IF(LEN(Menu!$I20)&gt;0,Menu!$I20,""),"")</f>
        <v/>
      </c>
      <c r="O24" s="369" t="str">
        <f t="array" ref="O24">IFERROR(INDEX($N$14:$N$33,MATCH(0,INDEX((LEN($N$14:$N$33)=0)+COUNTIF($O$13:$O23,$N$14:$N$33),0),0)),"")</f>
        <v/>
      </c>
      <c r="Q24" s="88"/>
      <c r="R24" s="89"/>
      <c r="S24" s="89"/>
      <c r="T24" s="89"/>
      <c r="U24" s="89"/>
      <c r="V24" s="89"/>
      <c r="W24" s="89"/>
      <c r="X24" s="89"/>
      <c r="Y24" s="89"/>
      <c r="Z24" s="89"/>
      <c r="AA24" s="90"/>
      <c r="AC24" s="95" t="str">
        <f xml:space="preserve"> IFERROR(IF(LEN($AC$23)&gt;0,IF($AC$23=$U$7,$U$8,IF($AC$23=$Y$7,$Y$8,$Q$8)),""),"")</f>
        <v>Markup ($):</v>
      </c>
      <c r="AD24" s="26">
        <f>IFERROR(IF($AD$23=0,"",IF(AND(LEN($AD$21)&gt;0,LEN($AD$23)&gt;0),($AD$21*$AD$23/100),"")),"")</f>
        <v>361.6142857142857</v>
      </c>
      <c r="AE24" s="26" t="str">
        <f>IFERROR(IF($AE$23=0,"",IF(LEN($AE$23)&gt;0,($AE$23-$AE$21)/$AE$21*100,"")),"")</f>
        <v/>
      </c>
      <c r="AF24" s="37" t="str">
        <f>IFERROR(IF($AF$23=0,"",IF(AND(LEN($AF$23)&gt;0,($AF$27=0)),($AF$23/$AF$21)*100,($AF$28+$AF$29-$AF$21)/$AF$21*100)),"")</f>
        <v/>
      </c>
      <c r="AR24" s="85"/>
    </row>
    <row r="25" spans="2:44" x14ac:dyDescent="0.25">
      <c r="B25" s="51"/>
      <c r="C25" s="100" t="s">
        <v>16</v>
      </c>
      <c r="E25" s="400"/>
      <c r="L25" s="368" t="str">
        <f>IFERROR(IF(LEN(Menu!$E21)&gt;0,Menu!$E21,""),"")</f>
        <v/>
      </c>
      <c r="M25" s="377" t="str">
        <f t="array" ref="M25">IFERROR(INDEX($L$14:$L$33,MATCH(0,INDEX((LEN($L$14:$L$33)=0)+COUNTIF($M$13:$M24,$L$14:$L$33),0),0)),"")</f>
        <v/>
      </c>
      <c r="N25" s="368" t="str">
        <f>IFERROR(IF(LEN(Menu!$I21)&gt;0,Menu!$I21,""),"")</f>
        <v/>
      </c>
      <c r="O25" s="369" t="str">
        <f t="array" ref="O25">IFERROR(INDEX($N$14:$N$33,MATCH(0,INDEX((LEN($N$14:$N$33)=0)+COUNTIF($O$13:$O24,$N$14:$N$33),0),0)),"")</f>
        <v/>
      </c>
      <c r="AC25" s="302" t="str">
        <f>"Pre-Discount Price (" &amp; currency &amp; "):"</f>
        <v>Pre-Discount Price ($):</v>
      </c>
      <c r="AD25" s="26">
        <f>IFERROR(IF($AD$23=0,"",IF(AND(LEN($AD$21)&gt;0,LEN($AD$23)&gt;0),($AD$21+$AD$24),"")),"")</f>
        <v>1084.8428571428572</v>
      </c>
      <c r="AE25" s="26" t="str">
        <f>IFERROR(IF(LEN($AE$21)&gt;0,(IF($AE$23&lt;&gt;0,$AE$23,"")),""),"")</f>
        <v/>
      </c>
      <c r="AF25" s="37" t="str">
        <f>IFERROR(IF(LEN($AF$29)&gt;0,($AF$21+$AF$21*$AF$24/100),""),"")</f>
        <v/>
      </c>
      <c r="AR25" s="85"/>
    </row>
    <row r="26" spans="2:44" x14ac:dyDescent="0.25">
      <c r="B26" s="52"/>
      <c r="C26" s="100" t="s">
        <v>24</v>
      </c>
      <c r="E26" s="400"/>
      <c r="L26" s="368" t="str">
        <f>IFERROR(IF(LEN(Menu!$E22)&gt;0,Menu!$E22,""),"")</f>
        <v/>
      </c>
      <c r="M26" s="377" t="str">
        <f t="array" ref="M26">IFERROR(INDEX($L$14:$L$33,MATCH(0,INDEX((LEN($L$14:$L$33)=0)+COUNTIF($M$13:$M25,$L$14:$L$33),0),0)),"")</f>
        <v/>
      </c>
      <c r="N26" s="368" t="str">
        <f>IFERROR(IF(LEN(Menu!$I22)&gt;0,Menu!$I22,""),"")</f>
        <v/>
      </c>
      <c r="O26" s="369" t="str">
        <f t="array" ref="O26">IFERROR(INDEX($N$14:$N$33,MATCH(0,INDEX((LEN($N$14:$N$33)=0)+COUNTIF($O$13:$O25,$N$14:$N$33),0),0)),"")</f>
        <v/>
      </c>
      <c r="AC26" s="321"/>
      <c r="AD26"/>
      <c r="AE26"/>
      <c r="AF26"/>
      <c r="AR26" s="85"/>
    </row>
    <row r="27" spans="2:44" x14ac:dyDescent="0.25">
      <c r="B27" s="53"/>
      <c r="C27" s="100" t="s">
        <v>17</v>
      </c>
      <c r="E27" s="400"/>
      <c r="L27" s="368" t="str">
        <f>IFERROR(IF(LEN(Menu!$E23)&gt;0,Menu!$E23,""),"")</f>
        <v/>
      </c>
      <c r="M27" s="377" t="str">
        <f t="array" ref="M27">IFERROR(INDEX($L$14:$L$33,MATCH(0,INDEX((LEN($L$14:$L$33)=0)+COUNTIF($M$13:$M26,$L$14:$L$33),0),0)),"")</f>
        <v/>
      </c>
      <c r="N27" s="368" t="str">
        <f>IFERROR(IF(LEN(Menu!$I23)&gt;0,Menu!$I23,""),"")</f>
        <v/>
      </c>
      <c r="O27" s="369" t="str">
        <f t="array" ref="O27">IFERROR(INDEX($N$14:$N$33,MATCH(0,INDEX((LEN($N$14:$N$33)=0)+COUNTIF($O$13:$O26,$N$14:$N$33),0),0)),"")</f>
        <v/>
      </c>
      <c r="AC27" s="95" t="s">
        <v>68</v>
      </c>
      <c r="AD27" s="236">
        <f>IFERROR(IF(AND($AC$23=$AD$20,LEN($AG$17)&gt;0),$AG$17,IF($AC$23=$AD$20,IF(LEN(INDEX(Database!$N$10:$N$19,MATCH(Calc!$AK$4,Database!$H$10:$H$19,0),1))&gt;0,INDEX(Database!$N$10:$N$19,MATCH(Calc!$AK$4,Database!$H$10:$H$19,0),1),0),"")),"")</f>
        <v>10</v>
      </c>
      <c r="AE27" s="236" t="str">
        <f>IFERROR(IF(AND($AC$23=$AE$20,LEN($AG$17)&gt;0),$AG$17,IF($AC$23=$AE$20,IF(LEN(INDEX(Database!$N$10:$N$19,MATCH(Calc!$AK$4,Database!$H$10:$H$19,0),1))&gt;0,INDEX(Database!$N$10:$N$19,MATCH(Calc!$AK$4,Database!$H$10:$H$19,0),1),0),"")),"")</f>
        <v/>
      </c>
      <c r="AF27" s="236" t="str">
        <f>IFERROR(IF(AND($AC$23=$AF$20,LEN($AG$17)&gt;0),$AG$17,IF($AC$23=$AF$20,IF(LEN(INDEX(Database!$N$10:$N$19,MATCH(Calc!$AK$4,Database!$H$10:$H$19,0),1))&gt;0,INDEX(Database!$N$10:$N$19,MATCH(Calc!$AK$4,Database!$H$10:$H$19,0),1),0),"")),"")</f>
        <v/>
      </c>
      <c r="AG27"/>
      <c r="AH27"/>
      <c r="AI27"/>
      <c r="AJ27"/>
      <c r="AK27"/>
      <c r="AR27" s="85"/>
    </row>
    <row r="28" spans="2:44" x14ac:dyDescent="0.25">
      <c r="B28" s="54"/>
      <c r="C28" s="100" t="s">
        <v>25</v>
      </c>
      <c r="E28" s="400"/>
      <c r="L28" s="368" t="str">
        <f>IFERROR(IF(LEN(Menu!$E24)&gt;0,Menu!$E24,""),"")</f>
        <v/>
      </c>
      <c r="M28" s="377" t="str">
        <f t="array" ref="M28">IFERROR(INDEX($L$14:$L$33,MATCH(0,INDEX((LEN($L$14:$L$33)=0)+COUNTIF($M$13:$M27,$L$14:$L$33),0),0)),"")</f>
        <v/>
      </c>
      <c r="N28" s="368" t="str">
        <f>IFERROR(IF(LEN(Menu!$I24)&gt;0,Menu!$I24,""),"")</f>
        <v/>
      </c>
      <c r="O28" s="369" t="str">
        <f t="array" ref="O28">IFERROR(INDEX($N$14:$N$33,MATCH(0,INDEX((LEN($N$14:$N$33)=0)+COUNTIF($O$13:$O27,$N$14:$N$33),0),0)),"")</f>
        <v/>
      </c>
      <c r="AC28" s="95" t="str">
        <f>"Discount " &amp; "(" &amp; currency &amp; "):"</f>
        <v>Discount ($):</v>
      </c>
      <c r="AD28" s="26">
        <f>IFERROR(IF($AD$27=0,"",IF(AND(LEN($AD$24)&gt;0,$AD$27&lt;&gt;0),$AD$25*$AD$27/100,$AD$21*$AD$27/100)),"")</f>
        <v>108.48428571428572</v>
      </c>
      <c r="AE28" s="26" t="str">
        <f>IFERROR(IF($AE$27=0,"",IF(AND(LEN($AE$25)&gt;0,LEN($AE$27)&gt;0),($AE$25)*($AE$27/100),($AE$21)*($AE$27/100))),"")</f>
        <v/>
      </c>
      <c r="AF28" s="26" t="str">
        <f>IFERROR(IF($AF$27&lt;&gt;0,IF($AF$23&lt;&gt;0,($AF$29)/(100-$AF$27)*$AF$27,$AF$21*$AF$27/100),""),"")</f>
        <v/>
      </c>
      <c r="AG28"/>
      <c r="AH28"/>
      <c r="AI28"/>
      <c r="AJ28"/>
      <c r="AK28"/>
      <c r="AR28" s="85"/>
    </row>
    <row r="29" spans="2:44" x14ac:dyDescent="0.25">
      <c r="B29" s="55"/>
      <c r="C29" s="101" t="s">
        <v>26</v>
      </c>
      <c r="E29" s="400"/>
      <c r="L29" s="368" t="str">
        <f>IFERROR(IF(LEN(Menu!$E25)&gt;0,Menu!$E25,""),"")</f>
        <v/>
      </c>
      <c r="M29" s="377" t="str">
        <f t="array" ref="M29">IFERROR(INDEX($L$14:$L$33,MATCH(0,INDEX((LEN($L$14:$L$33)=0)+COUNTIF($M$13:$M28,$L$14:$L$33),0),0)),"")</f>
        <v/>
      </c>
      <c r="N29" s="368" t="str">
        <f>IFERROR(IF(LEN(Menu!$I25)&gt;0,Menu!$I25,""),"")</f>
        <v/>
      </c>
      <c r="O29" s="369" t="str">
        <f t="array" ref="O29">IFERROR(INDEX($N$14:$N$33,MATCH(0,INDEX((LEN($N$14:$N$33)=0)+COUNTIF($O$13:$O28,$N$14:$N$33),0),0)),"")</f>
        <v/>
      </c>
      <c r="AC29" s="95" t="str">
        <f>"Net Price (" &amp; currency &amp; "):"</f>
        <v>Net Price ($):</v>
      </c>
      <c r="AD29" s="26">
        <f>IFERROR(IF($AD$27=0,"",IF(AND(LEN($AD$21)&gt;0,LEN($AD$25)&gt;0,LEN($AD$28)&gt;0),$AD$25-$AD$28,IF(AND(LEN($AD$21)&gt;0,LEN($AD$25)&gt;0,LEN($AD$28)=0),$AD$25,IF(AND(LEN($AD$21)&gt;0,LEN($AD$25)=0,LEN($AD$28)&gt;0),$AD$21-$AD$28,$AD$21)))),"")</f>
        <v>976.35857142857139</v>
      </c>
      <c r="AE29" s="26" t="str">
        <f>IFERROR(IF($AE$27=0,"",IF(AND(LEN($AE$25)&gt;0,LEN($AE$28)&gt;0),$AE$25-$AE$28,$AE$21-$AE$28)),"")</f>
        <v/>
      </c>
      <c r="AF29" s="26" t="str">
        <f>IFERROR(IF(LEN($AF$21)&gt;0,IF($AF$23=0,IF($AF$27&lt;&gt;0,$AF$21-$AF$28,""),$AF$21+$AF$23),""),"")</f>
        <v/>
      </c>
      <c r="AG29"/>
      <c r="AH29"/>
      <c r="AI29"/>
      <c r="AJ29"/>
      <c r="AK29"/>
      <c r="AR29" s="85"/>
    </row>
    <row r="30" spans="2:44" x14ac:dyDescent="0.25">
      <c r="C30" s="101"/>
      <c r="E30" s="400"/>
      <c r="L30" s="368" t="str">
        <f>IFERROR(IF(LEN(Menu!$E26)&gt;0,Menu!$E26,""),"")</f>
        <v/>
      </c>
      <c r="M30" s="377" t="str">
        <f t="array" ref="M30">IFERROR(INDEX($L$14:$L$33,MATCH(0,INDEX((LEN($L$14:$L$33)=0)+COUNTIF($M$13:$M29,$L$14:$L$33),0),0)),"")</f>
        <v/>
      </c>
      <c r="N30" s="368" t="str">
        <f>IFERROR(IF(LEN(Menu!$I26)&gt;0,Menu!$I26,""),"")</f>
        <v/>
      </c>
      <c r="O30" s="369" t="str">
        <f t="array" ref="O30">IFERROR(INDEX($N$14:$N$33,MATCH(0,INDEX((LEN($N$14:$N$33)=0)+COUNTIF($O$13:$O29,$N$14:$N$33),0),0)),"")</f>
        <v/>
      </c>
      <c r="AC30" s="321"/>
      <c r="AD30"/>
      <c r="AE30"/>
      <c r="AF30"/>
      <c r="AG30"/>
      <c r="AH30"/>
      <c r="AI30"/>
      <c r="AJ30"/>
      <c r="AK30"/>
      <c r="AR30" s="85"/>
    </row>
    <row r="31" spans="2:44" x14ac:dyDescent="0.25">
      <c r="C31" s="101"/>
      <c r="E31" s="400"/>
      <c r="L31" s="368" t="str">
        <f>IFERROR(IF(LEN(Menu!$E27)&gt;0,Menu!$E27,""),"")</f>
        <v/>
      </c>
      <c r="M31" s="377" t="str">
        <f t="array" ref="M31">IFERROR(INDEX($L$14:$L$33,MATCH(0,INDEX((LEN($L$14:$L$33)=0)+COUNTIF($M$13:$M30,$L$14:$L$33),0),0)),"")</f>
        <v/>
      </c>
      <c r="N31" s="368" t="str">
        <f>IFERROR(IF(LEN(Menu!$I27)&gt;0,Menu!$I27,""),"")</f>
        <v/>
      </c>
      <c r="O31" s="369" t="str">
        <f t="array" ref="O31">IFERROR(INDEX($N$14:$N$33,MATCH(0,INDEX((LEN($N$14:$N$33)=0)+COUNTIF($O$13:$O30,$N$14:$N$33),0),0)),"")</f>
        <v/>
      </c>
      <c r="V31" s="50"/>
      <c r="AC31" s="95" t="s">
        <v>69</v>
      </c>
      <c r="AD31" s="236">
        <f>IFERROR(IF($AC$23=$AD$20,IF(LEN(INDEX(Database!$O$10:$O$19,MATCH(Calc!$AK$4,Database!$H$10:$H$19,0),1))&gt;0,INDEX(Database!$O$10:$O$19,MATCH(Calc!$AK$4,Database!$H$10:$H$19,0),1),0),""),"")</f>
        <v>8</v>
      </c>
      <c r="AE31" s="236" t="str">
        <f>IFERROR(IF($AC$23=$AE$20,IF(LEN(INDEX(Database!$O$10:$O$19,MATCH(Calc!$AK$4,Database!$H$10:$H$19,0),1))&gt;0,INDEX(Database!$O$10:$O$19,MATCH(Calc!$AK$4,Database!$H$10:$H$19,0),1),0),""),"")</f>
        <v/>
      </c>
      <c r="AF31" s="236" t="str">
        <f>IFERROR(IF($AC$23=$AF$20,IF(LEN(INDEX(Database!$O$10:$O$19,MATCH(Calc!$AK$4,Database!$H$10:$H$19,0),1))&gt;0,INDEX(Database!$O$10:$O$19,MATCH(Calc!$AK$4,Database!$H$10:$H$19,0),1),0),""),"")</f>
        <v/>
      </c>
      <c r="AG31"/>
      <c r="AH31"/>
      <c r="AI31"/>
      <c r="AJ31"/>
      <c r="AK31"/>
      <c r="AR31" s="85"/>
    </row>
    <row r="32" spans="2:44" x14ac:dyDescent="0.25">
      <c r="B32" s="56"/>
      <c r="C32" s="101" t="s">
        <v>30</v>
      </c>
      <c r="E32" s="400"/>
      <c r="L32" s="368" t="str">
        <f>IFERROR(IF(LEN(Menu!$E28)&gt;0,Menu!$E28,""),"")</f>
        <v/>
      </c>
      <c r="M32" s="377" t="str">
        <f t="array" ref="M32">IFERROR(INDEX($L$14:$L$33,MATCH(0,INDEX((LEN($L$14:$L$33)=0)+COUNTIF($M$13:$M31,$L$14:$L$33),0),0)),"")</f>
        <v/>
      </c>
      <c r="N32" s="368" t="str">
        <f>IFERROR(IF(LEN(Menu!$I28)&gt;0,Menu!$I28,""),"")</f>
        <v/>
      </c>
      <c r="O32" s="369" t="str">
        <f t="array" ref="O32">IFERROR(INDEX($N$14:$N$33,MATCH(0,INDEX((LEN($N$14:$N$33)=0)+COUNTIF($O$13:$O31,$N$14:$N$33),0),0)),"")</f>
        <v/>
      </c>
      <c r="AC32" s="95" t="str">
        <f>"Tax " &amp; "(" &amp; currency &amp; "):"</f>
        <v>Tax ($):</v>
      </c>
      <c r="AD32" s="26">
        <f>IFERROR(IF($AD$31=0,"",IF(AND(LEN($AD$29)&gt;0,$AD$31&lt;&gt;0),($AD$29*$AD$31/100),IF(AND(LEN($AD$29)=0,LEN($AD$31)&lt;&gt;0,LEN($AD$25)&lt;&gt;0),($AD$25*$AD$31)/100,($AD$21*$AD$31/100)))),"")</f>
        <v>78.108685714285713</v>
      </c>
      <c r="AE32" s="26" t="str">
        <f>IFERROR(IF($AE$31=0,"",IF(AND(LEN($AE$29)&gt;0,$AE$31&lt;&gt;0),($AE$29*$AE$31/100),IF(AND(LEN($AE$29)=0,LEN($AE$31)&lt;&gt;0,LEN($AE$25)&lt;&gt;0),($AE$25*$AE$31)/100,($AE$21*$AE$31/100)))),"")</f>
        <v/>
      </c>
      <c r="AF32" s="26" t="str">
        <f>IFERROR(IF($AF$31=0,"",IF(LEN($AF$29)&gt;0,$AF$29*$AF$31/100,$AF$21*$AF$31/100)),"")</f>
        <v/>
      </c>
      <c r="AG32"/>
      <c r="AH32"/>
      <c r="AI32"/>
      <c r="AJ32"/>
      <c r="AK32"/>
      <c r="AR32" s="85"/>
    </row>
    <row r="33" spans="2:44" x14ac:dyDescent="0.25">
      <c r="B33" s="57"/>
      <c r="C33" s="101" t="s">
        <v>31</v>
      </c>
      <c r="E33" s="400"/>
      <c r="L33" s="370" t="str">
        <f>IFERROR(IF(LEN(Menu!$E29)&gt;0,Menu!$E29,""),"")</f>
        <v/>
      </c>
      <c r="M33" s="378" t="str">
        <f t="array" ref="M33">IFERROR(INDEX($L$14:$L$33,MATCH(0,INDEX((LEN($L$14:$L$33)=0)+COUNTIF($M$13:$M32,$L$14:$L$33),0),0)),"")</f>
        <v/>
      </c>
      <c r="N33" s="370" t="str">
        <f>IFERROR(IF(LEN(Menu!$I29)&gt;0,Menu!$I29,""),"")</f>
        <v/>
      </c>
      <c r="O33" s="371" t="str">
        <f t="array" ref="O33">IFERROR(INDEX($N$14:$N$33,MATCH(0,INDEX((LEN($N$14:$N$33)=0)+COUNTIF($O$13:$O32,$N$14:$N$33),0),0)),"")</f>
        <v/>
      </c>
      <c r="AC33" s="302" t="str">
        <f>"List Price (" &amp; currency &amp; "):"</f>
        <v>List Price ($):</v>
      </c>
      <c r="AD33" s="26">
        <f>IFERROR(IF(LEN($AD$21)&gt;0,IF($AD$31=0,"",IF(LEN($AD$21)&gt;0,IF(AND(LEN($AD$25)&gt;0,LEN($AD$29)&gt;0),$AD$29+$AD$32,IF(AND(LEN($AD$25)=0,LEN($AD$29)&gt;0),$AD$29+$AD$32,IF(AND(LEN($AD$25)&gt;0,LEN($AD$29)=0),$AD$25+$AD$32,$AD$21+$AD$32))))),""),"")</f>
        <v>1054.4672571428571</v>
      </c>
      <c r="AE33" s="26" t="str">
        <f>IFERROR(IF(LEN($AE$21)&gt;0,IF($AE$31=0,"",IF(LEN($AE$21)&gt;0,IF(AND(LEN($AE$25)&gt;0,LEN($AE$29)&gt;0),$AE$29+$AE$32,IF(AND(LEN($AE$25)=0,LEN($AE$29)&gt;0),$AE$29+$AE$32,IF(AND(LEN($AE$25)&gt;0,LEN($AE$29)=0),$AE$25+$AE$32,$AE$21+$AE$32))))),""),"")</f>
        <v/>
      </c>
      <c r="AF33" s="26" t="str">
        <f>IFERROR(IF(LEN($AF$32)&gt;0,IF(LEN($AF$29)&gt;0,$AF$29+$AF$32,$AF$21+$AF$32),""),"")</f>
        <v/>
      </c>
      <c r="AG33"/>
      <c r="AH33"/>
      <c r="AI33"/>
      <c r="AJ33"/>
      <c r="AK33"/>
      <c r="AR33" s="85"/>
    </row>
    <row r="34" spans="2:44" x14ac:dyDescent="0.25">
      <c r="B34" s="58"/>
      <c r="C34" s="101" t="s">
        <v>32</v>
      </c>
      <c r="E34" s="400"/>
      <c r="AC34" s="321"/>
      <c r="AD34"/>
      <c r="AE34"/>
      <c r="AF34"/>
      <c r="AG34"/>
      <c r="AH34"/>
      <c r="AI34"/>
      <c r="AJ34"/>
      <c r="AK34"/>
      <c r="AR34" s="85"/>
    </row>
    <row r="35" spans="2:44" x14ac:dyDescent="0.25">
      <c r="B35" s="59"/>
      <c r="C35" s="101" t="s">
        <v>33</v>
      </c>
      <c r="E35" s="400"/>
      <c r="AC35" s="95" t="str">
        <f xml:space="preserve"> "Platform Listing Fee (" &amp; currency &amp; "):"</f>
        <v>Platform Listing Fee ($):</v>
      </c>
      <c r="AD35" s="26">
        <f>IFERROR(IF(LEN($AD$21)=0,"",IF(INDEX(Menu!$F$10:$F$29,MATCH($AM$4,Menu!$E$10:$E$29,0),1)=$C$11,(INDEX(Menu!$G$10:$G$29,MATCH($AM$4,Menu!$E$10:$E$29,0),1)),IF(LEN($AD$33)&gt;0,($AD$33)/(1-(INDEX(Menu!$G$10:$G$29,MATCH($AM$4,Menu!$E$10:$E$29,0),1)/100))-$AD$33,IF(LEN($AD$29)&gt;0,$AD$29/(1-(INDEX(Menu!$G$10:$G$29,MATCH($AM$4,Menu!$E$10:$E$29,0),1)/100))-$AD$29,IF(LEN($AD$25)&gt;0,$AD$25/(1-(INDEX(Menu!$G$10:$G$29,MATCH($AM$4,Menu!$E$10:$E$29,0),1)/100))-$AD$25,$AD$21/(1-(INDEX(Menu!$G$10:$G$29,MATCH($AM$4,Menu!$E$10:$E$29,0),1)/100))-$AD$21))))),"")</f>
        <v>10.651184415584339</v>
      </c>
      <c r="AE35" s="26" t="str">
        <f>IFERROR(IF(LEN($AE$21)=0,"",IF(INDEX(Menu!$F$10:$F$29,MATCH($AM$4,Menu!$E$10:$E$29,0),1)=$C$11,(INDEX(Menu!$G$10:$G$29,MATCH($AM$4,Menu!$E$10:$E$29,0),1)),IF(LEN($AE$33)&gt;0,($AE$33)/(1-(INDEX(Menu!$G$10:$G$29,MATCH($AM$4,Menu!$E$10:$E$29,0),1)/100))-$AE$33,IF(LEN($AE$29)&gt;0,$AE$29/(1-(INDEX(Menu!$G$10:$G$29,MATCH($AM$4,Menu!$E$10:$E$29,0),1)/100))-$AE$29,IF(LEN($AE$25)&gt;0,$AE$25/(1-(INDEX(Menu!$G$10:$G$29,MATCH($AM$4,Menu!$E$10:$E$29,0),1)/100))-$AE$25,$AE$21/(1-(INDEX(Menu!$G$10:$G$29,MATCH($AM$4,Menu!$E$10:$E$29,0),1)/100))-$AE$21))))),"")</f>
        <v/>
      </c>
      <c r="AF35" s="26" t="str">
        <f>IFERROR(IF(LEN($AF$21)=0,"",IF(INDEX(Menu!$F$10:$F$29,MATCH($AM$4,Menu!$E$10:$E$29,0),1)=$C$11,(INDEX(Menu!$G$10:$G$29,MATCH($AM$4,Menu!$E$10:$E$29,0),1)),IF(LEN($AF$33)&gt;0,($AF$33)/(1-(INDEX(Menu!$G$10:$G$29,MATCH($AM$4,Menu!$E$10:$E$29,0),1)/100))-$AF$33,IF(LEN($AF$29)&gt;0,$AF$29/(1-(INDEX(Menu!$G$10:$G$29,MATCH($AM$4,Menu!$E$10:$E$29,0),1)/100))-$AF$29,IF(LEN($AF$25)&gt;0,$AF$25/(1-(INDEX(Menu!$G$10:$G$29,MATCH($AM$4,Menu!$E$10:$E$29,0),1)/100))-$AF$25,$AF$21/(1-(INDEX(Menu!$G$10:$G$29,MATCH($AM$4,Menu!$E$10:$E$29,0),1)/100))-$AF$21))))),"")</f>
        <v/>
      </c>
      <c r="AG35"/>
      <c r="AH35"/>
      <c r="AI35"/>
      <c r="AJ35"/>
      <c r="AK35"/>
      <c r="AR35" s="85"/>
    </row>
    <row r="36" spans="2:44" x14ac:dyDescent="0.25">
      <c r="C36" s="101"/>
      <c r="E36" s="400"/>
      <c r="L36" s="373" t="s">
        <v>65</v>
      </c>
      <c r="M36" s="374">
        <f>MAX(COUNTA($M$38:$M$57)-COUNTBLANK($M$38:$M$57),1)</f>
        <v>4</v>
      </c>
      <c r="AC36" s="321"/>
      <c r="AD36"/>
      <c r="AE36"/>
      <c r="AF36"/>
      <c r="AG36"/>
      <c r="AH36"/>
      <c r="AI36"/>
      <c r="AJ36"/>
      <c r="AK36"/>
      <c r="AR36" s="85"/>
    </row>
    <row r="37" spans="2:44" x14ac:dyDescent="0.25">
      <c r="B37" s="275"/>
      <c r="C37" s="101" t="s">
        <v>284</v>
      </c>
      <c r="E37" s="400"/>
      <c r="L37" s="366" t="s">
        <v>19</v>
      </c>
      <c r="M37" s="367" t="s">
        <v>307</v>
      </c>
      <c r="AC37" s="304" t="s">
        <v>292</v>
      </c>
      <c r="AD37" s="26">
        <f>IFERROR(IF(LEN($AD$39)&gt;0,IF(LEN($AD$29)&gt;0,($AD$29-$AD$21)*100/$AD$29,IF(LEN($AD$25)&gt;0,($AD$25-$AD$21)/$AD$25*100,"")),""),"")</f>
        <v>25.925925925925917</v>
      </c>
      <c r="AE37" s="26" t="str">
        <f>IFERROR(IF(LEN($AE$39)&gt;0,IF(LEN($AE$29)&gt;0,($AE$29-$AE$21)*100/$AE$29,IF(LEN($AE$25)&gt;0,($AE$25-$AE$21)/$AE$25*100,"")),""),"")</f>
        <v/>
      </c>
      <c r="AF37" s="26" t="str">
        <f>IFERROR(IF(LEN($AF$39)&gt;0,IF(LEN($AF$29)&gt;0,($AF$29-$AF$21)*100/$AF$29,IF(LEN($AF$25)&gt;0,($AF$25-$AF$21)/$AF$25*100,"")),""),"")</f>
        <v/>
      </c>
      <c r="AR37" s="85"/>
    </row>
    <row r="38" spans="2:44" x14ac:dyDescent="0.25">
      <c r="B38" s="58"/>
      <c r="C38" s="101" t="s">
        <v>32</v>
      </c>
      <c r="E38" s="400"/>
      <c r="L38" s="368" t="str">
        <f>IFERROR(IF(LEN(Menu!$C10)&gt;0,Menu!$C10,""),"")</f>
        <v>kg</v>
      </c>
      <c r="M38" s="369" t="str">
        <f t="array" ref="M38">IFERROR(INDEX($L$38:$L$57,MATCH(0,INDEX((LEN($L$38:$L$57)=0)+COUNTIF($M$37:$M37,$L$38:$L$57),0),0)),"")</f>
        <v>kg</v>
      </c>
      <c r="AC38" s="304" t="str">
        <f>"Profit Margin " &amp; "(" &amp; currency &amp; "):"</f>
        <v>Profit Margin ($):</v>
      </c>
      <c r="AD38" s="26">
        <f>IFERROR(IF(LEN($AD$39)&gt;0,IF(LEN($AD$29)&gt;0,($AD$29-$AD$21),IF(LEN($AD$25)&gt;0,($AD$25-$AD$21),"")),""),"")</f>
        <v>253.12999999999988</v>
      </c>
      <c r="AE38" s="26" t="str">
        <f>IFERROR(IF(LEN($AE$39)&gt;0,IF(LEN($AE$29)&gt;0,($AE$29-$AE$21),IF(LEN($AE$25)&gt;0,($AE$25-$AE$21),"")),""),"")</f>
        <v/>
      </c>
      <c r="AF38" s="26" t="str">
        <f>IFERROR(IF(LEN($AF$39)&gt;0,IF(LEN($AF$29)&gt;0,($AF$29-$AF$21),IF(LEN($AF$25)&gt;0,($AF$25-$AF$21),"")),""),"")</f>
        <v/>
      </c>
      <c r="AR38" s="85"/>
    </row>
    <row r="39" spans="2:44" ht="15.75" x14ac:dyDescent="0.25">
      <c r="B39" s="60"/>
      <c r="C39" s="101" t="s">
        <v>58</v>
      </c>
      <c r="E39" s="400"/>
      <c r="L39" s="368" t="str">
        <f>IFERROR(IF(LEN(Menu!$C11)&gt;0,Menu!$C11,""),"")</f>
        <v>pcs</v>
      </c>
      <c r="M39" s="369" t="str">
        <f t="array" ref="M39">IFERROR(INDEX($L$38:$L$57,MATCH(0,INDEX((LEN($L$38:$L$57)=0)+COUNTIF($M$37:$M38,$L$38:$L$57),0),0)),"")</f>
        <v>pcs</v>
      </c>
      <c r="AC39" s="97" t="str">
        <f xml:space="preserve"> "Final Sales Price (" &amp; currency &amp; "):"</f>
        <v>Final Sales Price ($):</v>
      </c>
      <c r="AD39" s="28">
        <f>IFERROR(IF(LEN($AD$21)&gt;0,IF(LEN($AD$35)&gt;0,IF(LEN($AD$33)&gt;0,$AD$33+$AD$35,IF(LEN($AD$29)&gt;0,$AD$29+$AD$35,IF(LEN($AD$25)&gt;0,$AD$25+$AD$35,$AD$21+$AD$35))),IF(OR(LEN($AD$35)&gt;0,LEN($AD$33)&gt;0,LEN($AD$29)&gt;0,LEN($AD$25)&gt;0),IF(LEN($AD$33)&gt;0,$AD$33,IF(LEN($AD$29)&gt;0,$AD$29,IF(LEN($AD$25)&gt;0,$AD$25,$AD$21))),"")),""),"")</f>
        <v>1065.1184415584414</v>
      </c>
      <c r="AE39" s="28" t="str">
        <f>IFERROR(IF(LEN($AE$21)&gt;0,IF(LEN($AE$35)&gt;0,IF(LEN($AE$33)&gt;0,$AE$33+$AE$35,IF(LEN($AE$29)&gt;0,$AE$29+$AE$35,IF(LEN($AE$25)&gt;0,$AE$25+$AE$35,$AE$21+$AE$35))),IF(OR(LEN($AE$35)&gt;0,LEN($AE$33)&gt;0,LEN($AE$29)&gt;0,LEN($AE$25)&gt;0),IF(LEN($AE$33)&gt;0,$AE$33,IF(LEN($AE$29)&gt;0,$AE$29,IF(LEN($AE$25)&gt;0,$AE$25,$AE$21))),"")),""),"")</f>
        <v/>
      </c>
      <c r="AF39" s="28" t="str">
        <f>IFERROR(IF(LEN($AF$21)&gt;0,IF(LEN($AF$35)&gt;0,IF(LEN($AF$33)&gt;0,$AF$33+$AF$35,IF(LEN($AF$29)&gt;0,$AF$29+$AF$35,IF(LEN($AF$25)&gt;0,$AF$25+$AF$35,$AF$21+$AF$35))),IF(OR(LEN($AF$35)&gt;0,LEN($AF$33)&gt;0,LEN($AF$29)&gt;0,LEN($AF$25)&gt;0),IF(LEN($AF$33)&gt;0,$AF$33,IF(LEN($AF$29)&gt;0,$AF$29,IF(LEN($AF$25)&gt;0,$AF$25,$AF$21))),"")),""),"")</f>
        <v/>
      </c>
      <c r="AR39" s="85"/>
    </row>
    <row r="40" spans="2:44" x14ac:dyDescent="0.25">
      <c r="B40" s="61"/>
      <c r="C40" s="101" t="s">
        <v>59</v>
      </c>
      <c r="E40" s="400"/>
      <c r="L40" s="368" t="str">
        <f>IFERROR(IF(LEN(Menu!$C12)&gt;0,Menu!$C12,""),"")</f>
        <v>hours</v>
      </c>
      <c r="M40" s="369" t="str">
        <f t="array" ref="M40">IFERROR(INDEX($L$38:$L$57,MATCH(0,INDEX((LEN($L$38:$L$57)=0)+COUNTIF($M$37:$M39,$L$38:$L$57),0),0)),"")</f>
        <v>hours</v>
      </c>
      <c r="AC40" s="338"/>
      <c r="AD40" s="339"/>
      <c r="AE40" s="339"/>
      <c r="AF40" s="33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90"/>
    </row>
    <row r="41" spans="2:44" x14ac:dyDescent="0.25">
      <c r="B41" s="62"/>
      <c r="C41" s="101" t="s">
        <v>60</v>
      </c>
      <c r="E41" s="400"/>
      <c r="L41" s="368" t="str">
        <f>IFERROR(IF(LEN(Menu!$C13)&gt;0,Menu!$C13,""),"")</f>
        <v>each</v>
      </c>
      <c r="M41" s="369" t="str">
        <f t="array" ref="M41">IFERROR(INDEX($L$38:$L$57,MATCH(0,INDEX((LEN($L$38:$L$57)=0)+COUNTIF($M$37:$M40,$L$38:$L$57),0),0)),"")</f>
        <v>each</v>
      </c>
    </row>
    <row r="42" spans="2:44" x14ac:dyDescent="0.25">
      <c r="B42" s="52"/>
      <c r="C42" s="101" t="s">
        <v>61</v>
      </c>
      <c r="E42" s="400"/>
      <c r="L42" s="368" t="str">
        <f>IFERROR(IF(LEN(Menu!$C14)&gt;0,Menu!$C14,""),"")</f>
        <v/>
      </c>
      <c r="M42" s="369" t="str">
        <f t="array" ref="M42">IFERROR(INDEX($L$38:$L$57,MATCH(0,INDEX((LEN($L$38:$L$57)=0)+COUNTIF($M$37:$M41,$L$38:$L$57),0),0)),"")</f>
        <v/>
      </c>
    </row>
    <row r="43" spans="2:44" x14ac:dyDescent="0.25">
      <c r="E43" s="400"/>
      <c r="L43" s="368" t="str">
        <f>IFERROR(IF(LEN(Menu!$C15)&gt;0,Menu!$C15,""),"")</f>
        <v/>
      </c>
      <c r="M43" s="369" t="str">
        <f t="array" ref="M43">IFERROR(INDEX($L$38:$L$57,MATCH(0,INDEX((LEN($L$38:$L$57)=0)+COUNTIF($M$37:$M42,$L$38:$L$57),0),0)),"")</f>
        <v/>
      </c>
    </row>
    <row r="44" spans="2:44" x14ac:dyDescent="0.25">
      <c r="E44" s="400"/>
      <c r="L44" s="368" t="str">
        <f>IFERROR(IF(LEN(Menu!$C16)&gt;0,Menu!$C16,""),"")</f>
        <v/>
      </c>
      <c r="M44" s="369" t="str">
        <f t="array" ref="M44">IFERROR(INDEX($L$38:$L$57,MATCH(0,INDEX((LEN($L$38:$L$57)=0)+COUNTIF($M$37:$M43,$L$38:$L$57),0),0)),"")</f>
        <v/>
      </c>
    </row>
    <row r="45" spans="2:44" x14ac:dyDescent="0.25">
      <c r="E45" s="400"/>
      <c r="L45" s="368" t="str">
        <f>IFERROR(IF(LEN(Menu!$C17)&gt;0,Menu!$C17,""),"")</f>
        <v/>
      </c>
      <c r="M45" s="369" t="str">
        <f t="array" ref="M45">IFERROR(INDEX($L$38:$L$57,MATCH(0,INDEX((LEN($L$38:$L$57)=0)+COUNTIF($M$37:$M44,$L$38:$L$57),0),0)),"")</f>
        <v/>
      </c>
    </row>
    <row r="46" spans="2:44" x14ac:dyDescent="0.25">
      <c r="E46" s="400"/>
      <c r="L46" s="368" t="str">
        <f>IFERROR(IF(LEN(Menu!$C18)&gt;0,Menu!$C18,""),"")</f>
        <v/>
      </c>
      <c r="M46" s="369" t="str">
        <f t="array" ref="M46">IFERROR(INDEX($L$38:$L$57,MATCH(0,INDEX((LEN($L$38:$L$57)=0)+COUNTIF($M$37:$M45,$L$38:$L$57),0),0)),"")</f>
        <v/>
      </c>
    </row>
    <row r="47" spans="2:44" x14ac:dyDescent="0.25">
      <c r="E47" s="400"/>
      <c r="L47" s="368" t="str">
        <f>IFERROR(IF(LEN(Menu!$C19)&gt;0,Menu!$C19,""),"")</f>
        <v/>
      </c>
      <c r="M47" s="369" t="str">
        <f t="array" ref="M47">IFERROR(INDEX($L$38:$L$57,MATCH(0,INDEX((LEN($L$38:$L$57)=0)+COUNTIF($M$37:$M46,$L$38:$L$57),0),0)),"")</f>
        <v/>
      </c>
    </row>
    <row r="48" spans="2:44" x14ac:dyDescent="0.25">
      <c r="E48" s="400"/>
      <c r="L48" s="368" t="str">
        <f>IFERROR(IF(LEN(Menu!$C20)&gt;0,Menu!$C20,""),"")</f>
        <v/>
      </c>
      <c r="M48" s="369" t="str">
        <f t="array" ref="M48">IFERROR(INDEX($L$38:$L$57,MATCH(0,INDEX((LEN($L$38:$L$57)=0)+COUNTIF($M$37:$M47,$L$38:$L$57),0),0)),"")</f>
        <v/>
      </c>
    </row>
    <row r="49" spans="5:13" x14ac:dyDescent="0.25">
      <c r="E49" s="400"/>
      <c r="L49" s="368" t="str">
        <f>IFERROR(IF(LEN(Menu!$C21)&gt;0,Menu!$C21,""),"")</f>
        <v/>
      </c>
      <c r="M49" s="369" t="str">
        <f t="array" ref="M49">IFERROR(INDEX($L$38:$L$57,MATCH(0,INDEX((LEN($L$38:$L$57)=0)+COUNTIF($M$37:$M48,$L$38:$L$57),0),0)),"")</f>
        <v/>
      </c>
    </row>
    <row r="50" spans="5:13" x14ac:dyDescent="0.25">
      <c r="E50" s="400"/>
      <c r="L50" s="368" t="str">
        <f>IFERROR(IF(LEN(Menu!$C22)&gt;0,Menu!$C22,""),"")</f>
        <v/>
      </c>
      <c r="M50" s="369" t="str">
        <f t="array" ref="M50">IFERROR(INDEX($L$38:$L$57,MATCH(0,INDEX((LEN($L$38:$L$57)=0)+COUNTIF($M$37:$M49,$L$38:$L$57),0),0)),"")</f>
        <v/>
      </c>
    </row>
    <row r="51" spans="5:13" x14ac:dyDescent="0.25">
      <c r="E51" s="400"/>
      <c r="L51" s="368" t="str">
        <f>IFERROR(IF(LEN(Menu!$C23)&gt;0,Menu!$C23,""),"")</f>
        <v/>
      </c>
      <c r="M51" s="369" t="str">
        <f t="array" ref="M51">IFERROR(INDEX($L$38:$L$57,MATCH(0,INDEX((LEN($L$38:$L$57)=0)+COUNTIF($M$37:$M50,$L$38:$L$57),0),0)),"")</f>
        <v/>
      </c>
    </row>
    <row r="52" spans="5:13" x14ac:dyDescent="0.25">
      <c r="E52" s="400"/>
      <c r="L52" s="368" t="str">
        <f>IFERROR(IF(LEN(Menu!$C24)&gt;0,Menu!$C24,""),"")</f>
        <v/>
      </c>
      <c r="M52" s="369" t="str">
        <f t="array" ref="M52">IFERROR(INDEX($L$38:$L$57,MATCH(0,INDEX((LEN($L$38:$L$57)=0)+COUNTIF($M$37:$M51,$L$38:$L$57),0),0)),"")</f>
        <v/>
      </c>
    </row>
    <row r="53" spans="5:13" x14ac:dyDescent="0.25">
      <c r="E53" s="400"/>
      <c r="L53" s="368" t="str">
        <f>IFERROR(IF(LEN(Menu!$C25)&gt;0,Menu!$C25,""),"")</f>
        <v/>
      </c>
      <c r="M53" s="369" t="str">
        <f t="array" ref="M53">IFERROR(INDEX($L$38:$L$57,MATCH(0,INDEX((LEN($L$38:$L$57)=0)+COUNTIF($M$37:$M52,$L$38:$L$57),0),0)),"")</f>
        <v/>
      </c>
    </row>
    <row r="54" spans="5:13" x14ac:dyDescent="0.25">
      <c r="E54" s="400"/>
      <c r="L54" s="368" t="str">
        <f>IFERROR(IF(LEN(Menu!$C26)&gt;0,Menu!$C26,""),"")</f>
        <v/>
      </c>
      <c r="M54" s="369" t="str">
        <f t="array" ref="M54">IFERROR(INDEX($L$38:$L$57,MATCH(0,INDEX((LEN($L$38:$L$57)=0)+COUNTIF($M$37:$M53,$L$38:$L$57),0),0)),"")</f>
        <v/>
      </c>
    </row>
    <row r="55" spans="5:13" x14ac:dyDescent="0.25">
      <c r="E55" s="400"/>
      <c r="L55" s="368" t="str">
        <f>IFERROR(IF(LEN(Menu!$C27)&gt;0,Menu!$C27,""),"")</f>
        <v/>
      </c>
      <c r="M55" s="369" t="str">
        <f t="array" ref="M55">IFERROR(INDEX($L$38:$L$57,MATCH(0,INDEX((LEN($L$38:$L$57)=0)+COUNTIF($M$37:$M54,$L$38:$L$57),0),0)),"")</f>
        <v/>
      </c>
    </row>
    <row r="56" spans="5:13" x14ac:dyDescent="0.25">
      <c r="E56" s="400"/>
      <c r="L56" s="368" t="str">
        <f>IFERROR(IF(LEN(Menu!$C28)&gt;0,Menu!$C28,""),"")</f>
        <v/>
      </c>
      <c r="M56" s="369" t="str">
        <f t="array" ref="M56">IFERROR(INDEX($L$38:$L$57,MATCH(0,INDEX((LEN($L$38:$L$57)=0)+COUNTIF($M$37:$M55,$L$38:$L$57),0),0)),"")</f>
        <v/>
      </c>
    </row>
    <row r="57" spans="5:13" x14ac:dyDescent="0.25">
      <c r="E57" s="400"/>
      <c r="L57" s="370" t="str">
        <f>IFERROR(IF(LEN(Menu!$C29)&gt;0,Menu!$C29,""),"")</f>
        <v/>
      </c>
      <c r="M57" s="371" t="str">
        <f t="array" ref="M57">IFERROR(INDEX($L$38:$L$57,MATCH(0,INDEX((LEN($L$38:$L$57)=0)+COUNTIF($M$37:$M56,$L$38:$L$57),0),0)),"")</f>
        <v/>
      </c>
    </row>
    <row r="58" spans="5:13" x14ac:dyDescent="0.25">
      <c r="E58" s="400"/>
    </row>
    <row r="59" spans="5:13" x14ac:dyDescent="0.25">
      <c r="E59" s="400"/>
    </row>
    <row r="60" spans="5:13" x14ac:dyDescent="0.25">
      <c r="E60" s="400"/>
    </row>
    <row r="61" spans="5:13" x14ac:dyDescent="0.25">
      <c r="E61" s="400"/>
    </row>
    <row r="62" spans="5:13" x14ac:dyDescent="0.25">
      <c r="E62" s="400"/>
    </row>
    <row r="63" spans="5:13" x14ac:dyDescent="0.25">
      <c r="E63" s="400"/>
    </row>
    <row r="64" spans="5:13" x14ac:dyDescent="0.25">
      <c r="E64" s="400"/>
    </row>
    <row r="65" spans="5:5" x14ac:dyDescent="0.25">
      <c r="E65" s="400"/>
    </row>
    <row r="66" spans="5:5" x14ac:dyDescent="0.25">
      <c r="E66" s="400"/>
    </row>
    <row r="67" spans="5:5" x14ac:dyDescent="0.25">
      <c r="E67" s="400"/>
    </row>
    <row r="68" spans="5:5" x14ac:dyDescent="0.25">
      <c r="E68" s="400"/>
    </row>
    <row r="69" spans="5:5" x14ac:dyDescent="0.25">
      <c r="E69" s="400"/>
    </row>
    <row r="70" spans="5:5" x14ac:dyDescent="0.25">
      <c r="E70" s="400"/>
    </row>
    <row r="71" spans="5:5" x14ac:dyDescent="0.25">
      <c r="E71" s="400"/>
    </row>
    <row r="72" spans="5:5" x14ac:dyDescent="0.25">
      <c r="E72" s="400"/>
    </row>
    <row r="73" spans="5:5" x14ac:dyDescent="0.25">
      <c r="E73" s="400"/>
    </row>
    <row r="74" spans="5:5" x14ac:dyDescent="0.25">
      <c r="E74" s="400"/>
    </row>
    <row r="75" spans="5:5" x14ac:dyDescent="0.25">
      <c r="E75" s="400"/>
    </row>
    <row r="76" spans="5:5" x14ac:dyDescent="0.25">
      <c r="E76" s="400"/>
    </row>
    <row r="77" spans="5:5" x14ac:dyDescent="0.25">
      <c r="E77" s="400"/>
    </row>
    <row r="78" spans="5:5" x14ac:dyDescent="0.25">
      <c r="E78" s="400"/>
    </row>
    <row r="79" spans="5:5" x14ac:dyDescent="0.25">
      <c r="E79" s="400"/>
    </row>
    <row r="80" spans="5:5" x14ac:dyDescent="0.25">
      <c r="E80" s="400"/>
    </row>
    <row r="81" spans="5:5" x14ac:dyDescent="0.25">
      <c r="E81" s="400"/>
    </row>
    <row r="82" spans="5:5" x14ac:dyDescent="0.25">
      <c r="E82" s="400"/>
    </row>
    <row r="83" spans="5:5" x14ac:dyDescent="0.25">
      <c r="E83" s="400"/>
    </row>
    <row r="84" spans="5:5" x14ac:dyDescent="0.25">
      <c r="E84" s="400"/>
    </row>
    <row r="85" spans="5:5" x14ac:dyDescent="0.25">
      <c r="E85" s="400"/>
    </row>
    <row r="86" spans="5:5" x14ac:dyDescent="0.25">
      <c r="E86" s="400"/>
    </row>
    <row r="87" spans="5:5" x14ac:dyDescent="0.25">
      <c r="E87" s="400"/>
    </row>
    <row r="88" spans="5:5" x14ac:dyDescent="0.25">
      <c r="E88" s="400"/>
    </row>
    <row r="89" spans="5:5" x14ac:dyDescent="0.25">
      <c r="E89" s="400"/>
    </row>
    <row r="90" spans="5:5" x14ac:dyDescent="0.25">
      <c r="E90" s="400"/>
    </row>
    <row r="91" spans="5:5" x14ac:dyDescent="0.25">
      <c r="E91" s="400"/>
    </row>
    <row r="92" spans="5:5" x14ac:dyDescent="0.25">
      <c r="E92" s="400"/>
    </row>
    <row r="93" spans="5:5" x14ac:dyDescent="0.25">
      <c r="E93" s="400"/>
    </row>
    <row r="94" spans="5:5" x14ac:dyDescent="0.25">
      <c r="E94" s="400"/>
    </row>
    <row r="95" spans="5:5" x14ac:dyDescent="0.25">
      <c r="E95" s="400"/>
    </row>
    <row r="96" spans="5:5" x14ac:dyDescent="0.25">
      <c r="E96" s="400"/>
    </row>
    <row r="97" spans="5:5" x14ac:dyDescent="0.25">
      <c r="E97" s="400"/>
    </row>
    <row r="98" spans="5:5" x14ac:dyDescent="0.25">
      <c r="E98" s="400"/>
    </row>
    <row r="99" spans="5:5" x14ac:dyDescent="0.25">
      <c r="E99" s="400"/>
    </row>
    <row r="100" spans="5:5" x14ac:dyDescent="0.25">
      <c r="E100" s="400"/>
    </row>
    <row r="101" spans="5:5" x14ac:dyDescent="0.25">
      <c r="E101" s="400"/>
    </row>
    <row r="102" spans="5:5" x14ac:dyDescent="0.25">
      <c r="E102" s="400"/>
    </row>
    <row r="103" spans="5:5" x14ac:dyDescent="0.25">
      <c r="E103" s="400"/>
    </row>
    <row r="104" spans="5:5" x14ac:dyDescent="0.25">
      <c r="E104" s="400"/>
    </row>
    <row r="105" spans="5:5" x14ac:dyDescent="0.25">
      <c r="E105" s="400"/>
    </row>
    <row r="106" spans="5:5" x14ac:dyDescent="0.25">
      <c r="E106" s="400"/>
    </row>
    <row r="107" spans="5:5" x14ac:dyDescent="0.25">
      <c r="E107" s="400"/>
    </row>
    <row r="108" spans="5:5" x14ac:dyDescent="0.25">
      <c r="E108" s="400"/>
    </row>
    <row r="109" spans="5:5" x14ac:dyDescent="0.25">
      <c r="E109" s="400"/>
    </row>
    <row r="110" spans="5:5" x14ac:dyDescent="0.25">
      <c r="E110" s="400"/>
    </row>
    <row r="111" spans="5:5" x14ac:dyDescent="0.25">
      <c r="E111" s="400"/>
    </row>
    <row r="112" spans="5:5" x14ac:dyDescent="0.25">
      <c r="E112" s="400"/>
    </row>
    <row r="113" spans="5:5" x14ac:dyDescent="0.25">
      <c r="E113" s="400"/>
    </row>
    <row r="114" spans="5:5" x14ac:dyDescent="0.25">
      <c r="E114" s="400"/>
    </row>
    <row r="115" spans="5:5" x14ac:dyDescent="0.25">
      <c r="E115" s="400"/>
    </row>
    <row r="116" spans="5:5" x14ac:dyDescent="0.25">
      <c r="E116" s="400"/>
    </row>
    <row r="117" spans="5:5" x14ac:dyDescent="0.25">
      <c r="E117" s="400"/>
    </row>
    <row r="118" spans="5:5" x14ac:dyDescent="0.25">
      <c r="E118" s="400"/>
    </row>
    <row r="119" spans="5:5" x14ac:dyDescent="0.25">
      <c r="E119" s="400"/>
    </row>
    <row r="120" spans="5:5" x14ac:dyDescent="0.25">
      <c r="E120" s="400"/>
    </row>
    <row r="121" spans="5:5" x14ac:dyDescent="0.25">
      <c r="E121" s="400"/>
    </row>
    <row r="122" spans="5:5" x14ac:dyDescent="0.25">
      <c r="E122" s="400"/>
    </row>
    <row r="123" spans="5:5" x14ac:dyDescent="0.25">
      <c r="E123" s="400"/>
    </row>
    <row r="124" spans="5:5" x14ac:dyDescent="0.25">
      <c r="E124" s="400"/>
    </row>
    <row r="125" spans="5:5" x14ac:dyDescent="0.25">
      <c r="E125" s="400"/>
    </row>
    <row r="126" spans="5:5" x14ac:dyDescent="0.25">
      <c r="E126" s="400"/>
    </row>
    <row r="127" spans="5:5" x14ac:dyDescent="0.25">
      <c r="E127" s="400"/>
    </row>
    <row r="128" spans="5:5" x14ac:dyDescent="0.25">
      <c r="E128" s="400"/>
    </row>
    <row r="129" spans="5:5" x14ac:dyDescent="0.25">
      <c r="E129" s="400"/>
    </row>
    <row r="130" spans="5:5" x14ac:dyDescent="0.25">
      <c r="E130" s="400"/>
    </row>
    <row r="131" spans="5:5" x14ac:dyDescent="0.25">
      <c r="E131" s="400"/>
    </row>
    <row r="132" spans="5:5" x14ac:dyDescent="0.25">
      <c r="E132" s="400"/>
    </row>
    <row r="133" spans="5:5" x14ac:dyDescent="0.25">
      <c r="E133" s="400"/>
    </row>
    <row r="134" spans="5:5" x14ac:dyDescent="0.25">
      <c r="E134" s="400"/>
    </row>
    <row r="135" spans="5:5" x14ac:dyDescent="0.25">
      <c r="E135" s="400"/>
    </row>
    <row r="136" spans="5:5" x14ac:dyDescent="0.25">
      <c r="E136" s="400"/>
    </row>
    <row r="137" spans="5:5" x14ac:dyDescent="0.25">
      <c r="E137" s="400"/>
    </row>
    <row r="138" spans="5:5" x14ac:dyDescent="0.25">
      <c r="E138" s="400"/>
    </row>
    <row r="139" spans="5:5" x14ac:dyDescent="0.25">
      <c r="E139" s="400"/>
    </row>
    <row r="140" spans="5:5" x14ac:dyDescent="0.25">
      <c r="E140" s="400"/>
    </row>
    <row r="141" spans="5:5" x14ac:dyDescent="0.25">
      <c r="E141" s="400"/>
    </row>
    <row r="142" spans="5:5" x14ac:dyDescent="0.25">
      <c r="E142" s="400"/>
    </row>
    <row r="143" spans="5:5" x14ac:dyDescent="0.25">
      <c r="E143" s="400"/>
    </row>
    <row r="144" spans="5:5" x14ac:dyDescent="0.25">
      <c r="E144" s="400"/>
    </row>
    <row r="145" spans="5:5" x14ac:dyDescent="0.25">
      <c r="E145" s="400"/>
    </row>
    <row r="146" spans="5:5" x14ac:dyDescent="0.25">
      <c r="E146" s="400"/>
    </row>
    <row r="147" spans="5:5" x14ac:dyDescent="0.25">
      <c r="E147" s="400"/>
    </row>
    <row r="148" spans="5:5" x14ac:dyDescent="0.25">
      <c r="E148" s="400"/>
    </row>
    <row r="149" spans="5:5" x14ac:dyDescent="0.25">
      <c r="E149" s="400"/>
    </row>
    <row r="150" spans="5:5" x14ac:dyDescent="0.25">
      <c r="E150" s="400"/>
    </row>
    <row r="151" spans="5:5" x14ac:dyDescent="0.25">
      <c r="E151" s="400"/>
    </row>
    <row r="152" spans="5:5" x14ac:dyDescent="0.25">
      <c r="E152" s="400"/>
    </row>
    <row r="153" spans="5:5" x14ac:dyDescent="0.25">
      <c r="E153" s="400"/>
    </row>
    <row r="154" spans="5:5" x14ac:dyDescent="0.25">
      <c r="E154" s="400"/>
    </row>
    <row r="155" spans="5:5" x14ac:dyDescent="0.25">
      <c r="E155" s="400"/>
    </row>
    <row r="156" spans="5:5" x14ac:dyDescent="0.25">
      <c r="E156" s="400"/>
    </row>
    <row r="157" spans="5:5" x14ac:dyDescent="0.25">
      <c r="E157" s="400"/>
    </row>
    <row r="158" spans="5:5" x14ac:dyDescent="0.25">
      <c r="E158" s="400"/>
    </row>
    <row r="159" spans="5:5" x14ac:dyDescent="0.25">
      <c r="E159" s="400"/>
    </row>
    <row r="160" spans="5:5" x14ac:dyDescent="0.25">
      <c r="E160" s="400"/>
    </row>
    <row r="161" spans="5:5" x14ac:dyDescent="0.25">
      <c r="E161" s="400"/>
    </row>
    <row r="162" spans="5:5" x14ac:dyDescent="0.25">
      <c r="E162" s="400"/>
    </row>
    <row r="163" spans="5:5" x14ac:dyDescent="0.25">
      <c r="E163" s="400"/>
    </row>
    <row r="164" spans="5:5" x14ac:dyDescent="0.25">
      <c r="E164" s="400"/>
    </row>
    <row r="165" spans="5:5" x14ac:dyDescent="0.25">
      <c r="E165" s="400"/>
    </row>
    <row r="166" spans="5:5" x14ac:dyDescent="0.25">
      <c r="E166" s="400"/>
    </row>
    <row r="167" spans="5:5" x14ac:dyDescent="0.25">
      <c r="E167" s="400"/>
    </row>
    <row r="168" spans="5:5" x14ac:dyDescent="0.25">
      <c r="E168" s="400"/>
    </row>
    <row r="169" spans="5:5" x14ac:dyDescent="0.25">
      <c r="E169" s="400"/>
    </row>
    <row r="170" spans="5:5" x14ac:dyDescent="0.25">
      <c r="E170" s="400"/>
    </row>
    <row r="171" spans="5:5" x14ac:dyDescent="0.25">
      <c r="E171" s="400"/>
    </row>
    <row r="172" spans="5:5" x14ac:dyDescent="0.25">
      <c r="E172" s="400"/>
    </row>
    <row r="173" spans="5:5" x14ac:dyDescent="0.25">
      <c r="E173" s="400"/>
    </row>
    <row r="174" spans="5:5" x14ac:dyDescent="0.25">
      <c r="E174" s="400"/>
    </row>
    <row r="175" spans="5:5" x14ac:dyDescent="0.25">
      <c r="E175" s="400"/>
    </row>
    <row r="176" spans="5:5" x14ac:dyDescent="0.25">
      <c r="E176" s="400"/>
    </row>
    <row r="177" spans="5:5" x14ac:dyDescent="0.25">
      <c r="E177" s="400"/>
    </row>
    <row r="178" spans="5:5" x14ac:dyDescent="0.25">
      <c r="E178" s="400"/>
    </row>
    <row r="179" spans="5:5" x14ac:dyDescent="0.25">
      <c r="E179" s="400"/>
    </row>
    <row r="180" spans="5:5" x14ac:dyDescent="0.25">
      <c r="E180" s="400"/>
    </row>
    <row r="181" spans="5:5" x14ac:dyDescent="0.25">
      <c r="E181" s="400"/>
    </row>
    <row r="182" spans="5:5" x14ac:dyDescent="0.25">
      <c r="E182" s="400"/>
    </row>
    <row r="183" spans="5:5" x14ac:dyDescent="0.25">
      <c r="E183" s="400"/>
    </row>
    <row r="184" spans="5:5" x14ac:dyDescent="0.25">
      <c r="E184" s="400"/>
    </row>
    <row r="185" spans="5:5" x14ac:dyDescent="0.25">
      <c r="E185" s="400"/>
    </row>
    <row r="186" spans="5:5" x14ac:dyDescent="0.25">
      <c r="E186" s="400"/>
    </row>
    <row r="187" spans="5:5" x14ac:dyDescent="0.25">
      <c r="E187" s="400"/>
    </row>
    <row r="188" spans="5:5" x14ac:dyDescent="0.25">
      <c r="E188" s="400"/>
    </row>
    <row r="189" spans="5:5" x14ac:dyDescent="0.25">
      <c r="E189" s="400"/>
    </row>
    <row r="190" spans="5:5" x14ac:dyDescent="0.25">
      <c r="E190" s="400"/>
    </row>
    <row r="191" spans="5:5" x14ac:dyDescent="0.25">
      <c r="E191" s="400"/>
    </row>
    <row r="192" spans="5:5" x14ac:dyDescent="0.25">
      <c r="E192" s="400"/>
    </row>
    <row r="193" spans="5:5" x14ac:dyDescent="0.25">
      <c r="E193" s="400"/>
    </row>
    <row r="194" spans="5:5" x14ac:dyDescent="0.25">
      <c r="E194" s="400"/>
    </row>
    <row r="195" spans="5:5" x14ac:dyDescent="0.25">
      <c r="E195" s="400"/>
    </row>
    <row r="196" spans="5:5" x14ac:dyDescent="0.25">
      <c r="E196" s="400"/>
    </row>
    <row r="197" spans="5:5" x14ac:dyDescent="0.25">
      <c r="E197" s="400"/>
    </row>
    <row r="198" spans="5:5" x14ac:dyDescent="0.25">
      <c r="E198" s="400"/>
    </row>
    <row r="199" spans="5:5" x14ac:dyDescent="0.25">
      <c r="E199" s="400"/>
    </row>
    <row r="200" spans="5:5" x14ac:dyDescent="0.25">
      <c r="E200" s="400"/>
    </row>
    <row r="201" spans="5:5" x14ac:dyDescent="0.25">
      <c r="E201" s="400"/>
    </row>
    <row r="202" spans="5:5" x14ac:dyDescent="0.25">
      <c r="E202" s="400"/>
    </row>
    <row r="203" spans="5:5" x14ac:dyDescent="0.25">
      <c r="E203" s="400"/>
    </row>
  </sheetData>
  <phoneticPr fontId="2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33</vt:i4>
      </vt:variant>
    </vt:vector>
  </HeadingPairs>
  <TitlesOfParts>
    <vt:vector size="41" baseType="lpstr">
      <vt:lpstr>Menu</vt:lpstr>
      <vt:lpstr>RawMaterials</vt:lpstr>
      <vt:lpstr>PriceCalculator</vt:lpstr>
      <vt:lpstr>Products</vt:lpstr>
      <vt:lpstr>Dashboard</vt:lpstr>
      <vt:lpstr>Database</vt:lpstr>
      <vt:lpstr>Calc</vt:lpstr>
      <vt:lpstr>ToU</vt:lpstr>
      <vt:lpstr>calculationtype</vt:lpstr>
      <vt:lpstr>calculatormerged</vt:lpstr>
      <vt:lpstr>calculatorproductname</vt:lpstr>
      <vt:lpstr>calculatorproductSKU</vt:lpstr>
      <vt:lpstr>callproduct</vt:lpstr>
      <vt:lpstr>chartvaluecount</vt:lpstr>
      <vt:lpstr>cleanProducts</vt:lpstr>
      <vt:lpstr>copyRange</vt:lpstr>
      <vt:lpstr>currency</vt:lpstr>
      <vt:lpstr>fixedmerged</vt:lpstr>
      <vt:lpstr>hideShow</vt:lpstr>
      <vt:lpstr>labormerged</vt:lpstr>
      <vt:lpstr>lastRowSave</vt:lpstr>
      <vt:lpstr>materialsmerged</vt:lpstr>
      <vt:lpstr>numberofproducts</vt:lpstr>
      <vt:lpstr>Dashboard!Print_Area</vt:lpstr>
      <vt:lpstr>Database!Print_Area</vt:lpstr>
      <vt:lpstr>Menu!Print_Area</vt:lpstr>
      <vt:lpstr>PriceCalculator!Print_Area</vt:lpstr>
      <vt:lpstr>ToU!Print_Area</vt:lpstr>
      <vt:lpstr>PriceCalculator!Print_Titles</vt:lpstr>
      <vt:lpstr>Products!Print_Titles</vt:lpstr>
      <vt:lpstr>RawMaterials!Print_Titles</vt:lpstr>
      <vt:lpstr>ProductBaseCostArea</vt:lpstr>
      <vt:lpstr>ProductCalculations</vt:lpstr>
      <vt:lpstr>ProductInfos</vt:lpstr>
      <vt:lpstr>productNames</vt:lpstr>
      <vt:lpstr>productSKUs</vt:lpstr>
      <vt:lpstr>reviseIndex</vt:lpstr>
      <vt:lpstr>reviseProductIndex</vt:lpstr>
      <vt:lpstr>shippingmerged</vt:lpstr>
      <vt:lpstr>shippingtype</vt:lpstr>
      <vt:lpstr>totalsalesprice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2023-04-10T21:55:05Z</cp:lastPrinted>
  <dcterms:created xsi:type="dcterms:W3CDTF">2023-03-16T06:57:26Z</dcterms:created>
  <dcterms:modified xsi:type="dcterms:W3CDTF">2023-04-12T06:55:10Z</dcterms:modified>
  <dc:title>Product Pricing Calculator V1 Template</dc:title>
  <dc:subject>Product Pricing Calculator V1</dc:subject>
  <dc:description>Product Pricing Calculator V1 template by Master Productivity Kit — masterproductivitykit.com</dc:description>
  <cp:keywords>Master Productivity Kit, Excel template, Google Sheets template</cp:keywords>
  <cp:category>Business Template</cp:category>
</cp:coreProperties>
</file>