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RENEWAL DEVELOPMENT\S311 - Marketing Campaign ROI Calculator (V2)\"/>
    </mc:Choice>
  </mc:AlternateContent>
  <xr:revisionPtr revIDLastSave="0" documentId="13_ncr:1_{FA250504-721B-4B99-8EAF-8AF1D4A088BC}" xr6:coauthVersionLast="47" xr6:coauthVersionMax="47" xr10:uidLastSave="{00000000-0000-0000-0000-000000000000}"/>
  <bookViews>
    <workbookView showSheetTabs="0" xWindow="-120" yWindow="-120" windowWidth="29040" windowHeight="15720" tabRatio="791" xr2:uid="{5B36CBF1-84C3-4D6A-8007-B28509267DB3}"/>
  </bookViews>
  <sheets>
    <sheet name="Dashboard" sheetId="14" r:id="rId1"/>
    <sheet name="GoogleAds" sheetId="9" r:id="rId2"/>
    <sheet name="Facebook" sheetId="10" r:id="rId3"/>
    <sheet name="Email" sheetId="11" r:id="rId4"/>
    <sheet name="Instagram" sheetId="12" r:id="rId5"/>
    <sheet name="Influencer" sheetId="13" r:id="rId6"/>
    <sheet name="LinkedIn" sheetId="16" r:id="rId7"/>
    <sheet name="Twitter" sheetId="17" r:id="rId8"/>
    <sheet name="Basic" sheetId="19" r:id="rId9"/>
    <sheet name="Calc" sheetId="21" state="hidden" r:id="rId10"/>
  </sheets>
  <definedNames>
    <definedName name="ChartChannels">OFFSET(Calc!$J$5,0,0,MAX(Calc!$J$14,1),1)</definedName>
    <definedName name="ChartClick">OFFSET(Calc!$M$5,0,0,MAX(Calc!$J$14,1),1)</definedName>
    <definedName name="ChartCost">OFFSET(Calc!$L$5,0,0,MAX(Calc!$J$14,1),1)</definedName>
    <definedName name="ChartCPC">OFFSET(Calc!$N$5,0,0,MAX(Calc!$J$14,1),1)</definedName>
    <definedName name="ChartRoi">OFFSET(Calc!$K$5,0,0,MAX(Calc!$J$14,1),1)</definedName>
    <definedName name="currency">Dashboard!$K$5</definedName>
    <definedName name="EmailCost">Email!$F$7:$F$9</definedName>
    <definedName name="EmailROI">Email!$L$33</definedName>
    <definedName name="FbCost">Facebook!$F$7:$F$9</definedName>
    <definedName name="FbROI">Facebook!$L$34</definedName>
    <definedName name="GoogleCost">GoogleAds!$F$7:$F$9</definedName>
    <definedName name="GoogleROI">GoogleAds!$L$24</definedName>
    <definedName name="googleroi">GoogleAds!$L$16</definedName>
    <definedName name="InflueancerCost">Influencer!$F$7:$F$8</definedName>
    <definedName name="InfluencerROI">Influencer!$L$25</definedName>
    <definedName name="InstagramCost">Instagram!$F$7:$F$10</definedName>
    <definedName name="InstagramROI">Instagram!$L$39</definedName>
    <definedName name="LInCost">LinkedIn!$F$7:$F$9</definedName>
    <definedName name="LinkedInROI">LinkedIn!$L$29</definedName>
    <definedName name="_xlnm.Print_Area" localSheetId="8">Basic!$B$2:$O$49</definedName>
    <definedName name="_xlnm.Print_Area" localSheetId="0">Dashboard!$B$2:$P$34</definedName>
    <definedName name="_xlnm.Print_Area" localSheetId="3">Email!$B$2:$O$49</definedName>
    <definedName name="_xlnm.Print_Area" localSheetId="2">Facebook!$B$2:$O$49</definedName>
    <definedName name="_xlnm.Print_Area" localSheetId="1">GoogleAds!$B$2:$O$49</definedName>
    <definedName name="_xlnm.Print_Area" localSheetId="5">Influencer!$B$2:$O$49</definedName>
    <definedName name="_xlnm.Print_Area" localSheetId="4">Instagram!$B$2:$O$49</definedName>
    <definedName name="_xlnm.Print_Area" localSheetId="6">LinkedIn!$B$2:$O$49</definedName>
    <definedName name="_xlnm.Print_Area" localSheetId="7">Twitter!$B$2:$O$49</definedName>
    <definedName name="TemplateCost">Basic!$F$7:$F$10</definedName>
    <definedName name="TemplateROI">Basic!$L$30</definedName>
    <definedName name="TwitterCost">Twitter!$F$7:$F$10</definedName>
    <definedName name="TwitterROI">Twitter!$L$32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8" i="11" l="1"/>
  <c r="L12" i="19"/>
  <c r="N4" i="21"/>
  <c r="L4" i="21"/>
  <c r="I12" i="21" l="1"/>
  <c r="I11" i="21"/>
  <c r="I10" i="21"/>
  <c r="I9" i="21"/>
  <c r="I8" i="21"/>
  <c r="I7" i="21"/>
  <c r="I6" i="21"/>
  <c r="I5" i="21"/>
  <c r="J8" i="21" l="1" a="1"/>
  <c r="J8" i="21" s="1"/>
  <c r="J7" i="21" a="1"/>
  <c r="J7" i="21" s="1"/>
  <c r="J6" i="21" a="1"/>
  <c r="J6" i="21" s="1"/>
  <c r="J12" i="21" a="1"/>
  <c r="J12" i="21" s="1"/>
  <c r="J5" i="21" a="1"/>
  <c r="J5" i="21" s="1"/>
  <c r="J10" i="21" a="1"/>
  <c r="J10" i="21" s="1"/>
  <c r="J9" i="21" a="1"/>
  <c r="J9" i="21" s="1"/>
  <c r="J11" i="21" a="1"/>
  <c r="J11" i="21" s="1"/>
  <c r="J14" i="21" l="1"/>
  <c r="E12" i="21" l="1"/>
  <c r="F16" i="14" s="1"/>
  <c r="E11" i="21"/>
  <c r="F15" i="14" s="1"/>
  <c r="E10" i="21"/>
  <c r="F14" i="14" s="1"/>
  <c r="F9" i="21"/>
  <c r="G13" i="14" s="1"/>
  <c r="E9" i="21"/>
  <c r="F13" i="14" s="1"/>
  <c r="F8" i="21"/>
  <c r="G12" i="14" s="1"/>
  <c r="E8" i="21"/>
  <c r="F12" i="14" s="1"/>
  <c r="E7" i="21"/>
  <c r="E6" i="21"/>
  <c r="E5" i="21"/>
  <c r="F9" i="14" s="1"/>
  <c r="G4" i="21"/>
  <c r="E4" i="21"/>
  <c r="H7" i="9"/>
  <c r="H11" i="9"/>
  <c r="H13" i="9"/>
  <c r="H14" i="9"/>
  <c r="H16" i="9"/>
  <c r="H17" i="9"/>
  <c r="H19" i="9"/>
  <c r="H12" i="9"/>
  <c r="K16" i="9"/>
  <c r="F11" i="14" l="1"/>
  <c r="F10" i="14"/>
  <c r="L8" i="19"/>
  <c r="L20" i="19" s="1"/>
  <c r="L22" i="19" s="1"/>
  <c r="L8" i="17"/>
  <c r="F11" i="21" s="1"/>
  <c r="G15" i="14" s="1"/>
  <c r="L8" i="16"/>
  <c r="L23" i="16" s="1"/>
  <c r="L9" i="13"/>
  <c r="G9" i="21" s="1"/>
  <c r="H13" i="14" s="1"/>
  <c r="L10" i="12"/>
  <c r="G8" i="21" s="1"/>
  <c r="H12" i="14" s="1"/>
  <c r="L8" i="10"/>
  <c r="L29" i="10" s="1"/>
  <c r="L24" i="19"/>
  <c r="L32" i="19" s="1"/>
  <c r="N32" i="19" s="1"/>
  <c r="L20" i="13"/>
  <c r="L23" i="13" s="1"/>
  <c r="N23" i="13" s="1"/>
  <c r="L28" i="10"/>
  <c r="L31" i="10" s="1"/>
  <c r="L34" i="10" s="1"/>
  <c r="D7" i="21" s="1"/>
  <c r="L28" i="11"/>
  <c r="L35" i="11" s="1"/>
  <c r="N35" i="11" s="1"/>
  <c r="H31" i="19"/>
  <c r="H37" i="17"/>
  <c r="H10" i="17"/>
  <c r="H34" i="16"/>
  <c r="H11" i="16"/>
  <c r="H29" i="13"/>
  <c r="H12" i="13"/>
  <c r="H10" i="13"/>
  <c r="H41" i="12"/>
  <c r="H15" i="12"/>
  <c r="H12" i="12"/>
  <c r="H34" i="11"/>
  <c r="H8" i="14"/>
  <c r="F8" i="14"/>
  <c r="K7" i="9"/>
  <c r="K15" i="13"/>
  <c r="K22" i="10"/>
  <c r="K17" i="10"/>
  <c r="L25" i="19"/>
  <c r="L14" i="19"/>
  <c r="L9" i="19"/>
  <c r="L8" i="12"/>
  <c r="L9" i="12"/>
  <c r="H7" i="17"/>
  <c r="H7" i="16"/>
  <c r="H7" i="13"/>
  <c r="H7" i="12"/>
  <c r="L19" i="17"/>
  <c r="L18" i="17"/>
  <c r="L17" i="17"/>
  <c r="L15" i="17"/>
  <c r="L14" i="17"/>
  <c r="L13" i="17"/>
  <c r="L11" i="17"/>
  <c r="L7" i="17"/>
  <c r="L23" i="17"/>
  <c r="L20" i="17"/>
  <c r="L27" i="16"/>
  <c r="N27" i="16" s="1"/>
  <c r="L16" i="16"/>
  <c r="L13" i="16"/>
  <c r="L14" i="16" s="1"/>
  <c r="L7" i="16"/>
  <c r="L8" i="13"/>
  <c r="H32" i="16"/>
  <c r="H31" i="16"/>
  <c r="H26" i="16"/>
  <c r="H25" i="16"/>
  <c r="H29" i="16"/>
  <c r="H28" i="16"/>
  <c r="L17" i="16"/>
  <c r="L34" i="12"/>
  <c r="L36" i="12" s="1"/>
  <c r="L31" i="12"/>
  <c r="L32" i="12" s="1"/>
  <c r="L17" i="19"/>
  <c r="L13" i="19"/>
  <c r="L7" i="19"/>
  <c r="L33" i="19"/>
  <c r="N33" i="19" s="1"/>
  <c r="L17" i="13"/>
  <c r="L18" i="13" s="1"/>
  <c r="L12" i="13"/>
  <c r="L14" i="13" s="1"/>
  <c r="L15" i="13"/>
  <c r="L11" i="13"/>
  <c r="L7" i="13"/>
  <c r="L25" i="11"/>
  <c r="L26" i="11" s="1"/>
  <c r="K23" i="11"/>
  <c r="K18" i="11"/>
  <c r="K16" i="11"/>
  <c r="L20" i="11"/>
  <c r="L17" i="11"/>
  <c r="L18" i="11" s="1"/>
  <c r="L15" i="11"/>
  <c r="L16" i="11" s="1"/>
  <c r="L13" i="11"/>
  <c r="L14" i="11"/>
  <c r="L11" i="11"/>
  <c r="L12" i="11" s="1"/>
  <c r="L11" i="9"/>
  <c r="N11" i="9" s="1"/>
  <c r="L10" i="9"/>
  <c r="N10" i="9" s="1"/>
  <c r="L9" i="9"/>
  <c r="N9" i="9" s="1"/>
  <c r="L8" i="9"/>
  <c r="L20" i="10"/>
  <c r="L22" i="10" s="1"/>
  <c r="L12" i="10"/>
  <c r="L13" i="10" s="1"/>
  <c r="L9" i="10"/>
  <c r="N9" i="10" s="1"/>
  <c r="H23" i="10"/>
  <c r="H22" i="10"/>
  <c r="L18" i="10"/>
  <c r="L16" i="10"/>
  <c r="L42" i="12"/>
  <c r="N42" i="12" s="1"/>
  <c r="L22" i="17"/>
  <c r="L24" i="17" s="1"/>
  <c r="L30" i="12"/>
  <c r="L28" i="12"/>
  <c r="N27" i="12"/>
  <c r="L27" i="12"/>
  <c r="L25" i="12"/>
  <c r="L26" i="12" s="1"/>
  <c r="L23" i="12"/>
  <c r="L22" i="12"/>
  <c r="L20" i="12"/>
  <c r="L7" i="12"/>
  <c r="L15" i="12"/>
  <c r="L14" i="12"/>
  <c r="L13" i="12"/>
  <c r="L12" i="12"/>
  <c r="H23" i="19"/>
  <c r="H22" i="19"/>
  <c r="L7" i="10"/>
  <c r="L27" i="9"/>
  <c r="N27" i="9" s="1"/>
  <c r="L7" i="9"/>
  <c r="L35" i="17"/>
  <c r="N35" i="17" s="1"/>
  <c r="K18" i="17"/>
  <c r="K17" i="17"/>
  <c r="K30" i="17"/>
  <c r="K24" i="17"/>
  <c r="H7" i="19"/>
  <c r="H15" i="19"/>
  <c r="H16" i="19"/>
  <c r="H18" i="19"/>
  <c r="H19" i="19"/>
  <c r="H25" i="19"/>
  <c r="H26" i="19"/>
  <c r="H29" i="19"/>
  <c r="H28" i="19"/>
  <c r="K14" i="19"/>
  <c r="H14" i="11"/>
  <c r="H17" i="11"/>
  <c r="H18" i="11"/>
  <c r="H15" i="11"/>
  <c r="K7" i="19"/>
  <c r="K7" i="17"/>
  <c r="K7" i="16"/>
  <c r="K7" i="13"/>
  <c r="K7" i="11"/>
  <c r="K7" i="10"/>
  <c r="K7" i="12"/>
  <c r="K10" i="19"/>
  <c r="K10" i="17"/>
  <c r="K10" i="16"/>
  <c r="K10" i="12"/>
  <c r="K10" i="10"/>
  <c r="K12" i="9"/>
  <c r="K27" i="16"/>
  <c r="K23" i="13"/>
  <c r="K9" i="13"/>
  <c r="K9" i="11"/>
  <c r="K26" i="19"/>
  <c r="K27" i="19"/>
  <c r="K28" i="19"/>
  <c r="K22" i="19"/>
  <c r="K32" i="19"/>
  <c r="K34" i="17"/>
  <c r="K31" i="16"/>
  <c r="K27" i="13"/>
  <c r="K41" i="12"/>
  <c r="K35" i="11"/>
  <c r="K26" i="9"/>
  <c r="E10" i="19"/>
  <c r="E9" i="19"/>
  <c r="E31" i="19"/>
  <c r="E32" i="19"/>
  <c r="E38" i="17"/>
  <c r="E35" i="16"/>
  <c r="E30" i="13"/>
  <c r="E42" i="12"/>
  <c r="E32" i="10"/>
  <c r="E35" i="11"/>
  <c r="E23" i="9"/>
  <c r="E34" i="16"/>
  <c r="E29" i="13"/>
  <c r="E41" i="12"/>
  <c r="E31" i="10"/>
  <c r="E22" i="9"/>
  <c r="E34" i="11"/>
  <c r="K36" i="10"/>
  <c r="K31" i="10"/>
  <c r="K30" i="10"/>
  <c r="K26" i="10"/>
  <c r="K18" i="10"/>
  <c r="K16" i="10"/>
  <c r="K15" i="10"/>
  <c r="K14" i="10"/>
  <c r="K14" i="17"/>
  <c r="K20" i="17"/>
  <c r="K28" i="17"/>
  <c r="K29" i="17"/>
  <c r="E37" i="17"/>
  <c r="E10" i="17"/>
  <c r="K14" i="16"/>
  <c r="K21" i="16"/>
  <c r="K25" i="16"/>
  <c r="K26" i="16"/>
  <c r="E9" i="16"/>
  <c r="K14" i="13"/>
  <c r="K18" i="13"/>
  <c r="K21" i="13"/>
  <c r="K22" i="13"/>
  <c r="E8" i="13"/>
  <c r="K37" i="12"/>
  <c r="K36" i="12"/>
  <c r="K35" i="12"/>
  <c r="K32" i="12"/>
  <c r="K23" i="12"/>
  <c r="K20" i="12"/>
  <c r="K19" i="12"/>
  <c r="E7" i="9"/>
  <c r="E9" i="17"/>
  <c r="L32" i="16"/>
  <c r="N32" i="16" s="1"/>
  <c r="E8" i="16"/>
  <c r="L28" i="13"/>
  <c r="N28" i="13" s="1"/>
  <c r="E7" i="13"/>
  <c r="L17" i="12"/>
  <c r="L18" i="12" s="1"/>
  <c r="H24" i="11"/>
  <c r="H28" i="11"/>
  <c r="L36" i="11"/>
  <c r="N36" i="11" s="1"/>
  <c r="K31" i="11"/>
  <c r="H29" i="11"/>
  <c r="H30" i="11"/>
  <c r="H19" i="11"/>
  <c r="H16" i="11"/>
  <c r="L7" i="11"/>
  <c r="H32" i="11"/>
  <c r="E7" i="19"/>
  <c r="E8" i="19"/>
  <c r="H13" i="11"/>
  <c r="H12" i="11"/>
  <c r="H11" i="11"/>
  <c r="E9" i="11"/>
  <c r="E8" i="11"/>
  <c r="L37" i="10"/>
  <c r="N37" i="10" s="1"/>
  <c r="L17" i="10"/>
  <c r="L15" i="10"/>
  <c r="H29" i="10"/>
  <c r="H28" i="10"/>
  <c r="N28" i="10"/>
  <c r="H31" i="10"/>
  <c r="H26" i="10"/>
  <c r="H25" i="10"/>
  <c r="H13" i="10"/>
  <c r="H12" i="10"/>
  <c r="H20" i="9"/>
  <c r="H24" i="9"/>
  <c r="E8" i="17"/>
  <c r="E7" i="17"/>
  <c r="E7" i="16"/>
  <c r="L21" i="11"/>
  <c r="E8" i="12"/>
  <c r="E10" i="12"/>
  <c r="E7" i="12"/>
  <c r="E9" i="12"/>
  <c r="K32" i="10"/>
  <c r="H11" i="10"/>
  <c r="E7" i="11"/>
  <c r="K30" i="11"/>
  <c r="K29" i="11"/>
  <c r="K26" i="11"/>
  <c r="H7" i="11"/>
  <c r="H33" i="10"/>
  <c r="H7" i="10"/>
  <c r="E9" i="10"/>
  <c r="E8" i="10"/>
  <c r="E7" i="10"/>
  <c r="K22" i="9"/>
  <c r="K20" i="9"/>
  <c r="K21" i="9"/>
  <c r="E9" i="9"/>
  <c r="E8" i="9"/>
  <c r="H22" i="9"/>
  <c r="L22" i="11" l="1"/>
  <c r="L23" i="11" s="1"/>
  <c r="L10" i="17"/>
  <c r="G11" i="21" s="1"/>
  <c r="H15" i="14" s="1"/>
  <c r="L21" i="12"/>
  <c r="L12" i="16"/>
  <c r="L22" i="13"/>
  <c r="L26" i="13" s="1"/>
  <c r="N26" i="13" s="1"/>
  <c r="L29" i="11"/>
  <c r="L21" i="19"/>
  <c r="L27" i="19"/>
  <c r="L31" i="19" s="1"/>
  <c r="N31" i="19" s="1"/>
  <c r="L28" i="19"/>
  <c r="N28" i="19" s="1"/>
  <c r="L16" i="19"/>
  <c r="L18" i="19" s="1"/>
  <c r="L26" i="19"/>
  <c r="L10" i="19"/>
  <c r="G12" i="21" s="1"/>
  <c r="H16" i="14" s="1"/>
  <c r="F12" i="21"/>
  <c r="G16" i="14" s="1"/>
  <c r="L9" i="17"/>
  <c r="L26" i="17"/>
  <c r="L27" i="17"/>
  <c r="L31" i="16"/>
  <c r="N31" i="16" s="1"/>
  <c r="L26" i="16"/>
  <c r="L29" i="16" s="1"/>
  <c r="D10" i="21" s="1"/>
  <c r="E14" i="14" s="1"/>
  <c r="L9" i="16"/>
  <c r="L19" i="16"/>
  <c r="L21" i="16" s="1"/>
  <c r="L25" i="16"/>
  <c r="L10" i="16"/>
  <c r="G10" i="21" s="1"/>
  <c r="H14" i="14" s="1"/>
  <c r="F10" i="21"/>
  <c r="G14" i="14" s="1"/>
  <c r="L19" i="12"/>
  <c r="L30" i="11"/>
  <c r="L31" i="11"/>
  <c r="N31" i="11" s="1"/>
  <c r="L9" i="11"/>
  <c r="G6" i="21" s="1"/>
  <c r="F6" i="21"/>
  <c r="L10" i="10"/>
  <c r="G7" i="21" s="1"/>
  <c r="F7" i="21"/>
  <c r="L12" i="9"/>
  <c r="G5" i="21" s="1"/>
  <c r="H9" i="14" s="1"/>
  <c r="F5" i="21"/>
  <c r="G9" i="14" s="1"/>
  <c r="L27" i="13"/>
  <c r="N27" i="13" s="1"/>
  <c r="L21" i="13"/>
  <c r="L13" i="13"/>
  <c r="E10" i="14"/>
  <c r="K6" i="21"/>
  <c r="L6" i="21" s="1"/>
  <c r="M6" i="21" s="1"/>
  <c r="N6" i="21" s="1"/>
  <c r="L32" i="10"/>
  <c r="N32" i="10" s="1"/>
  <c r="L36" i="10"/>
  <c r="N36" i="10" s="1"/>
  <c r="L30" i="10"/>
  <c r="L37" i="12"/>
  <c r="N37" i="12" s="1"/>
  <c r="L41" i="12"/>
  <c r="N41" i="12" s="1"/>
  <c r="L35" i="12"/>
  <c r="L39" i="12"/>
  <c r="D8" i="21" s="1"/>
  <c r="L40" i="12"/>
  <c r="N40" i="12" s="1"/>
  <c r="L14" i="10"/>
  <c r="L21" i="10"/>
  <c r="L35" i="10"/>
  <c r="N35" i="10" s="1"/>
  <c r="L24" i="10"/>
  <c r="L15" i="9"/>
  <c r="N15" i="9" s="1"/>
  <c r="L18" i="9"/>
  <c r="L19" i="9"/>
  <c r="L14" i="9"/>
  <c r="L16" i="9" s="1"/>
  <c r="L30" i="19" l="1"/>
  <c r="D12" i="21" s="1"/>
  <c r="E16" i="14" s="1"/>
  <c r="K10" i="21"/>
  <c r="L10" i="21" s="1"/>
  <c r="M10" i="21" s="1"/>
  <c r="N10" i="21" s="1"/>
  <c r="L30" i="16"/>
  <c r="N30" i="16" s="1"/>
  <c r="L25" i="13"/>
  <c r="D9" i="21" s="1"/>
  <c r="K9" i="21" s="1"/>
  <c r="L9" i="21" s="1"/>
  <c r="M9" i="21" s="1"/>
  <c r="N9" i="21" s="1"/>
  <c r="L20" i="16"/>
  <c r="L24" i="16" s="1"/>
  <c r="L28" i="17"/>
  <c r="L34" i="17"/>
  <c r="N34" i="17" s="1"/>
  <c r="L29" i="17"/>
  <c r="L30" i="17"/>
  <c r="N30" i="17" s="1"/>
  <c r="E12" i="14"/>
  <c r="K8" i="21"/>
  <c r="L8" i="21" s="1"/>
  <c r="M8" i="21" s="1"/>
  <c r="N8" i="21" s="1"/>
  <c r="L34" i="11"/>
  <c r="N34" i="11" s="1"/>
  <c r="L33" i="11"/>
  <c r="D6" i="21" s="1"/>
  <c r="N10" i="10"/>
  <c r="G11" i="14"/>
  <c r="G10" i="14"/>
  <c r="H11" i="14"/>
  <c r="H10" i="14"/>
  <c r="L25" i="10"/>
  <c r="L26" i="10"/>
  <c r="L22" i="9"/>
  <c r="N22" i="9" s="1"/>
  <c r="L20" i="9"/>
  <c r="L21" i="9"/>
  <c r="N19" i="9"/>
  <c r="L26" i="9"/>
  <c r="N26" i="9" s="1"/>
  <c r="N8" i="9"/>
  <c r="K12" i="21" l="1"/>
  <c r="L12" i="21" s="1"/>
  <c r="M12" i="21" s="1"/>
  <c r="N12" i="21" s="1"/>
  <c r="E13" i="14"/>
  <c r="L32" i="17"/>
  <c r="D11" i="21" s="1"/>
  <c r="L33" i="17"/>
  <c r="N33" i="17" s="1"/>
  <c r="K7" i="21"/>
  <c r="L7" i="21" s="1"/>
  <c r="M7" i="21" s="1"/>
  <c r="N7" i="21" s="1"/>
  <c r="E11" i="14"/>
  <c r="L25" i="9"/>
  <c r="N25" i="9" s="1"/>
  <c r="L24" i="9"/>
  <c r="D5" i="21" s="1"/>
  <c r="E15" i="14" l="1"/>
  <c r="K11" i="21"/>
  <c r="L11" i="21" s="1"/>
  <c r="M11" i="21" s="1"/>
  <c r="N11" i="21" s="1"/>
  <c r="E9" i="14"/>
  <c r="K5" i="21"/>
  <c r="L5" i="21" s="1"/>
  <c r="M5" i="21" s="1"/>
  <c r="N5" i="21" s="1"/>
</calcChain>
</file>

<file path=xl/sharedStrings.xml><?xml version="1.0" encoding="utf-8"?>
<sst xmlns="http://schemas.openxmlformats.org/spreadsheetml/2006/main" count="513" uniqueCount="170">
  <si>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</si>
  <si>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</si>
  <si>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</si>
  <si>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</si>
  <si>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</si>
  <si>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</si>
  <si>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</si>
  <si>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</si>
  <si>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LinkedIn</t>
  </si>
  <si>
    <t>Break even sales number (#)</t>
  </si>
  <si>
    <t>Sale rate (%)</t>
  </si>
  <si>
    <t>Conversion rate (%)</t>
  </si>
  <si>
    <t>Sent emails volume (#)</t>
  </si>
  <si>
    <t>Google Ads</t>
  </si>
  <si>
    <t>Conversion Rate (%)</t>
  </si>
  <si>
    <t>CAMPAIGN INPUTS</t>
  </si>
  <si>
    <t>Clicks (#)</t>
  </si>
  <si>
    <t>Quality Score (1-10)</t>
  </si>
  <si>
    <t>Close (sale) rate (%)</t>
  </si>
  <si>
    <t>$</t>
  </si>
  <si>
    <t>CALCULATIONS</t>
  </si>
  <si>
    <t>ROAS (Return on ads spend)</t>
  </si>
  <si>
    <t>ROI (Return on investment) (%)</t>
  </si>
  <si>
    <t>Impressions (#)</t>
  </si>
  <si>
    <t>Shared post (#)</t>
  </si>
  <si>
    <t>Comments (#)</t>
  </si>
  <si>
    <t>Watched (if video) (#)</t>
  </si>
  <si>
    <t>Other not listed above interactions (#)</t>
  </si>
  <si>
    <t>Reactions (👍 ❤️ 😂 ☺️ 😯 😢 😡 ) (#)</t>
  </si>
  <si>
    <t>Engagement Rate (%)</t>
  </si>
  <si>
    <t>Unsubscribe rate (%)</t>
  </si>
  <si>
    <t>List growth rate (%)</t>
  </si>
  <si>
    <t>Spam complaints (%)</t>
  </si>
  <si>
    <t>Forward rate (%)</t>
  </si>
  <si>
    <t>Email sharing rate (%)</t>
  </si>
  <si>
    <t>Delivered emails (#)</t>
  </si>
  <si>
    <t>Clickthrough Rate (CTR) (%)</t>
  </si>
  <si>
    <t>Likes (#)</t>
  </si>
  <si>
    <t>Saves (#)</t>
  </si>
  <si>
    <t>Story replies (#)</t>
  </si>
  <si>
    <t>Total number of engagements (#)</t>
  </si>
  <si>
    <t>Reach (#)</t>
  </si>
  <si>
    <t>Story Taps Forward (#)</t>
  </si>
  <si>
    <t>Story Exits (#)</t>
  </si>
  <si>
    <t>Reach rate (%)</t>
  </si>
  <si>
    <t>Mentions (#)</t>
  </si>
  <si>
    <t>Email clicks (#)</t>
  </si>
  <si>
    <t xml:space="preserve">Email click rate (%) </t>
  </si>
  <si>
    <t>Get direction clicks (#)</t>
  </si>
  <si>
    <t>Get direction rate (%)</t>
  </si>
  <si>
    <t>Website clicks (#)</t>
  </si>
  <si>
    <t>Website clicks rate (%)</t>
  </si>
  <si>
    <t>Video views (#)</t>
  </si>
  <si>
    <t>Video view rate (%)</t>
  </si>
  <si>
    <t>Tags on branded hashtag (#)</t>
  </si>
  <si>
    <t>Swipes away (#)</t>
  </si>
  <si>
    <t>Post replies (#)</t>
  </si>
  <si>
    <t>Shortcuts (#)</t>
  </si>
  <si>
    <t>Completion rate (%)</t>
  </si>
  <si>
    <t>Conversions (#)</t>
  </si>
  <si>
    <t>Sales (Campaign Buyers) (#)</t>
  </si>
  <si>
    <t>Bounce rate (total) (%)</t>
  </si>
  <si>
    <t>• Hard bounce rate (%)</t>
  </si>
  <si>
    <t>Additional Information</t>
  </si>
  <si>
    <t>Total current Followers (#)</t>
  </si>
  <si>
    <t>Net Follower growth (#)</t>
  </si>
  <si>
    <t>Total Engagements (#)</t>
  </si>
  <si>
    <t>Profile clicks (visits) (#)</t>
  </si>
  <si>
    <t>Story Link Clicks (#)</t>
  </si>
  <si>
    <t>Engagements per follower (#)</t>
  </si>
  <si>
    <t>Story performance (%)</t>
  </si>
  <si>
    <t>NAME</t>
  </si>
  <si>
    <t>Email Marketing</t>
  </si>
  <si>
    <t>Influencer Marketing</t>
  </si>
  <si>
    <t>Twitter</t>
  </si>
  <si>
    <t>Clicks from display network (#)</t>
  </si>
  <si>
    <t xml:space="preserve"> • GSN CTR (%)</t>
  </si>
  <si>
    <t xml:space="preserve"> • GDN CTR (%)</t>
  </si>
  <si>
    <t>New followers (#)</t>
  </si>
  <si>
    <t>New subscribers (#)</t>
  </si>
  <si>
    <t>Not delivered emails (#)</t>
  </si>
  <si>
    <t>Close (sales) rate (%)</t>
  </si>
  <si>
    <t>Total Open rate (%)</t>
  </si>
  <si>
    <t>Total Click through Rate (CTR)</t>
  </si>
  <si>
    <t>Unsubscribed (#)</t>
  </si>
  <si>
    <t>Email share (#)</t>
  </si>
  <si>
    <t>Email forwarded (#)</t>
  </si>
  <si>
    <t>Spam complaints (#)</t>
  </si>
  <si>
    <t xml:space="preserve">Click through rate (CTR) (%) </t>
  </si>
  <si>
    <t>Followers growth rate (%)</t>
  </si>
  <si>
    <t>Ad clicks (#)</t>
  </si>
  <si>
    <t>Profile visits rate (%)</t>
  </si>
  <si>
    <t>Followers/following ratio</t>
  </si>
  <si>
    <t>Followers (#)</t>
  </si>
  <si>
    <t>Shares (#)</t>
  </si>
  <si>
    <t>Brand mentions (#)</t>
  </si>
  <si>
    <t>Active Audience Type (%)</t>
  </si>
  <si>
    <t>Follower growth (%)</t>
  </si>
  <si>
    <t>Post frequency (#/day)</t>
  </si>
  <si>
    <t>Sales rate (%)</t>
  </si>
  <si>
    <t>Conversion (#)</t>
  </si>
  <si>
    <t>Sales (Buyers) (#)</t>
  </si>
  <si>
    <t>Replies (#)</t>
  </si>
  <si>
    <t>Profile Views (#)</t>
  </si>
  <si>
    <t>Reactions (Likes f.ex.) (#)</t>
  </si>
  <si>
    <t>Engagement rate (%)</t>
  </si>
  <si>
    <t>Clicks on the update (#)</t>
  </si>
  <si>
    <t>Clicks on the image or gif (#)</t>
  </si>
  <si>
    <t>Link Clicks (#)</t>
  </si>
  <si>
    <t>Comments/likes ratio (%)</t>
  </si>
  <si>
    <t>Engagements (#)</t>
  </si>
  <si>
    <t>Tweets (#)</t>
  </si>
  <si>
    <t>Total followers (#)</t>
  </si>
  <si>
    <t>Total Impressions (#)</t>
  </si>
  <si>
    <t>Video Views (#)</t>
  </si>
  <si>
    <t>Number of video views (#)</t>
  </si>
  <si>
    <t>Video completion rate (%)</t>
  </si>
  <si>
    <t>Video retention (%)</t>
  </si>
  <si>
    <t>Cost per Subscription</t>
  </si>
  <si>
    <t>Total Subscribers (#)</t>
  </si>
  <si>
    <t>Story Reach (#)</t>
  </si>
  <si>
    <t>Story Exit rate (%)</t>
  </si>
  <si>
    <t>Subscription growth rate (%)</t>
  </si>
  <si>
    <t>New Followers (#)</t>
  </si>
  <si>
    <t>Followers Growth Rate (%)</t>
  </si>
  <si>
    <t>Link clicks (#)</t>
  </si>
  <si>
    <t>Permalink clicks (#)</t>
  </si>
  <si>
    <t>GOOGLE ADS METRICS</t>
  </si>
  <si>
    <t>FACEBOOK METRICS</t>
  </si>
  <si>
    <t>EMAIL METRICS</t>
  </si>
  <si>
    <t>INSTAGRAM METRICS</t>
  </si>
  <si>
    <t>INFLUENCER MARKETING METRICS</t>
  </si>
  <si>
    <t>LINKEDIN METRICS</t>
  </si>
  <si>
    <t>TWITTER METRICS</t>
  </si>
  <si>
    <t>Domain "A" open rate (%)</t>
  </si>
  <si>
    <t>Domain "B" open rate (%)</t>
  </si>
  <si>
    <t>Domain "A" click rate (%)</t>
  </si>
  <si>
    <t>Domain "B" click rate (%)</t>
  </si>
  <si>
    <t>Mobile open rate (%)</t>
  </si>
  <si>
    <t>Mobile click rate (%)</t>
  </si>
  <si>
    <t>COMPARISON</t>
  </si>
  <si>
    <t>CLICK #</t>
  </si>
  <si>
    <t>CURRENCY:</t>
  </si>
  <si>
    <t>Facebook</t>
  </si>
  <si>
    <t>Template</t>
  </si>
  <si>
    <t>ROI (%)</t>
  </si>
  <si>
    <t>DASHBOARD</t>
  </si>
  <si>
    <t>Output …</t>
  </si>
  <si>
    <t>Input …</t>
  </si>
  <si>
    <t>MARKETING METRICS TEMPLATE</t>
  </si>
  <si>
    <t>MARKETING CAMPAIGN ROI CALCULATOR</t>
  </si>
  <si>
    <r>
      <rPr>
        <sz val="11"/>
        <rFont val="Arial"/>
        <family val="2"/>
      </rPr>
      <t>•</t>
    </r>
    <r>
      <rPr>
        <sz val="11"/>
        <rFont val="Arial"/>
        <family val="2"/>
        <scheme val="minor"/>
      </rPr>
      <t xml:space="preserve"> Soft bounce rate (%)</t>
    </r>
  </si>
  <si>
    <t>Your new calculation</t>
  </si>
  <si>
    <t>My alternative CPC calculation</t>
  </si>
  <si>
    <t>Instagram Ads</t>
  </si>
  <si>
    <t>Clicks from search network (#)</t>
  </si>
  <si>
    <t>Relevance Score (1-10)</t>
  </si>
  <si>
    <t>Opened emails (#)</t>
  </si>
  <si>
    <t>Story Taps Back (#)</t>
  </si>
  <si>
    <t>Audience Quality Score</t>
  </si>
  <si>
    <t>Search appearance (#)</t>
  </si>
  <si>
    <t>Engagement Rate (for specific Tweet) (%)</t>
  </si>
  <si>
    <t>Impressions (for a specific Tweet) (#)</t>
  </si>
  <si>
    <t>Engagements (for a specific Tweet) (#)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</si>
  <si>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</si>
  <si>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With Blanks</t>
  </si>
  <si>
    <t>Without blanks</t>
  </si>
  <si>
    <t>Chart Source #</t>
  </si>
  <si>
    <t>Main Data Source</t>
  </si>
  <si>
    <t>Chart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</si>
</sst>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4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i/>
      <sz val="11"/>
      <color rgb="FFFF0000"/>
      <name val="Arial"/>
      <family val="2"/>
      <charset val="162"/>
      <scheme val="minor"/>
    </font>
    <font>
      <u/>
      <sz val="11"/>
      <color theme="0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16"/>
      <name val="Arial"/>
      <family val="2"/>
      <scheme val="minor"/>
    </font>
    <font>
      <sz val="10"/>
      <name val="Arial"/>
      <family val="2"/>
      <scheme val="minor"/>
    </font>
    <font>
      <i/>
      <sz val="10"/>
      <name val="Arial"/>
      <family val="2"/>
      <scheme val="minor"/>
    </font>
    <font>
      <i/>
      <sz val="11"/>
      <name val="Arial"/>
      <family val="2"/>
      <scheme val="minor"/>
    </font>
    <font>
      <sz val="16"/>
      <name val="Arial"/>
      <family val="2"/>
      <scheme val="minor"/>
    </font>
    <font>
      <u/>
      <sz val="1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</font>
    <font>
      <i/>
      <sz val="12"/>
      <color rgb="FF262626"/>
      <name val="Arial"/>
      <family val="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2EFD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677E9D"/>
      </left>
      <right/>
      <top/>
      <bottom/>
      <diagonal/>
    </border>
    <border>
      <left/>
      <right style="thin">
        <color rgb="FF677E9D"/>
      </right>
      <top/>
      <bottom/>
      <diagonal/>
    </border>
    <border>
      <left style="thin">
        <color rgb="FF677E9D"/>
      </left>
      <right/>
      <top/>
      <bottom style="thin">
        <color rgb="FF677E9D"/>
      </bottom>
      <diagonal/>
    </border>
    <border>
      <left/>
      <right/>
      <top/>
      <bottom style="thin">
        <color rgb="FF677E9D"/>
      </bottom>
      <diagonal/>
    </border>
    <border>
      <left/>
      <right style="thin">
        <color rgb="FF677E9D"/>
      </right>
      <top/>
      <bottom style="thin">
        <color rgb="FF677E9D"/>
      </bottom>
      <diagonal/>
    </border>
  </borders>
  <cellStyleXfs count="8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2" fillId="0" borderId="0"/>
    <xf numFmtId="0" fontId="1" fillId="0" borderId="0"/>
  </cellStyleXfs>
  <cellXfs count="223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Border="1"/>
    <xf numFmtId="0" fontId="0" fillId="2" borderId="0" xfId="0" applyFont="1" applyFill="1" applyAlignment="1">
      <alignment vertical="center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0" fontId="16" fillId="2" borderId="0" xfId="4" applyFont="1" applyFill="1" applyAlignment="1" applyProtection="1">
      <alignment vertical="center"/>
      <protection locked="0"/>
    </xf>
    <xf numFmtId="49" fontId="11" fillId="3" borderId="0" xfId="0" applyNumberFormat="1" applyFont="1" applyFill="1" applyAlignment="1">
      <alignment horizontal="left" vertical="center" indent="1"/>
    </xf>
    <xf numFmtId="0" fontId="22" fillId="2" borderId="0" xfId="0" applyFont="1" applyFill="1" applyAlignment="1">
      <alignment vertical="center"/>
    </xf>
    <xf numFmtId="0" fontId="22" fillId="3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6" fillId="2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5" fillId="2" borderId="0" xfId="0" applyFont="1" applyFill="1" applyAlignment="1">
      <alignment vertical="center" shrinkToFit="1"/>
    </xf>
    <xf numFmtId="0" fontId="20" fillId="4" borderId="0" xfId="0" applyFont="1" applyFill="1" applyAlignment="1">
      <alignment horizontal="right" vertical="center"/>
    </xf>
    <xf numFmtId="0" fontId="21" fillId="5" borderId="0" xfId="0" applyFont="1" applyFill="1" applyAlignment="1">
      <alignment horizontal="right" vertical="center"/>
    </xf>
    <xf numFmtId="0" fontId="0" fillId="2" borderId="0" xfId="0" applyFill="1" applyBorder="1"/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shrinkToFit="1"/>
    </xf>
    <xf numFmtId="0" fontId="0" fillId="2" borderId="0" xfId="0" applyFill="1" applyAlignment="1">
      <alignment horizontal="center" vertical="center"/>
    </xf>
    <xf numFmtId="0" fontId="0" fillId="2" borderId="0" xfId="0" applyFont="1" applyFill="1"/>
    <xf numFmtId="0" fontId="26" fillId="2" borderId="0" xfId="0" applyFont="1" applyFill="1" applyAlignment="1">
      <alignment vertical="center"/>
    </xf>
    <xf numFmtId="0" fontId="26" fillId="2" borderId="0" xfId="0" applyFont="1" applyFill="1" applyAlignment="1">
      <alignment horizontal="left" vertical="center"/>
    </xf>
    <xf numFmtId="0" fontId="0" fillId="2" borderId="0" xfId="0" applyFont="1" applyFill="1" applyAlignment="1">
      <alignment vertical="center" shrinkToFit="1"/>
    </xf>
    <xf numFmtId="0" fontId="0" fillId="2" borderId="0" xfId="0" applyFont="1" applyFill="1" applyAlignment="1">
      <alignment horizontal="center" vertical="center"/>
    </xf>
    <xf numFmtId="0" fontId="20" fillId="4" borderId="4" xfId="0" applyFont="1" applyFill="1" applyBorder="1" applyAlignment="1">
      <alignment horizontal="right" vertical="center"/>
    </xf>
    <xf numFmtId="49" fontId="11" fillId="3" borderId="0" xfId="0" applyNumberFormat="1" applyFont="1" applyFill="1" applyAlignment="1">
      <alignment horizontal="left" vertical="center"/>
    </xf>
    <xf numFmtId="0" fontId="0" fillId="7" borderId="0" xfId="0" applyFill="1" applyBorder="1" applyAlignment="1">
      <alignment vertical="center"/>
    </xf>
    <xf numFmtId="0" fontId="0" fillId="7" borderId="0" xfId="0" applyFont="1" applyFill="1" applyBorder="1" applyAlignment="1">
      <alignment vertical="center"/>
    </xf>
    <xf numFmtId="3" fontId="0" fillId="7" borderId="0" xfId="0" applyNumberFormat="1" applyFont="1" applyFill="1" applyBorder="1" applyAlignment="1" applyProtection="1">
      <alignment horizontal="center" vertical="center"/>
      <protection locked="0"/>
    </xf>
    <xf numFmtId="0" fontId="0" fillId="7" borderId="0" xfId="0" applyFont="1" applyFill="1" applyBorder="1" applyAlignment="1" applyProtection="1">
      <alignment horizontal="center" vertical="center"/>
      <protection locked="0"/>
    </xf>
    <xf numFmtId="10" fontId="0" fillId="7" borderId="0" xfId="0" applyNumberFormat="1" applyFont="1" applyFill="1" applyBorder="1" applyAlignment="1" applyProtection="1">
      <alignment horizontal="center" vertical="center"/>
      <protection locked="0"/>
    </xf>
    <xf numFmtId="4" fontId="0" fillId="7" borderId="0" xfId="0" applyNumberFormat="1" applyFont="1" applyFill="1" applyBorder="1" applyAlignment="1" applyProtection="1">
      <alignment horizontal="center" vertical="center"/>
      <protection locked="0"/>
    </xf>
    <xf numFmtId="0" fontId="0" fillId="7" borderId="0" xfId="0" applyNumberFormat="1" applyFont="1" applyFill="1" applyBorder="1" applyAlignment="1" applyProtection="1">
      <alignment vertical="center"/>
      <protection locked="0"/>
    </xf>
    <xf numFmtId="0" fontId="0" fillId="7" borderId="0" xfId="0" applyNumberFormat="1" applyFont="1" applyFill="1" applyBorder="1" applyAlignment="1" applyProtection="1">
      <alignment horizontal="center" vertical="center"/>
      <protection locked="0"/>
    </xf>
    <xf numFmtId="10" fontId="0" fillId="7" borderId="0" xfId="0" applyNumberFormat="1" applyFont="1" applyFill="1" applyBorder="1" applyAlignment="1">
      <alignment horizontal="center" vertical="center"/>
    </xf>
    <xf numFmtId="49" fontId="8" fillId="5" borderId="0" xfId="0" applyNumberFormat="1" applyFont="1" applyFill="1" applyAlignment="1">
      <alignment horizontal="left" vertical="center" indent="1"/>
    </xf>
    <xf numFmtId="49" fontId="8" fillId="5" borderId="0" xfId="0" applyNumberFormat="1" applyFont="1" applyFill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49" fontId="8" fillId="5" borderId="0" xfId="0" applyNumberFormat="1" applyFont="1" applyFill="1" applyBorder="1" applyAlignment="1">
      <alignment horizontal="left" vertical="center" indent="1"/>
    </xf>
    <xf numFmtId="0" fontId="25" fillId="12" borderId="0" xfId="0" applyFont="1" applyFill="1" applyBorder="1" applyAlignment="1">
      <alignment vertical="center" shrinkToFit="1"/>
    </xf>
    <xf numFmtId="0" fontId="23" fillId="12" borderId="0" xfId="0" applyFont="1" applyFill="1" applyBorder="1" applyAlignment="1">
      <alignment horizontal="center" vertical="center"/>
    </xf>
    <xf numFmtId="0" fontId="0" fillId="12" borderId="0" xfId="0" applyFill="1" applyBorder="1" applyAlignment="1">
      <alignment vertical="center"/>
    </xf>
    <xf numFmtId="49" fontId="8" fillId="12" borderId="0" xfId="0" applyNumberFormat="1" applyFont="1" applyFill="1" applyBorder="1" applyAlignment="1">
      <alignment horizontal="left" vertical="center" indent="1"/>
    </xf>
    <xf numFmtId="0" fontId="24" fillId="12" borderId="0" xfId="0" applyFont="1" applyFill="1" applyBorder="1" applyAlignment="1">
      <alignment horizontal="centerContinuous" vertical="center"/>
    </xf>
    <xf numFmtId="0" fontId="23" fillId="12" borderId="0" xfId="0" applyFont="1" applyFill="1" applyBorder="1" applyAlignment="1">
      <alignment horizontal="centerContinuous" vertical="center"/>
    </xf>
    <xf numFmtId="0" fontId="25" fillId="0" borderId="0" xfId="0" applyFont="1" applyFill="1" applyBorder="1" applyAlignment="1">
      <alignment vertical="center" shrinkToFit="1"/>
    </xf>
    <xf numFmtId="49" fontId="8" fillId="0" borderId="0" xfId="0" applyNumberFormat="1" applyFont="1" applyFill="1" applyBorder="1" applyAlignment="1">
      <alignment horizontal="left" vertical="center" indent="1"/>
    </xf>
    <xf numFmtId="0" fontId="23" fillId="0" borderId="0" xfId="0" applyFont="1" applyFill="1" applyBorder="1" applyAlignment="1">
      <alignment horizontal="centerContinuous" vertical="center"/>
    </xf>
    <xf numFmtId="0" fontId="24" fillId="0" borderId="0" xfId="0" applyFont="1" applyFill="1" applyBorder="1" applyAlignment="1">
      <alignment horizontal="centerContinuous" vertical="center"/>
    </xf>
    <xf numFmtId="0" fontId="23" fillId="0" borderId="0" xfId="0" applyFont="1" applyFill="1" applyBorder="1" applyAlignment="1">
      <alignment horizontal="center" vertical="center"/>
    </xf>
    <xf numFmtId="0" fontId="30" fillId="2" borderId="0" xfId="0" applyFont="1" applyFill="1" applyAlignment="1">
      <alignment vertical="center"/>
    </xf>
    <xf numFmtId="0" fontId="32" fillId="0" borderId="0" xfId="0" applyFont="1" applyFill="1" applyBorder="1" applyAlignment="1">
      <alignment vertical="center" shrinkToFit="1"/>
    </xf>
    <xf numFmtId="0" fontId="33" fillId="0" borderId="0" xfId="0" applyFont="1" applyFill="1" applyBorder="1" applyAlignment="1">
      <alignment vertical="center" shrinkToFit="1"/>
    </xf>
    <xf numFmtId="0" fontId="33" fillId="0" borderId="0" xfId="0" applyFont="1" applyFill="1" applyBorder="1" applyAlignment="1" applyProtection="1">
      <alignment vertical="center" shrinkToFit="1"/>
      <protection hidden="1"/>
    </xf>
    <xf numFmtId="0" fontId="33" fillId="0" borderId="0" xfId="0" applyNumberFormat="1" applyFont="1" applyFill="1" applyBorder="1" applyAlignment="1" applyProtection="1">
      <alignment vertical="center" shrinkToFit="1"/>
      <protection locked="0"/>
    </xf>
    <xf numFmtId="0" fontId="32" fillId="2" borderId="0" xfId="0" applyFont="1" applyFill="1" applyAlignment="1">
      <alignment vertical="center" shrinkToFit="1"/>
    </xf>
    <xf numFmtId="0" fontId="34" fillId="2" borderId="0" xfId="0" applyFont="1" applyFill="1"/>
    <xf numFmtId="0" fontId="30" fillId="0" borderId="0" xfId="0" applyNumberFormat="1" applyFont="1" applyFill="1" applyBorder="1" applyAlignment="1" applyProtection="1">
      <alignment vertical="center" shrinkToFit="1"/>
      <protection locked="0"/>
    </xf>
    <xf numFmtId="0" fontId="30" fillId="2" borderId="0" xfId="0" applyFont="1" applyFill="1" applyAlignment="1">
      <alignment vertical="center" shrinkToFit="1"/>
    </xf>
    <xf numFmtId="0" fontId="30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 shrinkToFit="1"/>
    </xf>
    <xf numFmtId="0" fontId="33" fillId="0" borderId="0" xfId="0" applyFont="1" applyFill="1" applyBorder="1" applyAlignment="1" applyProtection="1">
      <alignment vertical="center" shrinkToFit="1"/>
      <protection locked="0"/>
    </xf>
    <xf numFmtId="49" fontId="31" fillId="0" borderId="0" xfId="0" applyNumberFormat="1" applyFont="1" applyFill="1" applyBorder="1" applyAlignment="1">
      <alignment horizontal="left" vertical="center" indent="1"/>
    </xf>
    <xf numFmtId="0" fontId="29" fillId="0" borderId="0" xfId="0" applyFont="1" applyFill="1" applyBorder="1" applyAlignment="1">
      <alignment horizontal="centerContinuous" vertical="center"/>
    </xf>
    <xf numFmtId="0" fontId="37" fillId="0" borderId="0" xfId="0" applyFont="1" applyFill="1" applyBorder="1" applyAlignment="1">
      <alignment horizontal="centerContinuous" vertical="center"/>
    </xf>
    <xf numFmtId="9" fontId="33" fillId="0" borderId="0" xfId="0" applyNumberFormat="1" applyFont="1" applyFill="1" applyBorder="1" applyAlignment="1" applyProtection="1">
      <alignment vertical="center" shrinkToFit="1"/>
      <protection locked="0"/>
    </xf>
    <xf numFmtId="49" fontId="35" fillId="0" borderId="0" xfId="0" applyNumberFormat="1" applyFont="1" applyFill="1" applyBorder="1" applyAlignment="1">
      <alignment horizontal="left" vertical="center" shrinkToFit="1"/>
    </xf>
    <xf numFmtId="4" fontId="30" fillId="0" borderId="0" xfId="0" applyNumberFormat="1" applyFont="1" applyFill="1" applyBorder="1" applyAlignment="1" applyProtection="1">
      <alignment vertical="center" shrinkToFit="1"/>
      <protection locked="0"/>
    </xf>
    <xf numFmtId="0" fontId="30" fillId="0" borderId="0" xfId="0" applyFont="1" applyFill="1" applyBorder="1" applyAlignment="1">
      <alignment horizontal="left" vertical="center" shrinkToFit="1"/>
    </xf>
    <xf numFmtId="4" fontId="30" fillId="0" borderId="0" xfId="0" applyNumberFormat="1" applyFont="1" applyFill="1" applyBorder="1" applyAlignment="1" applyProtection="1">
      <alignment vertical="center" shrinkToFit="1"/>
      <protection hidden="1"/>
    </xf>
    <xf numFmtId="3" fontId="30" fillId="0" borderId="0" xfId="0" applyNumberFormat="1" applyFont="1" applyFill="1" applyBorder="1" applyAlignment="1" applyProtection="1">
      <alignment vertical="center" shrinkToFit="1"/>
      <protection hidden="1"/>
    </xf>
    <xf numFmtId="10" fontId="30" fillId="0" borderId="0" xfId="0" applyNumberFormat="1" applyFont="1" applyFill="1" applyBorder="1" applyAlignment="1" applyProtection="1">
      <alignment vertical="center" shrinkToFit="1"/>
      <protection hidden="1"/>
    </xf>
    <xf numFmtId="3" fontId="30" fillId="0" borderId="0" xfId="0" applyNumberFormat="1" applyFont="1" applyFill="1" applyBorder="1" applyAlignment="1" applyProtection="1">
      <alignment vertical="center" shrinkToFit="1"/>
      <protection locked="0"/>
    </xf>
    <xf numFmtId="10" fontId="30" fillId="0" borderId="0" xfId="0" applyNumberFormat="1" applyFont="1" applyFill="1" applyBorder="1" applyAlignment="1" applyProtection="1">
      <alignment vertical="center" shrinkToFit="1"/>
      <protection locked="0"/>
    </xf>
    <xf numFmtId="0" fontId="30" fillId="0" borderId="0" xfId="0" applyFont="1" applyFill="1" applyBorder="1" applyAlignment="1" applyProtection="1">
      <alignment vertical="center" shrinkToFit="1"/>
      <protection locked="0"/>
    </xf>
    <xf numFmtId="0" fontId="30" fillId="0" borderId="0" xfId="0" applyFont="1" applyFill="1" applyBorder="1" applyAlignment="1" applyProtection="1">
      <alignment vertical="center" shrinkToFit="1"/>
      <protection hidden="1"/>
    </xf>
    <xf numFmtId="0" fontId="30" fillId="0" borderId="0" xfId="0" applyNumberFormat="1" applyFont="1" applyFill="1" applyBorder="1" applyAlignment="1" applyProtection="1">
      <alignment horizontal="left" vertical="center" shrinkToFit="1"/>
      <protection locked="0"/>
    </xf>
    <xf numFmtId="4" fontId="30" fillId="0" borderId="0" xfId="0" applyNumberFormat="1" applyFont="1" applyFill="1" applyBorder="1" applyAlignment="1" applyProtection="1">
      <alignment horizontal="right" vertical="center" shrinkToFit="1"/>
      <protection locked="0"/>
    </xf>
    <xf numFmtId="3" fontId="30" fillId="0" borderId="0" xfId="0" applyNumberFormat="1" applyFont="1" applyFill="1" applyBorder="1" applyAlignment="1">
      <alignment vertical="center" shrinkToFit="1"/>
    </xf>
    <xf numFmtId="4" fontId="30" fillId="0" borderId="0" xfId="0" applyNumberFormat="1" applyFont="1" applyFill="1" applyBorder="1" applyAlignment="1">
      <alignment vertical="center" shrinkToFit="1"/>
    </xf>
    <xf numFmtId="3" fontId="30" fillId="0" borderId="0" xfId="0" applyNumberFormat="1" applyFont="1" applyFill="1" applyBorder="1" applyAlignment="1" applyProtection="1">
      <alignment horizontal="right" vertical="center" shrinkToFit="1"/>
      <protection locked="0"/>
    </xf>
    <xf numFmtId="10" fontId="30" fillId="0" borderId="0" xfId="0" applyNumberFormat="1" applyFont="1" applyFill="1" applyBorder="1" applyAlignment="1" applyProtection="1">
      <alignment horizontal="right" vertical="center" shrinkToFit="1"/>
      <protection locked="0"/>
    </xf>
    <xf numFmtId="10" fontId="30" fillId="0" borderId="0" xfId="0" applyNumberFormat="1" applyFont="1" applyFill="1" applyBorder="1" applyAlignment="1">
      <alignment vertical="center" shrinkToFit="1"/>
    </xf>
    <xf numFmtId="0" fontId="30" fillId="0" borderId="0" xfId="0" applyNumberFormat="1" applyFont="1" applyFill="1" applyBorder="1" applyAlignment="1" applyProtection="1">
      <alignment horizontal="right" vertical="center" shrinkToFit="1"/>
      <protection locked="0"/>
    </xf>
    <xf numFmtId="1" fontId="30" fillId="0" borderId="0" xfId="0" applyNumberFormat="1" applyFont="1" applyFill="1" applyBorder="1" applyAlignment="1" applyProtection="1">
      <alignment vertical="center" shrinkToFit="1"/>
      <protection locked="0"/>
    </xf>
    <xf numFmtId="0" fontId="35" fillId="0" borderId="0" xfId="0" applyNumberFormat="1" applyFont="1" applyFill="1" applyBorder="1" applyAlignment="1" applyProtection="1">
      <alignment horizontal="left" vertical="center" shrinkToFit="1"/>
      <protection locked="0"/>
    </xf>
    <xf numFmtId="0" fontId="30" fillId="0" borderId="0" xfId="0" applyNumberFormat="1" applyFont="1" applyFill="1" applyBorder="1" applyAlignment="1">
      <alignment vertical="center" shrinkToFit="1"/>
    </xf>
    <xf numFmtId="0" fontId="23" fillId="2" borderId="9" xfId="0" applyFont="1" applyFill="1" applyBorder="1" applyAlignment="1">
      <alignment horizontal="center" vertical="center" shrinkToFit="1"/>
    </xf>
    <xf numFmtId="0" fontId="0" fillId="7" borderId="9" xfId="0" applyFill="1" applyBorder="1" applyAlignment="1" applyProtection="1">
      <alignment horizontal="center" vertical="center" shrinkToFit="1"/>
      <protection locked="0"/>
    </xf>
    <xf numFmtId="0" fontId="24" fillId="2" borderId="9" xfId="0" applyFont="1" applyFill="1" applyBorder="1" applyAlignment="1">
      <alignment horizontal="centerContinuous" vertical="center"/>
    </xf>
    <xf numFmtId="0" fontId="0" fillId="2" borderId="9" xfId="0" applyFill="1" applyBorder="1" applyAlignment="1">
      <alignment horizontal="centerContinuous" vertical="center"/>
    </xf>
    <xf numFmtId="0" fontId="28" fillId="9" borderId="9" xfId="0" applyFont="1" applyFill="1" applyBorder="1" applyAlignment="1">
      <alignment vertical="center"/>
    </xf>
    <xf numFmtId="0" fontId="28" fillId="9" borderId="9" xfId="0" applyFont="1" applyFill="1" applyBorder="1" applyAlignment="1">
      <alignment horizontal="center" vertical="center"/>
    </xf>
    <xf numFmtId="3" fontId="28" fillId="9" borderId="9" xfId="0" applyNumberFormat="1" applyFont="1" applyFill="1" applyBorder="1" applyAlignment="1" applyProtection="1">
      <alignment horizontal="center" vertical="center"/>
      <protection locked="0"/>
    </xf>
    <xf numFmtId="1" fontId="30" fillId="0" borderId="0" xfId="0" applyNumberFormat="1" applyFont="1" applyFill="1" applyBorder="1" applyAlignment="1" applyProtection="1">
      <alignment vertical="center" shrinkToFit="1"/>
      <protection hidden="1"/>
    </xf>
    <xf numFmtId="0" fontId="30" fillId="0" borderId="0" xfId="0" applyNumberFormat="1" applyFont="1" applyFill="1" applyBorder="1" applyAlignment="1" applyProtection="1">
      <alignment vertical="center" shrinkToFit="1"/>
      <protection hidden="1"/>
    </xf>
    <xf numFmtId="49" fontId="35" fillId="0" borderId="0" xfId="0" applyNumberFormat="1" applyFont="1" applyFill="1" applyBorder="1" applyAlignment="1" applyProtection="1">
      <alignment horizontal="left" vertical="center" shrinkToFit="1"/>
      <protection locked="0"/>
    </xf>
    <xf numFmtId="3" fontId="28" fillId="9" borderId="9" xfId="0" applyNumberFormat="1" applyFont="1" applyFill="1" applyBorder="1" applyAlignment="1" applyProtection="1">
      <alignment horizontal="center" vertical="center"/>
      <protection hidden="1"/>
    </xf>
    <xf numFmtId="0" fontId="24" fillId="13" borderId="0" xfId="0" applyFont="1" applyFill="1" applyBorder="1" applyAlignment="1">
      <alignment horizontal="centerContinuous" vertical="center"/>
    </xf>
    <xf numFmtId="0" fontId="24" fillId="14" borderId="0" xfId="0" applyFont="1" applyFill="1" applyBorder="1" applyAlignment="1">
      <alignment horizontal="centerContinuous" vertical="center"/>
    </xf>
    <xf numFmtId="0" fontId="39" fillId="12" borderId="0" xfId="0" applyFont="1" applyFill="1" applyBorder="1" applyAlignment="1">
      <alignment horizontal="centerContinuous" vertical="center"/>
    </xf>
    <xf numFmtId="0" fontId="36" fillId="0" borderId="0" xfId="0" applyFont="1" applyFill="1" applyBorder="1" applyAlignment="1" applyProtection="1">
      <alignment vertical="center" shrinkToFit="1"/>
      <protection hidden="1"/>
    </xf>
    <xf numFmtId="9" fontId="30" fillId="0" borderId="0" xfId="0" applyNumberFormat="1" applyFont="1" applyFill="1" applyBorder="1" applyAlignment="1" applyProtection="1">
      <alignment vertical="center" shrinkToFit="1"/>
      <protection locked="0"/>
    </xf>
    <xf numFmtId="164" fontId="30" fillId="0" borderId="0" xfId="0" applyNumberFormat="1" applyFont="1" applyFill="1" applyBorder="1" applyAlignment="1" applyProtection="1">
      <alignment vertical="center" shrinkToFit="1"/>
      <protection locked="0"/>
    </xf>
    <xf numFmtId="0" fontId="20" fillId="2" borderId="0" xfId="0" applyFont="1" applyFill="1" applyAlignment="1">
      <alignment horizontal="right" vertical="center"/>
    </xf>
    <xf numFmtId="49" fontId="8" fillId="15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1" fillId="0" borderId="1" xfId="7" applyBorder="1" applyAlignment="1">
      <alignment horizontal="left" wrapText="1" indent="1"/>
    </xf>
    <xf numFmtId="0" fontId="1" fillId="2" borderId="0" xfId="7" applyFill="1"/>
    <xf numFmtId="0" fontId="1" fillId="0" borderId="2" xfId="7" applyBorder="1" applyAlignment="1">
      <alignment horizontal="left" indent="1"/>
    </xf>
    <xf numFmtId="0" fontId="1" fillId="0" borderId="2" xfId="7" applyBorder="1" applyAlignment="1">
      <alignment horizontal="left" vertical="center" wrapText="1" indent="1"/>
    </xf>
    <xf numFmtId="0" fontId="1" fillId="0" borderId="2" xfId="7" applyBorder="1" applyAlignment="1">
      <alignment horizontal="left" vertical="top" wrapText="1" indent="2"/>
    </xf>
    <xf numFmtId="0" fontId="12" fillId="0" borderId="2" xfId="7" applyFont="1" applyBorder="1" applyAlignment="1">
      <alignment horizontal="left" indent="1"/>
    </xf>
    <xf numFmtId="0" fontId="1" fillId="0" borderId="3" xfId="7" applyBorder="1" applyAlignment="1">
      <alignment horizontal="left" indent="1"/>
    </xf>
    <xf numFmtId="0" fontId="0" fillId="16" borderId="0" xfId="0" applyFill="1" applyBorder="1"/>
    <xf numFmtId="0" fontId="0" fillId="16" borderId="0" xfId="0" applyFill="1" applyBorder="1" applyAlignment="1">
      <alignment horizontal="left"/>
    </xf>
    <xf numFmtId="0" fontId="10" fillId="16" borderId="0" xfId="2" applyFont="1" applyFill="1" applyBorder="1" applyAlignment="1" applyProtection="1">
      <alignment vertical="center"/>
    </xf>
    <xf numFmtId="0" fontId="0" fillId="16" borderId="0" xfId="0" applyFill="1" applyBorder="1" applyAlignment="1">
      <alignment horizontal="center"/>
    </xf>
    <xf numFmtId="0" fontId="0" fillId="16" borderId="5" xfId="0" applyFill="1" applyBorder="1"/>
    <xf numFmtId="0" fontId="0" fillId="16" borderId="6" xfId="0" applyFill="1" applyBorder="1" applyAlignment="1">
      <alignment horizontal="left"/>
    </xf>
    <xf numFmtId="0" fontId="0" fillId="16" borderId="6" xfId="0" applyFill="1" applyBorder="1" applyAlignment="1">
      <alignment horizontal="center"/>
    </xf>
    <xf numFmtId="0" fontId="0" fillId="16" borderId="6" xfId="0" applyFill="1" applyBorder="1"/>
    <xf numFmtId="0" fontId="0" fillId="16" borderId="7" xfId="0" applyFill="1" applyBorder="1" applyAlignment="1">
      <alignment horizontal="center"/>
    </xf>
    <xf numFmtId="0" fontId="0" fillId="16" borderId="0" xfId="0" applyFont="1" applyFill="1" applyBorder="1" applyAlignment="1">
      <alignment horizontal="left"/>
    </xf>
    <xf numFmtId="0" fontId="27" fillId="16" borderId="0" xfId="2" applyFont="1" applyFill="1" applyBorder="1" applyAlignment="1" applyProtection="1">
      <alignment vertical="center"/>
    </xf>
    <xf numFmtId="0" fontId="0" fillId="16" borderId="0" xfId="0" applyFont="1" applyFill="1" applyBorder="1" applyAlignment="1">
      <alignment horizontal="center"/>
    </xf>
    <xf numFmtId="0" fontId="0" fillId="16" borderId="0" xfId="0" applyFont="1" applyFill="1" applyBorder="1"/>
    <xf numFmtId="0" fontId="30" fillId="16" borderId="0" xfId="0" applyFont="1" applyFill="1" applyBorder="1" applyAlignment="1">
      <alignment horizontal="center"/>
    </xf>
    <xf numFmtId="0" fontId="11" fillId="2" borderId="0" xfId="0" applyFont="1" applyFill="1" applyAlignment="1">
      <alignment vertical="center"/>
    </xf>
    <xf numFmtId="0" fontId="40" fillId="2" borderId="0" xfId="0" applyFont="1" applyFill="1"/>
    <xf numFmtId="0" fontId="40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49" fontId="11" fillId="3" borderId="0" xfId="0" applyNumberFormat="1" applyFont="1" applyFill="1" applyBorder="1" applyAlignment="1">
      <alignment horizontal="left" vertical="center" indent="1"/>
    </xf>
    <xf numFmtId="49" fontId="11" fillId="3" borderId="0" xfId="0" applyNumberFormat="1" applyFont="1" applyFill="1" applyBorder="1" applyAlignment="1">
      <alignment horizontal="left" vertical="center"/>
    </xf>
    <xf numFmtId="49" fontId="11" fillId="3" borderId="0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right" vertical="center"/>
    </xf>
    <xf numFmtId="49" fontId="8" fillId="5" borderId="0" xfId="0" applyNumberFormat="1" applyFont="1" applyFill="1" applyBorder="1" applyAlignment="1">
      <alignment horizontal="left" vertical="center"/>
    </xf>
    <xf numFmtId="49" fontId="8" fillId="5" borderId="0" xfId="0" applyNumberFormat="1" applyFont="1" applyFill="1" applyBorder="1" applyAlignment="1">
      <alignment vertical="center"/>
    </xf>
    <xf numFmtId="0" fontId="8" fillId="5" borderId="0" xfId="0" applyFont="1" applyFill="1" applyBorder="1" applyAlignment="1">
      <alignment horizontal="center" vertical="center"/>
    </xf>
    <xf numFmtId="0" fontId="41" fillId="5" borderId="0" xfId="0" applyFont="1" applyFill="1" applyBorder="1" applyAlignment="1">
      <alignment horizontal="right" vertical="center"/>
    </xf>
    <xf numFmtId="49" fontId="40" fillId="3" borderId="0" xfId="0" applyNumberFormat="1" applyFont="1" applyFill="1" applyBorder="1" applyAlignment="1">
      <alignment horizontal="left" vertical="center" indent="1"/>
    </xf>
    <xf numFmtId="49" fontId="40" fillId="3" borderId="0" xfId="0" applyNumberFormat="1" applyFont="1" applyFill="1" applyBorder="1" applyAlignment="1">
      <alignment horizontal="left" vertical="center"/>
    </xf>
    <xf numFmtId="49" fontId="40" fillId="3" borderId="0" xfId="0" applyNumberFormat="1" applyFont="1" applyFill="1" applyBorder="1" applyAlignment="1">
      <alignment vertical="center"/>
    </xf>
    <xf numFmtId="0" fontId="40" fillId="3" borderId="0" xfId="0" applyFont="1" applyFill="1" applyBorder="1" applyAlignment="1">
      <alignment horizontal="center" vertical="center"/>
    </xf>
    <xf numFmtId="0" fontId="40" fillId="4" borderId="0" xfId="0" applyFont="1" applyFill="1" applyBorder="1" applyAlignment="1">
      <alignment horizontal="right" vertical="center"/>
    </xf>
    <xf numFmtId="0" fontId="21" fillId="5" borderId="4" xfId="0" applyFont="1" applyFill="1" applyBorder="1" applyAlignment="1">
      <alignment horizontal="right" vertical="center"/>
    </xf>
    <xf numFmtId="0" fontId="23" fillId="7" borderId="10" xfId="0" applyFont="1" applyFill="1" applyBorder="1" applyAlignment="1">
      <alignment horizontal="centerContinuous" vertical="center"/>
    </xf>
    <xf numFmtId="0" fontId="0" fillId="7" borderId="11" xfId="0" applyFill="1" applyBorder="1" applyAlignment="1">
      <alignment vertical="center"/>
    </xf>
    <xf numFmtId="0" fontId="0" fillId="7" borderId="13" xfId="0" applyNumberFormat="1" applyFont="1" applyFill="1" applyBorder="1" applyAlignment="1" applyProtection="1">
      <alignment vertical="center"/>
      <protection locked="0"/>
    </xf>
    <xf numFmtId="0" fontId="0" fillId="7" borderId="13" xfId="0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49" fontId="8" fillId="11" borderId="10" xfId="0" applyNumberFormat="1" applyFont="1" applyFill="1" applyBorder="1" applyAlignment="1">
      <alignment horizontal="left" vertical="center" indent="1"/>
    </xf>
    <xf numFmtId="49" fontId="8" fillId="11" borderId="12" xfId="0" applyNumberFormat="1" applyFont="1" applyFill="1" applyBorder="1" applyAlignment="1">
      <alignment horizontal="left" vertical="center" indent="1"/>
    </xf>
    <xf numFmtId="0" fontId="25" fillId="12" borderId="11" xfId="0" applyFont="1" applyFill="1" applyBorder="1" applyAlignment="1">
      <alignment vertical="center" shrinkToFit="1"/>
    </xf>
    <xf numFmtId="0" fontId="0" fillId="12" borderId="11" xfId="0" applyFill="1" applyBorder="1"/>
    <xf numFmtId="0" fontId="32" fillId="0" borderId="11" xfId="0" applyFont="1" applyFill="1" applyBorder="1" applyAlignment="1">
      <alignment vertical="center" shrinkToFit="1"/>
    </xf>
    <xf numFmtId="0" fontId="32" fillId="0" borderId="11" xfId="0" applyNumberFormat="1" applyFont="1" applyFill="1" applyBorder="1" applyAlignment="1" applyProtection="1">
      <alignment vertical="center" shrinkToFit="1"/>
      <protection locked="0"/>
    </xf>
    <xf numFmtId="0" fontId="30" fillId="0" borderId="11" xfId="0" applyNumberFormat="1" applyFont="1" applyFill="1" applyBorder="1" applyAlignment="1" applyProtection="1">
      <alignment vertical="center" shrinkToFit="1"/>
      <protection locked="0"/>
    </xf>
    <xf numFmtId="0" fontId="30" fillId="0" borderId="13" xfId="0" applyFont="1" applyFill="1" applyBorder="1" applyAlignment="1" applyProtection="1">
      <alignment vertical="center" shrinkToFit="1"/>
      <protection locked="0"/>
    </xf>
    <xf numFmtId="0" fontId="30" fillId="0" borderId="13" xfId="0" applyFont="1" applyFill="1" applyBorder="1" applyAlignment="1" applyProtection="1">
      <alignment horizontal="left" vertical="center" shrinkToFit="1"/>
      <protection locked="0"/>
    </xf>
    <xf numFmtId="0" fontId="32" fillId="0" borderId="13" xfId="0" applyFont="1" applyFill="1" applyBorder="1" applyAlignment="1" applyProtection="1">
      <alignment vertical="center" shrinkToFit="1"/>
      <protection locked="0"/>
    </xf>
    <xf numFmtId="49" fontId="35" fillId="0" borderId="13" xfId="0" applyNumberFormat="1" applyFont="1" applyFill="1" applyBorder="1" applyAlignment="1">
      <alignment horizontal="left" vertical="center" shrinkToFit="1"/>
    </xf>
    <xf numFmtId="0" fontId="30" fillId="0" borderId="13" xfId="0" applyNumberFormat="1" applyFont="1" applyFill="1" applyBorder="1" applyAlignment="1" applyProtection="1">
      <alignment vertical="center" shrinkToFit="1"/>
      <protection locked="0"/>
    </xf>
    <xf numFmtId="0" fontId="32" fillId="0" borderId="13" xfId="0" applyNumberFormat="1" applyFont="1" applyFill="1" applyBorder="1" applyAlignment="1" applyProtection="1">
      <alignment vertical="center" shrinkToFit="1"/>
      <protection locked="0"/>
    </xf>
    <xf numFmtId="0" fontId="32" fillId="0" borderId="14" xfId="0" applyNumberFormat="1" applyFont="1" applyFill="1" applyBorder="1" applyAlignment="1" applyProtection="1">
      <alignment vertical="center" shrinkToFit="1"/>
      <protection locked="0"/>
    </xf>
    <xf numFmtId="0" fontId="25" fillId="0" borderId="11" xfId="0" applyFont="1" applyFill="1" applyBorder="1" applyAlignment="1">
      <alignment vertical="center" shrinkToFit="1"/>
    </xf>
    <xf numFmtId="0" fontId="0" fillId="0" borderId="11" xfId="0" applyFill="1" applyBorder="1"/>
    <xf numFmtId="0" fontId="30" fillId="0" borderId="11" xfId="0" applyFont="1" applyFill="1" applyBorder="1" applyAlignment="1">
      <alignment vertical="center" shrinkToFit="1"/>
    </xf>
    <xf numFmtId="0" fontId="30" fillId="0" borderId="13" xfId="0" applyFont="1" applyFill="1" applyBorder="1" applyAlignment="1">
      <alignment vertical="center" shrinkToFit="1"/>
    </xf>
    <xf numFmtId="0" fontId="32" fillId="0" borderId="13" xfId="0" applyFont="1" applyFill="1" applyBorder="1" applyAlignment="1">
      <alignment vertical="center" shrinkToFit="1"/>
    </xf>
    <xf numFmtId="49" fontId="31" fillId="0" borderId="13" xfId="0" applyNumberFormat="1" applyFont="1" applyFill="1" applyBorder="1" applyAlignment="1">
      <alignment horizontal="left" vertical="center" shrinkToFit="1"/>
    </xf>
    <xf numFmtId="0" fontId="32" fillId="0" borderId="14" xfId="0" applyFont="1" applyFill="1" applyBorder="1" applyAlignment="1">
      <alignment vertical="center" shrinkToFit="1"/>
    </xf>
    <xf numFmtId="0" fontId="30" fillId="0" borderId="13" xfId="0" applyFont="1" applyFill="1" applyBorder="1" applyAlignment="1">
      <alignment horizontal="left" vertical="center" shrinkToFit="1"/>
    </xf>
    <xf numFmtId="0" fontId="30" fillId="0" borderId="11" xfId="0" applyFont="1" applyFill="1" applyBorder="1"/>
    <xf numFmtId="0" fontId="30" fillId="0" borderId="11" xfId="0" applyFont="1" applyFill="1" applyBorder="1" applyAlignment="1" applyProtection="1">
      <alignment vertical="center" shrinkToFit="1"/>
      <protection locked="0"/>
    </xf>
    <xf numFmtId="0" fontId="30" fillId="0" borderId="13" xfId="0" applyNumberFormat="1" applyFont="1" applyFill="1" applyBorder="1" applyAlignment="1" applyProtection="1">
      <alignment horizontal="left" vertical="center" shrinkToFit="1"/>
      <protection locked="0"/>
    </xf>
    <xf numFmtId="0" fontId="35" fillId="0" borderId="13" xfId="0" applyNumberFormat="1" applyFont="1" applyFill="1" applyBorder="1" applyAlignment="1" applyProtection="1">
      <alignment horizontal="left" vertical="center" shrinkToFit="1"/>
      <protection locked="0"/>
    </xf>
    <xf numFmtId="0" fontId="32" fillId="0" borderId="14" xfId="0" applyFont="1" applyFill="1" applyBorder="1" applyAlignment="1" applyProtection="1">
      <alignment vertical="center" shrinkToFit="1"/>
      <protection locked="0"/>
    </xf>
    <xf numFmtId="49" fontId="8" fillId="10" borderId="10" xfId="0" applyNumberFormat="1" applyFont="1" applyFill="1" applyBorder="1" applyAlignment="1">
      <alignment horizontal="left" vertical="center" indent="1"/>
    </xf>
    <xf numFmtId="49" fontId="8" fillId="10" borderId="12" xfId="0" applyNumberFormat="1" applyFont="1" applyFill="1" applyBorder="1" applyAlignment="1">
      <alignment horizontal="left" vertical="center" indent="1"/>
    </xf>
    <xf numFmtId="0" fontId="30" fillId="0" borderId="8" xfId="0" applyFont="1" applyFill="1" applyBorder="1" applyAlignment="1">
      <alignment vertical="center"/>
    </xf>
    <xf numFmtId="10" fontId="30" fillId="0" borderId="8" xfId="0" applyNumberFormat="1" applyFont="1" applyFill="1" applyBorder="1" applyAlignment="1" applyProtection="1">
      <alignment horizontal="center" vertical="center"/>
      <protection hidden="1"/>
    </xf>
    <xf numFmtId="3" fontId="30" fillId="0" borderId="8" xfId="0" applyNumberFormat="1" applyFont="1" applyFill="1" applyBorder="1" applyAlignment="1" applyProtection="1">
      <alignment horizontal="center" vertical="center"/>
      <protection hidden="1"/>
    </xf>
    <xf numFmtId="4" fontId="30" fillId="0" borderId="8" xfId="0" applyNumberFormat="1" applyFont="1" applyFill="1" applyBorder="1" applyAlignment="1" applyProtection="1">
      <alignment horizontal="center" vertical="center"/>
      <protection hidden="1"/>
    </xf>
    <xf numFmtId="0" fontId="16" fillId="6" borderId="8" xfId="0" applyFont="1" applyFill="1" applyBorder="1" applyAlignment="1">
      <alignment vertical="center"/>
    </xf>
    <xf numFmtId="0" fontId="16" fillId="6" borderId="8" xfId="0" applyFont="1" applyFill="1" applyBorder="1" applyAlignment="1">
      <alignment horizontal="center" vertical="center"/>
    </xf>
    <xf numFmtId="3" fontId="16" fillId="6" borderId="8" xfId="0" applyNumberFormat="1" applyFont="1" applyFill="1" applyBorder="1" applyAlignment="1" applyProtection="1">
      <alignment horizontal="center" vertical="center"/>
      <protection hidden="1"/>
    </xf>
    <xf numFmtId="3" fontId="16" fillId="6" borderId="8" xfId="0" applyNumberFormat="1" applyFont="1" applyFill="1" applyBorder="1" applyAlignment="1" applyProtection="1">
      <alignment horizontal="center" vertical="center"/>
      <protection locked="0"/>
    </xf>
    <xf numFmtId="0" fontId="12" fillId="6" borderId="8" xfId="0" applyFont="1" applyFill="1" applyBorder="1" applyAlignment="1">
      <alignment vertical="center"/>
    </xf>
    <xf numFmtId="0" fontId="12" fillId="17" borderId="0" xfId="0" applyFont="1" applyFill="1" applyAlignment="1">
      <alignment vertical="center"/>
    </xf>
    <xf numFmtId="0" fontId="12" fillId="17" borderId="0" xfId="0" applyFont="1" applyFill="1" applyAlignment="1">
      <alignment horizontal="center" vertical="center"/>
    </xf>
    <xf numFmtId="0" fontId="0" fillId="0" borderId="8" xfId="0" applyFill="1" applyBorder="1" applyAlignment="1">
      <alignment vertical="center"/>
    </xf>
    <xf numFmtId="10" fontId="0" fillId="7" borderId="9" xfId="0" applyNumberFormat="1" applyFont="1" applyFill="1" applyBorder="1" applyAlignment="1" applyProtection="1">
      <alignment horizontal="center" vertical="center" shrinkToFit="1"/>
      <protection hidden="1"/>
    </xf>
    <xf numFmtId="4" fontId="0" fillId="7" borderId="9" xfId="0" applyNumberFormat="1" applyFont="1" applyFill="1" applyBorder="1" applyAlignment="1" applyProtection="1">
      <alignment horizontal="center" vertical="center" shrinkToFit="1"/>
      <protection hidden="1"/>
    </xf>
    <xf numFmtId="0" fontId="0" fillId="8" borderId="9" xfId="0" applyFont="1" applyFill="1" applyBorder="1" applyAlignment="1" applyProtection="1">
      <alignment vertical="center" shrinkToFit="1"/>
      <protection locked="0"/>
    </xf>
    <xf numFmtId="0" fontId="30" fillId="0" borderId="0" xfId="0" applyFont="1" applyFill="1" applyBorder="1" applyAlignment="1" applyProtection="1">
      <alignment horizontal="left" vertical="center" shrinkToFit="1"/>
      <protection hidden="1"/>
    </xf>
    <xf numFmtId="0" fontId="30" fillId="0" borderId="0" xfId="0" applyFont="1" applyFill="1" applyBorder="1" applyAlignment="1" applyProtection="1">
      <alignment horizontal="left" vertical="center" shrinkToFit="1"/>
      <protection locked="0"/>
    </xf>
    <xf numFmtId="0" fontId="36" fillId="0" borderId="0" xfId="0" applyFont="1" applyFill="1" applyBorder="1" applyAlignment="1">
      <alignment horizontal="left" vertical="center" shrinkToFit="1"/>
    </xf>
    <xf numFmtId="0" fontId="30" fillId="0" borderId="0" xfId="0" applyFont="1" applyFill="1" applyBorder="1" applyAlignment="1" applyProtection="1">
      <alignment horizontal="left" vertical="center" shrinkToFit="1"/>
    </xf>
    <xf numFmtId="4" fontId="30" fillId="0" borderId="0" xfId="0" applyNumberFormat="1" applyFont="1" applyFill="1" applyBorder="1" applyAlignment="1" applyProtection="1">
      <alignment vertical="center" shrinkToFit="1"/>
    </xf>
    <xf numFmtId="0" fontId="30" fillId="0" borderId="0" xfId="0" applyFont="1" applyFill="1" applyBorder="1" applyAlignment="1" applyProtection="1">
      <alignment vertical="center" shrinkToFit="1"/>
    </xf>
    <xf numFmtId="0" fontId="30" fillId="0" borderId="0" xfId="0" applyNumberFormat="1" applyFont="1" applyFill="1" applyBorder="1" applyAlignment="1" applyProtection="1">
      <alignment vertical="center" shrinkToFit="1"/>
    </xf>
    <xf numFmtId="3" fontId="30" fillId="0" borderId="0" xfId="0" applyNumberFormat="1" applyFont="1" applyFill="1" applyBorder="1" applyAlignment="1" applyProtection="1">
      <alignment vertical="center" shrinkToFit="1"/>
    </xf>
    <xf numFmtId="10" fontId="30" fillId="0" borderId="0" xfId="0" applyNumberFormat="1" applyFont="1" applyFill="1" applyBorder="1" applyAlignment="1" applyProtection="1">
      <alignment vertical="center" shrinkToFit="1"/>
    </xf>
    <xf numFmtId="4" fontId="30" fillId="0" borderId="0" xfId="0" applyNumberFormat="1" applyFont="1" applyFill="1" applyBorder="1" applyAlignment="1" applyProtection="1">
      <alignment horizontal="right" vertical="center" shrinkToFit="1"/>
    </xf>
    <xf numFmtId="10" fontId="30" fillId="0" borderId="0" xfId="0" applyNumberFormat="1" applyFont="1" applyFill="1" applyBorder="1" applyAlignment="1" applyProtection="1">
      <alignment horizontal="right" vertical="center" shrinkToFit="1"/>
    </xf>
    <xf numFmtId="0" fontId="30" fillId="0" borderId="0" xfId="0" applyNumberFormat="1" applyFont="1" applyFill="1" applyBorder="1" applyAlignment="1" applyProtection="1">
      <alignment horizontal="left" vertical="center" shrinkToFit="1"/>
    </xf>
    <xf numFmtId="0" fontId="30" fillId="0" borderId="0" xfId="0" applyNumberFormat="1" applyFont="1" applyFill="1" applyBorder="1" applyAlignment="1" applyProtection="1">
      <alignment horizontal="right" vertical="center" shrinkToFit="1"/>
    </xf>
    <xf numFmtId="4" fontId="30" fillId="0" borderId="0" xfId="0" applyNumberFormat="1" applyFont="1" applyFill="1" applyBorder="1" applyAlignment="1" applyProtection="1">
      <alignment horizontal="left" vertical="center" shrinkToFit="1"/>
    </xf>
    <xf numFmtId="3" fontId="30" fillId="0" borderId="0" xfId="0" applyNumberFormat="1" applyFont="1" applyFill="1" applyBorder="1" applyAlignment="1" applyProtection="1">
      <alignment horizontal="left" vertical="center" shrinkToFit="1"/>
    </xf>
    <xf numFmtId="9" fontId="30" fillId="0" borderId="0" xfId="0" applyNumberFormat="1" applyFont="1" applyFill="1" applyBorder="1" applyAlignment="1" applyProtection="1">
      <alignment horizontal="left" vertical="center" shrinkToFit="1"/>
    </xf>
    <xf numFmtId="10" fontId="30" fillId="0" borderId="0" xfId="0" applyNumberFormat="1" applyFont="1" applyFill="1" applyBorder="1" applyAlignment="1" applyProtection="1">
      <alignment horizontal="left" vertical="center" shrinkToFit="1"/>
    </xf>
    <xf numFmtId="9" fontId="30" fillId="0" borderId="0" xfId="0" applyNumberFormat="1" applyFont="1" applyFill="1" applyBorder="1" applyAlignment="1" applyProtection="1">
      <alignment horizontal="right" vertical="center" shrinkToFit="1"/>
      <protection locked="0"/>
    </xf>
  </cellXfs>
  <cellStyles count="8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2 3" xfId="6" xr:uid="{8C809816-9E91-40FD-A85B-14FA26C5232E}"/>
    <cellStyle name="Normal 3" xfId="3" xr:uid="{6CDF8B16-5B16-4C1E-8190-16EFBDFCEFB4}"/>
    <cellStyle name="Normal 3 2" xfId="5" xr:uid="{EBE6B589-17BD-473F-A3A7-5779EC871246}"/>
    <cellStyle name="Normal 3 2 2" xfId="7" xr:uid="{CF5FC204-1A38-4A25-AB7A-AAA599C4CF4D}"/>
  </cellStyles>
  <dxfs count="59">
    <dxf>
      <fill>
        <patternFill>
          <bgColor rgb="FFF78D7B"/>
        </patternFill>
      </fill>
    </dxf>
    <dxf>
      <fill>
        <patternFill>
          <bgColor rgb="FF9DE1CE"/>
        </patternFill>
      </fill>
    </dxf>
    <dxf>
      <border>
        <left style="hair">
          <color rgb="FF9DE1CE"/>
        </left>
        <right style="hair">
          <color rgb="FF9DE1CE"/>
        </right>
        <top style="hair">
          <color rgb="FF9DE1CE"/>
        </top>
        <bottom style="hair">
          <color rgb="FF9DE1CE"/>
        </bottom>
        <vertical/>
        <horizontal/>
      </border>
    </dxf>
    <dxf>
      <fill>
        <patternFill>
          <bgColor theme="6" tint="0.79998168889431442"/>
        </patternFill>
      </fill>
      <border>
        <vertical/>
        <horizontal/>
      </border>
    </dxf>
    <dxf>
      <border>
        <left style="hair">
          <color rgb="FFF78D7B"/>
        </left>
        <right style="hair">
          <color rgb="FFF78D7B"/>
        </right>
        <top style="hair">
          <color rgb="FFF78D7B"/>
        </top>
        <bottom style="hair">
          <color rgb="FFF78D7B"/>
        </bottom>
        <vertical/>
        <horizontal/>
      </border>
    </dxf>
    <dxf>
      <fill>
        <patternFill>
          <bgColor rgb="FFFDE7E3"/>
        </patternFill>
      </fill>
      <border>
        <vertical/>
        <horizontal/>
      </border>
    </dxf>
    <dxf>
      <font>
        <b val="0"/>
        <i/>
        <color theme="0" tint="-0.34998626667073579"/>
      </font>
    </dxf>
    <dxf>
      <fill>
        <patternFill>
          <bgColor rgb="FFF78D7B"/>
        </patternFill>
      </fill>
    </dxf>
    <dxf>
      <fill>
        <patternFill>
          <bgColor rgb="FF9DE1CE"/>
        </patternFill>
      </fill>
    </dxf>
    <dxf>
      <border>
        <left style="hair">
          <color rgb="FF9DE1CE"/>
        </left>
        <right style="hair">
          <color rgb="FF9DE1CE"/>
        </right>
        <top style="hair">
          <color rgb="FF9DE1CE"/>
        </top>
        <bottom style="hair">
          <color rgb="FF9DE1CE"/>
        </bottom>
        <vertical/>
        <horizontal/>
      </border>
    </dxf>
    <dxf>
      <fill>
        <patternFill>
          <bgColor theme="6" tint="0.79998168889431442"/>
        </patternFill>
      </fill>
      <border>
        <vertical/>
        <horizontal/>
      </border>
    </dxf>
    <dxf>
      <border>
        <left style="hair">
          <color rgb="FFF78D7B"/>
        </left>
        <right style="hair">
          <color rgb="FFF78D7B"/>
        </right>
        <top style="hair">
          <color rgb="FFF78D7B"/>
        </top>
        <bottom style="hair">
          <color rgb="FFF78D7B"/>
        </bottom>
        <vertical/>
        <horizontal/>
      </border>
    </dxf>
    <dxf>
      <fill>
        <patternFill>
          <bgColor rgb="FFFDE7E3"/>
        </patternFill>
      </fill>
      <border>
        <vertical/>
        <horizontal/>
      </border>
    </dxf>
    <dxf>
      <font>
        <b val="0"/>
        <i/>
        <color theme="0" tint="-0.34998626667073579"/>
      </font>
    </dxf>
    <dxf>
      <fill>
        <patternFill>
          <bgColor theme="6" tint="0.79998168889431442"/>
        </patternFill>
      </fill>
      <border>
        <vertical/>
        <horizontal/>
      </border>
    </dxf>
    <dxf>
      <fill>
        <patternFill>
          <bgColor theme="6" tint="0.79998168889431442"/>
        </patternFill>
      </fill>
      <border>
        <vertical/>
        <horizontal/>
      </border>
    </dxf>
    <dxf>
      <fill>
        <patternFill>
          <bgColor rgb="FFF78D7B"/>
        </patternFill>
      </fill>
    </dxf>
    <dxf>
      <fill>
        <patternFill>
          <bgColor rgb="FF9DE1CE"/>
        </patternFill>
      </fill>
    </dxf>
    <dxf>
      <border>
        <left style="hair">
          <color rgb="FF9DE1CE"/>
        </left>
        <right style="hair">
          <color rgb="FF9DE1CE"/>
        </right>
        <top style="hair">
          <color rgb="FF9DE1CE"/>
        </top>
        <bottom style="hair">
          <color rgb="FF9DE1CE"/>
        </bottom>
        <vertical/>
        <horizontal/>
      </border>
    </dxf>
    <dxf>
      <fill>
        <patternFill>
          <bgColor theme="6" tint="0.79998168889431442"/>
        </patternFill>
      </fill>
      <border>
        <vertical/>
        <horizontal/>
      </border>
    </dxf>
    <dxf>
      <border>
        <left style="hair">
          <color rgb="FFF78D7B"/>
        </left>
        <right style="hair">
          <color rgb="FFF78D7B"/>
        </right>
        <top style="hair">
          <color rgb="FFF78D7B"/>
        </top>
        <bottom style="hair">
          <color rgb="FFF78D7B"/>
        </bottom>
        <vertical/>
        <horizontal/>
      </border>
    </dxf>
    <dxf>
      <fill>
        <patternFill>
          <bgColor rgb="FFFDE7E3"/>
        </patternFill>
      </fill>
      <border>
        <vertical/>
        <horizontal/>
      </border>
    </dxf>
    <dxf>
      <font>
        <b val="0"/>
        <i/>
        <color theme="0" tint="-0.34998626667073579"/>
      </font>
    </dxf>
    <dxf>
      <fill>
        <patternFill>
          <bgColor rgb="FFF78D7B"/>
        </patternFill>
      </fill>
    </dxf>
    <dxf>
      <fill>
        <patternFill>
          <bgColor rgb="FF9DE1CE"/>
        </patternFill>
      </fill>
    </dxf>
    <dxf>
      <border>
        <left style="hair">
          <color rgb="FF9DE1CE"/>
        </left>
        <right style="hair">
          <color rgb="FF9DE1CE"/>
        </right>
        <top style="hair">
          <color rgb="FF9DE1CE"/>
        </top>
        <bottom style="hair">
          <color rgb="FF9DE1CE"/>
        </bottom>
        <vertical/>
        <horizontal/>
      </border>
    </dxf>
    <dxf>
      <fill>
        <patternFill>
          <bgColor theme="6" tint="0.79998168889431442"/>
        </patternFill>
      </fill>
      <border>
        <vertical/>
        <horizontal/>
      </border>
    </dxf>
    <dxf>
      <border>
        <left style="hair">
          <color rgb="FFF78D7B"/>
        </left>
        <right style="hair">
          <color rgb="FFF78D7B"/>
        </right>
        <top style="hair">
          <color rgb="FFF78D7B"/>
        </top>
        <bottom style="hair">
          <color rgb="FFF78D7B"/>
        </bottom>
        <vertical/>
        <horizontal/>
      </border>
    </dxf>
    <dxf>
      <fill>
        <patternFill>
          <bgColor rgb="FFFDE7E3"/>
        </patternFill>
      </fill>
      <border>
        <vertical/>
        <horizontal/>
      </border>
    </dxf>
    <dxf>
      <font>
        <b val="0"/>
        <i/>
        <color theme="0" tint="-0.34998626667073579"/>
      </font>
    </dxf>
    <dxf>
      <fill>
        <patternFill>
          <bgColor rgb="FFF78D7B"/>
        </patternFill>
      </fill>
    </dxf>
    <dxf>
      <fill>
        <patternFill>
          <bgColor rgb="FF9DE1CE"/>
        </patternFill>
      </fill>
    </dxf>
    <dxf>
      <border>
        <left style="hair">
          <color rgb="FF9DE1CE"/>
        </left>
        <right style="hair">
          <color rgb="FF9DE1CE"/>
        </right>
        <top style="hair">
          <color rgb="FF9DE1CE"/>
        </top>
        <bottom style="hair">
          <color rgb="FF9DE1CE"/>
        </bottom>
        <vertical/>
        <horizontal/>
      </border>
    </dxf>
    <dxf>
      <fill>
        <patternFill>
          <bgColor theme="6" tint="0.79998168889431442"/>
        </patternFill>
      </fill>
      <border>
        <vertical/>
        <horizontal/>
      </border>
    </dxf>
    <dxf>
      <border>
        <left style="hair">
          <color rgb="FFF78D7B"/>
        </left>
        <right style="hair">
          <color rgb="FFF78D7B"/>
        </right>
        <top style="hair">
          <color rgb="FFF78D7B"/>
        </top>
        <bottom style="hair">
          <color rgb="FFF78D7B"/>
        </bottom>
        <vertical/>
        <horizontal/>
      </border>
    </dxf>
    <dxf>
      <fill>
        <patternFill>
          <bgColor rgb="FFFDE7E3"/>
        </patternFill>
      </fill>
      <border>
        <vertical/>
        <horizontal/>
      </border>
    </dxf>
    <dxf>
      <font>
        <b val="0"/>
        <i/>
        <color theme="0" tint="-0.34998626667073579"/>
      </font>
    </dxf>
    <dxf>
      <fill>
        <patternFill>
          <bgColor rgb="FFF78D7B"/>
        </patternFill>
      </fill>
    </dxf>
    <dxf>
      <fill>
        <patternFill>
          <bgColor rgb="FF9DE1CE"/>
        </patternFill>
      </fill>
    </dxf>
    <dxf>
      <border>
        <left style="hair">
          <color rgb="FF9DE1CE"/>
        </left>
        <right style="hair">
          <color rgb="FF9DE1CE"/>
        </right>
        <top style="hair">
          <color rgb="FF9DE1CE"/>
        </top>
        <bottom style="hair">
          <color rgb="FF9DE1CE"/>
        </bottom>
        <vertical/>
        <horizontal/>
      </border>
    </dxf>
    <dxf>
      <fill>
        <patternFill>
          <bgColor theme="6" tint="0.79998168889431442"/>
        </patternFill>
      </fill>
      <border>
        <vertical/>
        <horizontal/>
      </border>
    </dxf>
    <dxf>
      <border>
        <left style="hair">
          <color rgb="FFF78D7B"/>
        </left>
        <right style="hair">
          <color rgb="FFF78D7B"/>
        </right>
        <top style="hair">
          <color rgb="FFF78D7B"/>
        </top>
        <bottom style="hair">
          <color rgb="FFF78D7B"/>
        </bottom>
        <vertical/>
        <horizontal/>
      </border>
    </dxf>
    <dxf>
      <fill>
        <patternFill>
          <bgColor rgb="FFFDE7E3"/>
        </patternFill>
      </fill>
      <border>
        <vertical/>
        <horizontal/>
      </border>
    </dxf>
    <dxf>
      <font>
        <b val="0"/>
        <i/>
        <color theme="0" tint="-0.34998626667073579"/>
      </font>
    </dxf>
    <dxf>
      <fill>
        <patternFill>
          <bgColor rgb="FFF78D7B"/>
        </patternFill>
      </fill>
    </dxf>
    <dxf>
      <fill>
        <patternFill>
          <bgColor rgb="FF9DE1CE"/>
        </patternFill>
      </fill>
    </dxf>
    <dxf>
      <border>
        <left style="hair">
          <color rgb="FF9DE1CE"/>
        </left>
        <right style="hair">
          <color rgb="FF9DE1CE"/>
        </right>
        <top style="hair">
          <color rgb="FF9DE1CE"/>
        </top>
        <bottom style="hair">
          <color rgb="FF9DE1CE"/>
        </bottom>
        <vertical/>
        <horizontal/>
      </border>
    </dxf>
    <dxf>
      <fill>
        <patternFill>
          <bgColor theme="6" tint="0.79998168889431442"/>
        </patternFill>
      </fill>
      <border>
        <vertical/>
        <horizontal/>
      </border>
    </dxf>
    <dxf>
      <border>
        <left style="hair">
          <color rgb="FFF78D7B"/>
        </left>
        <right style="hair">
          <color rgb="FFF78D7B"/>
        </right>
        <top style="hair">
          <color rgb="FFF78D7B"/>
        </top>
        <bottom style="hair">
          <color rgb="FFF78D7B"/>
        </bottom>
        <vertical/>
        <horizontal/>
      </border>
    </dxf>
    <dxf>
      <fill>
        <patternFill>
          <bgColor rgb="FFFDE7E3"/>
        </patternFill>
      </fill>
      <border>
        <vertical/>
        <horizontal/>
      </border>
    </dxf>
    <dxf>
      <font>
        <b val="0"/>
        <i/>
        <color theme="0" tint="-0.34998626667073579"/>
      </font>
    </dxf>
    <dxf>
      <fill>
        <patternFill>
          <bgColor rgb="FFF78D7B"/>
        </patternFill>
      </fill>
    </dxf>
    <dxf>
      <fill>
        <patternFill>
          <bgColor rgb="FF9DE1CE"/>
        </patternFill>
      </fill>
    </dxf>
    <dxf>
      <border>
        <left style="hair">
          <color rgb="FFF78D7B"/>
        </left>
        <right style="hair">
          <color rgb="FFF78D7B"/>
        </right>
        <top style="hair">
          <color rgb="FFF78D7B"/>
        </top>
        <bottom style="hair">
          <color rgb="FFF78D7B"/>
        </bottom>
        <vertical/>
        <horizontal/>
      </border>
    </dxf>
    <dxf>
      <border>
        <left style="hair">
          <color rgb="FF9DE1CE"/>
        </left>
        <right style="hair">
          <color rgb="FF9DE1CE"/>
        </right>
        <top style="hair">
          <color rgb="FF9DE1CE"/>
        </top>
        <bottom style="hair">
          <color rgb="FF9DE1CE"/>
        </bottom>
        <vertical/>
        <horizontal/>
      </border>
    </dxf>
    <dxf>
      <font>
        <b val="0"/>
        <i/>
        <color theme="0" tint="-0.34998626667073579"/>
      </font>
    </dxf>
    <dxf>
      <fill>
        <patternFill>
          <bgColor theme="6" tint="0.79998168889431442"/>
        </patternFill>
      </fill>
      <border>
        <vertical/>
        <horizontal/>
      </border>
    </dxf>
    <dxf>
      <fill>
        <patternFill>
          <bgColor rgb="FFFDE7E3"/>
        </patternFill>
      </fill>
      <border>
        <vertical/>
        <horizontal/>
      </border>
    </dxf>
    <dxf>
      <border>
        <left style="thick">
          <color rgb="FFB4C6E7"/>
        </left>
        <right style="thick">
          <color rgb="FFB4C6E7"/>
        </right>
        <top style="thick">
          <color rgb="FFB4C6E7"/>
        </top>
        <bottom style="thick">
          <color rgb="FFB4C6E7"/>
        </bottom>
        <vertical style="thick">
          <color rgb="FFB4C6E7"/>
        </vertical>
        <horizontal style="thick">
          <color rgb="FFB4C6E7"/>
        </horizontal>
      </border>
    </dxf>
  </dxfs>
  <tableStyles count="2" defaultTableStyle="TableStyleMedium2" defaultPivotStyle="PivotStyleLight16">
    <tableStyle name="Invisible" pivot="0" table="0" count="0" xr9:uid="{B5E17CE3-EA8B-4FB5-877B-3F3303DCB620}"/>
    <tableStyle name="Table Style 1" pivot="0" count="1" xr9:uid="{516351FA-C989-49B4-BDD6-55C101A89CBA}">
      <tableStyleElement type="wholeTable" dxfId="58"/>
    </tableStyle>
  </tableStyles>
  <colors>
    <mruColors>
      <color rgb="FF5DCEAF"/>
      <color rgb="FFF46750"/>
      <color rgb="FF2C3644"/>
      <color rgb="FF4FADF3"/>
      <color rgb="FFFF994D"/>
      <color rgb="FFAD4A00"/>
      <color rgb="FF2A8A6F"/>
      <color rgb="FF9C1F0A"/>
      <color rgb="FFFF8021"/>
      <color rgb="FFF14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400">
                <a:solidFill>
                  <a:srgbClr val="595959"/>
                </a:solidFill>
                <a:latin typeface="Century Gothic" panose="020B0502020202020204" pitchFamily="34" charset="0"/>
              </a:rPr>
              <a:t>Click Source</a:t>
            </a:r>
            <a:endParaRPr lang="en-US" sz="1400">
              <a:solidFill>
                <a:srgbClr val="595959"/>
              </a:solidFill>
              <a:latin typeface="Century Gothic" panose="020B0502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rgbClr val="595959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18533902012248471"/>
          <c:y val="0.13392803180023216"/>
          <c:w val="0.63395195392242643"/>
          <c:h val="0.49345435384710118"/>
        </c:manualLayout>
      </c:layout>
      <c:pieChart>
        <c:varyColors val="1"/>
        <c:ser>
          <c:idx val="0"/>
          <c:order val="0"/>
          <c:tx>
            <c:v>Click Source</c:v>
          </c:tx>
          <c:dPt>
            <c:idx val="0"/>
            <c:bubble3D val="0"/>
            <c:spPr>
              <a:solidFill>
                <a:srgbClr val="4E67C8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4-896D-4816-8F24-956B8A832F1E}"/>
              </c:ext>
            </c:extLst>
          </c:dPt>
          <c:dPt>
            <c:idx val="1"/>
            <c:bubble3D val="0"/>
            <c:spPr>
              <a:solidFill>
                <a:srgbClr val="5ECCF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896D-4816-8F24-956B8A832F1E}"/>
              </c:ext>
            </c:extLst>
          </c:dPt>
          <c:dPt>
            <c:idx val="2"/>
            <c:bubble3D val="0"/>
            <c:spPr>
              <a:solidFill>
                <a:srgbClr val="A7EA5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6-896D-4816-8F24-956B8A832F1E}"/>
              </c:ext>
            </c:extLst>
          </c:dPt>
          <c:dPt>
            <c:idx val="3"/>
            <c:bubble3D val="0"/>
            <c:spPr>
              <a:solidFill>
                <a:srgbClr val="5DCEAF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896D-4816-8F24-956B8A832F1E}"/>
              </c:ext>
            </c:extLst>
          </c:dPt>
          <c:dPt>
            <c:idx val="4"/>
            <c:bubble3D val="0"/>
            <c:spPr>
              <a:solidFill>
                <a:srgbClr val="FF802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8-896D-4816-8F24-956B8A832F1E}"/>
              </c:ext>
            </c:extLst>
          </c:dPt>
          <c:dPt>
            <c:idx val="5"/>
            <c:bubble3D val="0"/>
            <c:spPr>
              <a:solidFill>
                <a:srgbClr val="F1412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896D-4816-8F24-956B8A832F1E}"/>
              </c:ext>
            </c:extLst>
          </c:dPt>
          <c:dPt>
            <c:idx val="6"/>
            <c:bubble3D val="0"/>
            <c:spPr>
              <a:solidFill>
                <a:srgbClr val="283A7F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2-896D-4816-8F24-956B8A832F1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050D-4B2B-A59B-FCA5ED54ECE4}"/>
              </c:ext>
            </c:extLst>
          </c:dPt>
          <c:dLbls>
            <c:delete val="1"/>
          </c:dLbls>
          <c:cat>
            <c:strRef>
              <c:f>[0]!ChartChannels</c:f>
              <c:strCache>
                <c:ptCount val="8"/>
                <c:pt idx="0">
                  <c:v>Google Ads</c:v>
                </c:pt>
                <c:pt idx="1">
                  <c:v>Facebook</c:v>
                </c:pt>
                <c:pt idx="2">
                  <c:v>Email Marketing</c:v>
                </c:pt>
                <c:pt idx="3">
                  <c:v>Instagram Ads</c:v>
                </c:pt>
                <c:pt idx="4">
                  <c:v>Influencer Marketing</c:v>
                </c:pt>
                <c:pt idx="5">
                  <c:v>LinkedIn</c:v>
                </c:pt>
                <c:pt idx="6">
                  <c:v>Twitter</c:v>
                </c:pt>
                <c:pt idx="7">
                  <c:v>Template</c:v>
                </c:pt>
              </c:strCache>
            </c:strRef>
          </c:cat>
          <c:val>
            <c:numRef>
              <c:f>[0]!ChartClick</c:f>
              <c:numCache>
                <c:formatCode>#,##0</c:formatCode>
                <c:ptCount val="8"/>
                <c:pt idx="0">
                  <c:v>800</c:v>
                </c:pt>
                <c:pt idx="1">
                  <c:v>500</c:v>
                </c:pt>
                <c:pt idx="2">
                  <c:v>1000</c:v>
                </c:pt>
                <c:pt idx="3">
                  <c:v>5890</c:v>
                </c:pt>
                <c:pt idx="4">
                  <c:v>4300</c:v>
                </c:pt>
                <c:pt idx="5">
                  <c:v>1495</c:v>
                </c:pt>
                <c:pt idx="6">
                  <c:v>3525</c:v>
                </c:pt>
                <c:pt idx="7">
                  <c:v>3600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96D-4816-8F24-956B8A832F1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9240303295421412E-2"/>
          <c:y val="0.67422921920147005"/>
          <c:w val="0.97075969670457862"/>
          <c:h val="0.304149165312005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  <c:extLst/>
  </c:chart>
  <c:spPr>
    <a:solidFill>
      <a:srgbClr val="F9F9F9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Dashboard!$H$8</c:f>
          <c:strCache>
            <c:ptCount val="1"/>
            <c:pt idx="0">
              <c:v>CPC  ($)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50" normalizeH="0" baseline="0">
              <a:solidFill>
                <a:srgbClr val="595959"/>
              </a:solidFill>
              <a:latin typeface="Century Gothic" panose="020B0502020202020204" pitchFamily="34" charset="0"/>
              <a:ea typeface="+mj-ea"/>
              <a:cs typeface="+mj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CPC</c:v>
          </c:tx>
          <c:invertIfNegative val="0"/>
          <c:dPt>
            <c:idx val="0"/>
            <c:invertIfNegative val="0"/>
            <c:bubble3D val="0"/>
            <c:spPr>
              <a:solidFill>
                <a:srgbClr val="F1412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9FBE-4FEA-8326-013F464BF1A9}"/>
              </c:ext>
            </c:extLst>
          </c:dPt>
          <c:dPt>
            <c:idx val="1"/>
            <c:invertIfNegative val="0"/>
            <c:bubble3D val="0"/>
            <c:spPr>
              <a:solidFill>
                <a:srgbClr val="FF802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9FBE-4FEA-8326-013F464BF1A9}"/>
              </c:ext>
            </c:extLst>
          </c:dPt>
          <c:dPt>
            <c:idx val="2"/>
            <c:invertIfNegative val="0"/>
            <c:bubble3D val="0"/>
            <c:spPr>
              <a:solidFill>
                <a:srgbClr val="5DCEA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9FBE-4FEA-8326-013F464BF1A9}"/>
              </c:ext>
            </c:extLst>
          </c:dPt>
          <c:dPt>
            <c:idx val="3"/>
            <c:invertIfNegative val="0"/>
            <c:bubble3D val="0"/>
            <c:spPr>
              <a:solidFill>
                <a:srgbClr val="9C1F0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9FBE-4FEA-8326-013F464BF1A9}"/>
              </c:ext>
            </c:extLst>
          </c:dPt>
          <c:dPt>
            <c:idx val="4"/>
            <c:invertIfNegative val="0"/>
            <c:bubble3D val="0"/>
            <c:spPr>
              <a:solidFill>
                <a:srgbClr val="AD4A00">
                  <a:alpha val="69804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9D7-44AF-BE36-65D1039FD05E}"/>
              </c:ext>
            </c:extLst>
          </c:dPt>
          <c:dPt>
            <c:idx val="5"/>
            <c:invertIfNegative val="0"/>
            <c:bubble3D val="0"/>
            <c:spPr>
              <a:solidFill>
                <a:srgbClr val="2A8A6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9FBE-4FEA-8326-013F464BF1A9}"/>
              </c:ext>
            </c:extLst>
          </c:dPt>
          <c:dPt>
            <c:idx val="6"/>
            <c:invertIfNegative val="0"/>
            <c:bubble3D val="0"/>
            <c:spPr>
              <a:solidFill>
                <a:srgbClr val="F46750">
                  <a:alpha val="69804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9D7-44AF-BE36-65D1039FD05E}"/>
              </c:ext>
            </c:extLst>
          </c:dPt>
          <c:dPt>
            <c:idx val="7"/>
            <c:invertIfNegative val="0"/>
            <c:bubble3D val="0"/>
            <c:spPr>
              <a:solidFill>
                <a:srgbClr val="FF994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99D7-44AF-BE36-65D1039FD05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[0]!ChartChannels</c:f>
              <c:strCache>
                <c:ptCount val="8"/>
                <c:pt idx="0">
                  <c:v>Google Ads</c:v>
                </c:pt>
                <c:pt idx="1">
                  <c:v>Facebook</c:v>
                </c:pt>
                <c:pt idx="2">
                  <c:v>Email Marketing</c:v>
                </c:pt>
                <c:pt idx="3">
                  <c:v>Instagram Ads</c:v>
                </c:pt>
                <c:pt idx="4">
                  <c:v>Influencer Marketing</c:v>
                </c:pt>
                <c:pt idx="5">
                  <c:v>LinkedIn</c:v>
                </c:pt>
                <c:pt idx="6">
                  <c:v>Twitter</c:v>
                </c:pt>
                <c:pt idx="7">
                  <c:v>Template</c:v>
                </c:pt>
              </c:strCache>
            </c:strRef>
          </c:cat>
          <c:val>
            <c:numRef>
              <c:f>[0]!ChartCPC</c:f>
              <c:numCache>
                <c:formatCode>#,##0.00</c:formatCode>
                <c:ptCount val="8"/>
                <c:pt idx="0">
                  <c:v>2.875</c:v>
                </c:pt>
                <c:pt idx="1">
                  <c:v>2.4</c:v>
                </c:pt>
                <c:pt idx="2">
                  <c:v>1.4</c:v>
                </c:pt>
                <c:pt idx="3">
                  <c:v>0.25466893039049238</c:v>
                </c:pt>
                <c:pt idx="4">
                  <c:v>0.44651162790697674</c:v>
                </c:pt>
                <c:pt idx="5">
                  <c:v>0.86956521739130432</c:v>
                </c:pt>
                <c:pt idx="6">
                  <c:v>0.49645390070921985</c:v>
                </c:pt>
                <c:pt idx="7">
                  <c:v>0.17499999999999999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FBE-4FEA-8326-013F464BF1A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25"/>
        <c:axId val="961554032"/>
        <c:axId val="951920544"/>
      </c:barChart>
      <c:catAx>
        <c:axId val="96155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951920544"/>
        <c:crosses val="autoZero"/>
        <c:auto val="1"/>
        <c:lblAlgn val="ctr"/>
        <c:lblOffset val="100"/>
        <c:noMultiLvlLbl val="0"/>
      </c:catAx>
      <c:valAx>
        <c:axId val="951920544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961554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9F9F9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tr-TR" sz="1400" b="1" i="0" u="none" strike="noStrike" kern="1200" spc="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Posterama" panose="020B0504020200020000" pitchFamily="34" charset="0"/>
              </a:defRPr>
            </a:pPr>
            <a:r>
              <a:rPr lang="tr-TR" sz="1400" b="1" i="0" u="none" strike="noStrike" kern="120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Posterama" panose="020B0504020200020000" pitchFamily="34" charset="0"/>
              </a:rPr>
              <a:t>Total Costs Comparison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tr-TR" sz="1400" b="1" i="0" u="none" strike="noStrike" kern="1200" spc="0" baseline="0">
              <a:solidFill>
                <a:srgbClr val="595959"/>
              </a:solidFill>
              <a:latin typeface="Century Gothic" panose="020B0502020202020204" pitchFamily="34" charset="0"/>
              <a:ea typeface="+mn-ea"/>
              <a:cs typeface="Posterama" panose="020B0504020200020000" pitchFamily="34" charset="0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v>Costs</c:v>
          </c:tx>
          <c:spPr>
            <a:solidFill>
              <a:srgbClr val="F467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467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E8D-4575-AD55-9413D0BB09B5}"/>
              </c:ext>
            </c:extLst>
          </c:dPt>
          <c:dPt>
            <c:idx val="1"/>
            <c:invertIfNegative val="0"/>
            <c:bubble3D val="0"/>
            <c:spPr>
              <a:solidFill>
                <a:srgbClr val="F467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E8D-4575-AD55-9413D0BB09B5}"/>
              </c:ext>
            </c:extLst>
          </c:dPt>
          <c:dPt>
            <c:idx val="2"/>
            <c:invertIfNegative val="0"/>
            <c:bubble3D val="0"/>
            <c:spPr>
              <a:solidFill>
                <a:srgbClr val="F467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E8D-4575-AD55-9413D0BB09B5}"/>
              </c:ext>
            </c:extLst>
          </c:dPt>
          <c:dPt>
            <c:idx val="3"/>
            <c:invertIfNegative val="0"/>
            <c:bubble3D val="0"/>
            <c:spPr>
              <a:solidFill>
                <a:srgbClr val="F467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E8D-4575-AD55-9413D0BB09B5}"/>
              </c:ext>
            </c:extLst>
          </c:dPt>
          <c:dPt>
            <c:idx val="4"/>
            <c:invertIfNegative val="0"/>
            <c:bubble3D val="0"/>
            <c:spPr>
              <a:solidFill>
                <a:srgbClr val="F467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E8D-4575-AD55-9413D0BB09B5}"/>
              </c:ext>
            </c:extLst>
          </c:dPt>
          <c:dPt>
            <c:idx val="5"/>
            <c:invertIfNegative val="0"/>
            <c:bubble3D val="0"/>
            <c:spPr>
              <a:solidFill>
                <a:srgbClr val="F467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E8D-4575-AD55-9413D0BB09B5}"/>
              </c:ext>
            </c:extLst>
          </c:dPt>
          <c:dPt>
            <c:idx val="6"/>
            <c:invertIfNegative val="0"/>
            <c:bubble3D val="0"/>
            <c:spPr>
              <a:solidFill>
                <a:srgbClr val="F467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E8D-4575-AD55-9413D0BB09B5}"/>
              </c:ext>
            </c:extLst>
          </c:dPt>
          <c:dPt>
            <c:idx val="7"/>
            <c:invertIfNegative val="0"/>
            <c:bubble3D val="0"/>
            <c:spPr>
              <a:solidFill>
                <a:srgbClr val="F467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AD0-4D02-BF43-413363CCCE2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[0]!ChartChannels</c:f>
              <c:strCache>
                <c:ptCount val="8"/>
                <c:pt idx="0">
                  <c:v>Google Ads</c:v>
                </c:pt>
                <c:pt idx="1">
                  <c:v>Facebook</c:v>
                </c:pt>
                <c:pt idx="2">
                  <c:v>Email Marketing</c:v>
                </c:pt>
                <c:pt idx="3">
                  <c:v>Instagram Ads</c:v>
                </c:pt>
                <c:pt idx="4">
                  <c:v>Influencer Marketing</c:v>
                </c:pt>
                <c:pt idx="5">
                  <c:v>LinkedIn</c:v>
                </c:pt>
                <c:pt idx="6">
                  <c:v>Twitter</c:v>
                </c:pt>
                <c:pt idx="7">
                  <c:v>Template</c:v>
                </c:pt>
              </c:strCache>
            </c:strRef>
          </c:cat>
          <c:val>
            <c:numRef>
              <c:f>[0]!ChartCost</c:f>
              <c:numCache>
                <c:formatCode>#,##0</c:formatCode>
                <c:ptCount val="8"/>
                <c:pt idx="0">
                  <c:v>2300</c:v>
                </c:pt>
                <c:pt idx="1">
                  <c:v>1200</c:v>
                </c:pt>
                <c:pt idx="2">
                  <c:v>1400</c:v>
                </c:pt>
                <c:pt idx="3">
                  <c:v>1500</c:v>
                </c:pt>
                <c:pt idx="4">
                  <c:v>1920</c:v>
                </c:pt>
                <c:pt idx="5">
                  <c:v>1300</c:v>
                </c:pt>
                <c:pt idx="6">
                  <c:v>1750</c:v>
                </c:pt>
                <c:pt idx="7">
                  <c:v>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01-4AAF-BC96-8934CE489B8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4"/>
        <c:axId val="662947599"/>
        <c:axId val="662948847"/>
      </c:barChart>
      <c:catAx>
        <c:axId val="66294759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662948847"/>
        <c:crosses val="autoZero"/>
        <c:auto val="1"/>
        <c:lblAlgn val="ctr"/>
        <c:lblOffset val="100"/>
        <c:noMultiLvlLbl val="0"/>
      </c:catAx>
      <c:valAx>
        <c:axId val="662948847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662947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9F9F9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400" b="1" i="0" u="none" strike="noStrike" kern="1200" spc="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+mn-cs"/>
              </a:rPr>
              <a:t>ROI</a:t>
            </a:r>
            <a:r>
              <a:rPr lang="tr-TR" sz="1400" b="1" i="0" u="none" strike="noStrike" kern="1200" spc="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+mn-cs"/>
              </a:rPr>
              <a:t> Comparison</a:t>
            </a:r>
            <a:endParaRPr lang="en-US" sz="1400" b="1" i="0" u="none" strike="noStrike" kern="1200" spc="0" baseline="0">
              <a:solidFill>
                <a:srgbClr val="595959"/>
              </a:solidFill>
              <a:latin typeface="Century Gothic" panose="020B0502020202020204" pitchFamily="34" charset="0"/>
              <a:ea typeface="+mn-ea"/>
              <a:cs typeface="+mn-cs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400" b="1" i="0" u="none" strike="noStrike" kern="1200" spc="0" baseline="0">
              <a:solidFill>
                <a:srgbClr val="595959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ROI</c:v>
          </c:tx>
          <c:spPr>
            <a:ln w="28575" cap="rnd">
              <a:solidFill>
                <a:srgbClr val="5DCEAF"/>
              </a:solidFill>
              <a:round/>
            </a:ln>
            <a:effectLst/>
          </c:spPr>
          <c:marker>
            <c:symbol val="none"/>
          </c:marke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[0]!ChartChannels</c:f>
              <c:strCache>
                <c:ptCount val="8"/>
                <c:pt idx="0">
                  <c:v>Google Ads</c:v>
                </c:pt>
                <c:pt idx="1">
                  <c:v>Facebook</c:v>
                </c:pt>
                <c:pt idx="2">
                  <c:v>Email Marketing</c:v>
                </c:pt>
                <c:pt idx="3">
                  <c:v>Instagram Ads</c:v>
                </c:pt>
                <c:pt idx="4">
                  <c:v>Influencer Marketing</c:v>
                </c:pt>
                <c:pt idx="5">
                  <c:v>LinkedIn</c:v>
                </c:pt>
                <c:pt idx="6">
                  <c:v>Twitter</c:v>
                </c:pt>
                <c:pt idx="7">
                  <c:v>Template</c:v>
                </c:pt>
              </c:strCache>
            </c:strRef>
          </c:cat>
          <c:val>
            <c:numRef>
              <c:f>[0]!ChartRoi</c:f>
              <c:numCache>
                <c:formatCode>0.00%</c:formatCode>
                <c:ptCount val="8"/>
                <c:pt idx="0">
                  <c:v>-0.13043478260869565</c:v>
                </c:pt>
                <c:pt idx="1">
                  <c:v>0.83333333333333337</c:v>
                </c:pt>
                <c:pt idx="2">
                  <c:v>1.1428571428571428</c:v>
                </c:pt>
                <c:pt idx="3">
                  <c:v>1.07328</c:v>
                </c:pt>
                <c:pt idx="4">
                  <c:v>2.125</c:v>
                </c:pt>
                <c:pt idx="5">
                  <c:v>0.20749999999999999</c:v>
                </c:pt>
                <c:pt idx="6">
                  <c:v>0.55100000000000005</c:v>
                </c:pt>
                <c:pt idx="7">
                  <c:v>2.657142857142857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53-4D4C-94CC-987B56D38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7110591"/>
        <c:axId val="1717105183"/>
      </c:lineChart>
      <c:catAx>
        <c:axId val="171711059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717105183"/>
        <c:crosses val="autoZero"/>
        <c:auto val="1"/>
        <c:lblAlgn val="ctr"/>
        <c:lblOffset val="100"/>
        <c:noMultiLvlLbl val="0"/>
      </c:catAx>
      <c:valAx>
        <c:axId val="1717105183"/>
        <c:scaling>
          <c:orientation val="minMax"/>
        </c:scaling>
        <c:delete val="1"/>
        <c:axPos val="r"/>
        <c:numFmt formatCode="0.00%" sourceLinked="1"/>
        <c:majorTickMark val="none"/>
        <c:minorTickMark val="none"/>
        <c:tickLblPos val="nextTo"/>
        <c:crossAx val="1717110591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7"/><Relationship Id="rId13" Type="http://schemas.microsoft.com/office/2007/relationships/hdphoto" Target="../media/hdphoto1.wdp"/><Relationship Id="rId18" Type="http://schemas.openxmlformats.org/officeDocument/2006/relationships/chart" Target="../charts/chart4.xml"/><Relationship Id="rId3" Type="http://schemas.openxmlformats.org/officeDocument/2006/relationships/hyperlink" Target="#Email!A6"/><Relationship Id="rId21" Type="http://schemas.openxmlformats.org/officeDocument/2006/relationships/image" Target="../media/image3.png"/><Relationship Id="rId7" Type="http://schemas.openxmlformats.org/officeDocument/2006/relationships/hyperlink" Target="#Twitter!A6"/><Relationship Id="rId12" Type="http://schemas.openxmlformats.org/officeDocument/2006/relationships/image" Target="../media/image1.png"/><Relationship Id="rId17" Type="http://schemas.openxmlformats.org/officeDocument/2006/relationships/chart" Target="../charts/chart3.xml"/><Relationship Id="rId2" Type="http://schemas.openxmlformats.org/officeDocument/2006/relationships/hyperlink" Target="#Facebook!A6"/><Relationship Id="rId16" Type="http://schemas.microsoft.com/office/2007/relationships/hdphoto" Target="../media/hdphoto2.wdp"/><Relationship Id="rId1" Type="http://schemas.openxmlformats.org/officeDocument/2006/relationships/hyperlink" Target="#GoogleAds!A6"/><Relationship Id="rId6" Type="http://schemas.openxmlformats.org/officeDocument/2006/relationships/hyperlink" Target="#LinkedIn!A6"/><Relationship Id="rId11" Type="http://schemas.openxmlformats.org/officeDocument/2006/relationships/chart" Target="../charts/chart2.xml"/><Relationship Id="rId5" Type="http://schemas.openxmlformats.org/officeDocument/2006/relationships/hyperlink" Target="#Influencer!A6"/><Relationship Id="rId15" Type="http://schemas.openxmlformats.org/officeDocument/2006/relationships/image" Target="../media/image2.png"/><Relationship Id="rId23" Type="http://schemas.openxmlformats.org/officeDocument/2006/relationships/image" Target="../media/image4.png"/><Relationship Id="rId10" Type="http://schemas.openxmlformats.org/officeDocument/2006/relationships/chart" Target="../charts/chart1.xml"/><Relationship Id="rId4" Type="http://schemas.openxmlformats.org/officeDocument/2006/relationships/hyperlink" Target="#Instagram!A6"/><Relationship Id="rId9" Type="http://schemas.openxmlformats.org/officeDocument/2006/relationships/hyperlink" Target="#Basic!A6"/><Relationship Id="rId24" Type="http://schemas.openxmlformats.org/officeDocument/2006/relationships/image" Target="../media/image14.png"/><Relationship Id="rId25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Twitter!A6"/><Relationship Id="rId13" Type="http://schemas.openxmlformats.org/officeDocument/2006/relationships/image" Target="../media/image3.png"/><Relationship Id="rId3" Type="http://schemas.openxmlformats.org/officeDocument/2006/relationships/hyperlink" Target="#Facebook!A6"/><Relationship Id="rId7" Type="http://schemas.openxmlformats.org/officeDocument/2006/relationships/hyperlink" Target="#LinkedIn!A6"/><Relationship Id="rId2" Type="http://schemas.openxmlformats.org/officeDocument/2006/relationships/hyperlink" Target="#GoogleAds!A6"/><Relationship Id="rId1" Type="http://schemas.openxmlformats.org/officeDocument/2006/relationships/image" Target="../media/image5.png"/><Relationship Id="rId6" Type="http://schemas.openxmlformats.org/officeDocument/2006/relationships/hyperlink" Target="#Influencer!A6"/><Relationship Id="rId5" Type="http://schemas.openxmlformats.org/officeDocument/2006/relationships/hyperlink" Target="#Instagram!A6"/><Relationship Id="rId15" Type="http://schemas.openxmlformats.org/officeDocument/2006/relationships/image" Target="../media/image4.png"/><Relationship Id="rId10" Type="http://schemas.openxmlformats.org/officeDocument/2006/relationships/hyperlink" Target="#Basic!A6"/><Relationship Id="rId4" Type="http://schemas.openxmlformats.org/officeDocument/2006/relationships/hyperlink" Target="#Email!A6"/><Relationship Id="rId9" Type="http://schemas.openxmlformats.org/officeDocument/2006/relationships/hyperlink" Target="#Dashboard!A7"/><Relationship Id="rId16" Type="http://schemas.openxmlformats.org/officeDocument/2006/relationships/image" Target="../media/image15.png"/><Relationship Id="rId17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Twitter!A6"/><Relationship Id="rId13" Type="http://schemas.openxmlformats.org/officeDocument/2006/relationships/image" Target="../media/image3.png"/><Relationship Id="rId3" Type="http://schemas.openxmlformats.org/officeDocument/2006/relationships/hyperlink" Target="#Facebook!A6"/><Relationship Id="rId7" Type="http://schemas.openxmlformats.org/officeDocument/2006/relationships/hyperlink" Target="#LinkedIn!A6"/><Relationship Id="rId2" Type="http://schemas.openxmlformats.org/officeDocument/2006/relationships/hyperlink" Target="#GoogleAds!A6"/><Relationship Id="rId1" Type="http://schemas.openxmlformats.org/officeDocument/2006/relationships/image" Target="../media/image6.png"/><Relationship Id="rId6" Type="http://schemas.openxmlformats.org/officeDocument/2006/relationships/hyperlink" Target="#Influencer!A6"/><Relationship Id="rId5" Type="http://schemas.openxmlformats.org/officeDocument/2006/relationships/hyperlink" Target="#Instagram!A6"/><Relationship Id="rId15" Type="http://schemas.openxmlformats.org/officeDocument/2006/relationships/image" Target="../media/image4.png"/><Relationship Id="rId10" Type="http://schemas.openxmlformats.org/officeDocument/2006/relationships/hyperlink" Target="#Basic!A6"/><Relationship Id="rId4" Type="http://schemas.openxmlformats.org/officeDocument/2006/relationships/hyperlink" Target="#Email!A6"/><Relationship Id="rId9" Type="http://schemas.openxmlformats.org/officeDocument/2006/relationships/hyperlink" Target="#Dashboard!A7"/><Relationship Id="rId16" Type="http://schemas.openxmlformats.org/officeDocument/2006/relationships/image" Target="../media/image16.png"/><Relationship Id="rId17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Twitter!A6"/><Relationship Id="rId13" Type="http://schemas.openxmlformats.org/officeDocument/2006/relationships/image" Target="../media/image3.png"/><Relationship Id="rId3" Type="http://schemas.openxmlformats.org/officeDocument/2006/relationships/hyperlink" Target="#Facebook!A6"/><Relationship Id="rId7" Type="http://schemas.openxmlformats.org/officeDocument/2006/relationships/hyperlink" Target="#LinkedIn!A6"/><Relationship Id="rId2" Type="http://schemas.openxmlformats.org/officeDocument/2006/relationships/hyperlink" Target="#GoogleAds!A6"/><Relationship Id="rId1" Type="http://schemas.openxmlformats.org/officeDocument/2006/relationships/image" Target="../media/image7.png"/><Relationship Id="rId6" Type="http://schemas.openxmlformats.org/officeDocument/2006/relationships/hyperlink" Target="#Influencer!A6"/><Relationship Id="rId5" Type="http://schemas.openxmlformats.org/officeDocument/2006/relationships/hyperlink" Target="#Instagram!A6"/><Relationship Id="rId15" Type="http://schemas.openxmlformats.org/officeDocument/2006/relationships/image" Target="../media/image4.png"/><Relationship Id="rId10" Type="http://schemas.openxmlformats.org/officeDocument/2006/relationships/hyperlink" Target="#Basic!A6"/><Relationship Id="rId4" Type="http://schemas.openxmlformats.org/officeDocument/2006/relationships/hyperlink" Target="#Email!A6"/><Relationship Id="rId9" Type="http://schemas.openxmlformats.org/officeDocument/2006/relationships/hyperlink" Target="#Dashboard!A7"/><Relationship Id="rId16" Type="http://schemas.openxmlformats.org/officeDocument/2006/relationships/image" Target="../media/image17.png"/><Relationship Id="rId17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Twitter!A6"/><Relationship Id="rId13" Type="http://schemas.openxmlformats.org/officeDocument/2006/relationships/image" Target="../media/image3.png"/><Relationship Id="rId3" Type="http://schemas.openxmlformats.org/officeDocument/2006/relationships/hyperlink" Target="#Facebook!A6"/><Relationship Id="rId7" Type="http://schemas.openxmlformats.org/officeDocument/2006/relationships/hyperlink" Target="#LinkedIn!A6"/><Relationship Id="rId2" Type="http://schemas.openxmlformats.org/officeDocument/2006/relationships/hyperlink" Target="#GoogleAds!A6"/><Relationship Id="rId1" Type="http://schemas.openxmlformats.org/officeDocument/2006/relationships/image" Target="../media/image8.png"/><Relationship Id="rId6" Type="http://schemas.openxmlformats.org/officeDocument/2006/relationships/hyperlink" Target="#Influencer!A6"/><Relationship Id="rId5" Type="http://schemas.openxmlformats.org/officeDocument/2006/relationships/hyperlink" Target="#Instagram!A6"/><Relationship Id="rId15" Type="http://schemas.openxmlformats.org/officeDocument/2006/relationships/image" Target="../media/image4.png"/><Relationship Id="rId10" Type="http://schemas.openxmlformats.org/officeDocument/2006/relationships/hyperlink" Target="#Basic!A6"/><Relationship Id="rId4" Type="http://schemas.openxmlformats.org/officeDocument/2006/relationships/hyperlink" Target="#Email!A6"/><Relationship Id="rId9" Type="http://schemas.openxmlformats.org/officeDocument/2006/relationships/hyperlink" Target="#Dashboard!A7"/><Relationship Id="rId16" Type="http://schemas.openxmlformats.org/officeDocument/2006/relationships/image" Target="../media/image18.png"/><Relationship Id="rId17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Twitter!A6"/><Relationship Id="rId13" Type="http://schemas.openxmlformats.org/officeDocument/2006/relationships/image" Target="../media/image3.png"/><Relationship Id="rId3" Type="http://schemas.openxmlformats.org/officeDocument/2006/relationships/hyperlink" Target="#Facebook!A6"/><Relationship Id="rId7" Type="http://schemas.openxmlformats.org/officeDocument/2006/relationships/hyperlink" Target="#LinkedIn!A6"/><Relationship Id="rId2" Type="http://schemas.openxmlformats.org/officeDocument/2006/relationships/hyperlink" Target="#GoogleAds!A6"/><Relationship Id="rId1" Type="http://schemas.openxmlformats.org/officeDocument/2006/relationships/image" Target="../media/image9.png"/><Relationship Id="rId6" Type="http://schemas.openxmlformats.org/officeDocument/2006/relationships/hyperlink" Target="#Influencer!A6"/><Relationship Id="rId5" Type="http://schemas.openxmlformats.org/officeDocument/2006/relationships/hyperlink" Target="#Instagram!A6"/><Relationship Id="rId15" Type="http://schemas.openxmlformats.org/officeDocument/2006/relationships/image" Target="../media/image4.png"/><Relationship Id="rId10" Type="http://schemas.openxmlformats.org/officeDocument/2006/relationships/hyperlink" Target="#Basic!A6"/><Relationship Id="rId4" Type="http://schemas.openxmlformats.org/officeDocument/2006/relationships/hyperlink" Target="#Email!A6"/><Relationship Id="rId9" Type="http://schemas.openxmlformats.org/officeDocument/2006/relationships/hyperlink" Target="#Dashboard!A7"/><Relationship Id="rId16" Type="http://schemas.openxmlformats.org/officeDocument/2006/relationships/image" Target="../media/image19.png"/><Relationship Id="rId17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Twitter!A6"/><Relationship Id="rId13" Type="http://schemas.openxmlformats.org/officeDocument/2006/relationships/image" Target="../media/image3.png"/><Relationship Id="rId3" Type="http://schemas.openxmlformats.org/officeDocument/2006/relationships/hyperlink" Target="#Facebook!A6"/><Relationship Id="rId7" Type="http://schemas.openxmlformats.org/officeDocument/2006/relationships/hyperlink" Target="#LinkedIn!A6"/><Relationship Id="rId2" Type="http://schemas.openxmlformats.org/officeDocument/2006/relationships/hyperlink" Target="#GoogleAds!A6"/><Relationship Id="rId1" Type="http://schemas.openxmlformats.org/officeDocument/2006/relationships/image" Target="../media/image10.png"/><Relationship Id="rId6" Type="http://schemas.openxmlformats.org/officeDocument/2006/relationships/hyperlink" Target="#Influencer!A6"/><Relationship Id="rId5" Type="http://schemas.openxmlformats.org/officeDocument/2006/relationships/hyperlink" Target="#Instagram!A6"/><Relationship Id="rId15" Type="http://schemas.openxmlformats.org/officeDocument/2006/relationships/image" Target="../media/image4.png"/><Relationship Id="rId10" Type="http://schemas.openxmlformats.org/officeDocument/2006/relationships/hyperlink" Target="#Basic!A6"/><Relationship Id="rId4" Type="http://schemas.openxmlformats.org/officeDocument/2006/relationships/hyperlink" Target="#Email!A6"/><Relationship Id="rId9" Type="http://schemas.openxmlformats.org/officeDocument/2006/relationships/hyperlink" Target="#Dashboard!A7"/><Relationship Id="rId16" Type="http://schemas.openxmlformats.org/officeDocument/2006/relationships/image" Target="../media/image20.png"/><Relationship Id="rId17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Twitter!A6"/><Relationship Id="rId13" Type="http://schemas.openxmlformats.org/officeDocument/2006/relationships/image" Target="../media/image3.png"/><Relationship Id="rId3" Type="http://schemas.openxmlformats.org/officeDocument/2006/relationships/hyperlink" Target="#Facebook!A6"/><Relationship Id="rId7" Type="http://schemas.openxmlformats.org/officeDocument/2006/relationships/hyperlink" Target="#LinkedIn!A6"/><Relationship Id="rId2" Type="http://schemas.openxmlformats.org/officeDocument/2006/relationships/hyperlink" Target="#GoogleAds!A6"/><Relationship Id="rId1" Type="http://schemas.openxmlformats.org/officeDocument/2006/relationships/image" Target="../media/image11.png"/><Relationship Id="rId6" Type="http://schemas.openxmlformats.org/officeDocument/2006/relationships/hyperlink" Target="#Influencer!A6"/><Relationship Id="rId5" Type="http://schemas.openxmlformats.org/officeDocument/2006/relationships/hyperlink" Target="#Instagram!A6"/><Relationship Id="rId15" Type="http://schemas.openxmlformats.org/officeDocument/2006/relationships/image" Target="../media/image4.png"/><Relationship Id="rId10" Type="http://schemas.openxmlformats.org/officeDocument/2006/relationships/hyperlink" Target="#Basic!A6"/><Relationship Id="rId4" Type="http://schemas.openxmlformats.org/officeDocument/2006/relationships/hyperlink" Target="#Email!A6"/><Relationship Id="rId9" Type="http://schemas.openxmlformats.org/officeDocument/2006/relationships/hyperlink" Target="#Dashboard!A7"/><Relationship Id="rId16" Type="http://schemas.openxmlformats.org/officeDocument/2006/relationships/image" Target="../media/image21.png"/><Relationship Id="rId17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#Twitter!A6"/><Relationship Id="rId13" Type="http://schemas.openxmlformats.org/officeDocument/2006/relationships/image" Target="../media/image3.png"/><Relationship Id="rId3" Type="http://schemas.openxmlformats.org/officeDocument/2006/relationships/hyperlink" Target="#Facebook!A6"/><Relationship Id="rId7" Type="http://schemas.openxmlformats.org/officeDocument/2006/relationships/hyperlink" Target="#LinkedIn!A6"/><Relationship Id="rId2" Type="http://schemas.openxmlformats.org/officeDocument/2006/relationships/hyperlink" Target="#GoogleAds!A6"/><Relationship Id="rId1" Type="http://schemas.openxmlformats.org/officeDocument/2006/relationships/image" Target="../media/image12.png"/><Relationship Id="rId6" Type="http://schemas.openxmlformats.org/officeDocument/2006/relationships/hyperlink" Target="#Influencer!A6"/><Relationship Id="rId5" Type="http://schemas.openxmlformats.org/officeDocument/2006/relationships/hyperlink" Target="#Instagram!A6"/><Relationship Id="rId15" Type="http://schemas.openxmlformats.org/officeDocument/2006/relationships/image" Target="../media/image4.png"/><Relationship Id="rId10" Type="http://schemas.openxmlformats.org/officeDocument/2006/relationships/hyperlink" Target="#Basic!A6"/><Relationship Id="rId4" Type="http://schemas.openxmlformats.org/officeDocument/2006/relationships/hyperlink" Target="#Email!A6"/><Relationship Id="rId9" Type="http://schemas.openxmlformats.org/officeDocument/2006/relationships/hyperlink" Target="#Dashboard!A7"/><Relationship Id="rId16" Type="http://schemas.openxmlformats.org/officeDocument/2006/relationships/image" Target="../media/image22.png"/><Relationship Id="rId17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7"/><Relationship Id="rId2" Type="http://schemas.openxmlformats.org/officeDocument/2006/relationships/image" Target="../media/image3.png"/><Relationship Id="rId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8</xdr:row>
      <xdr:rowOff>201216</xdr:rowOff>
    </xdr:from>
    <xdr:ext cx="714375" cy="344453"/>
    <xdr:sp macro="" textlink="">
      <xdr:nvSpPr>
        <xdr:cNvPr id="11" name="Rectangle: Single Corner Rounded 10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5D344BAD-3319-45C9-843C-19C0A620A8B2}"/>
            </a:ext>
          </a:extLst>
        </xdr:cNvPr>
        <xdr:cNvSpPr/>
      </xdr:nvSpPr>
      <xdr:spPr>
        <a:xfrm flipH="1">
          <a:off x="381000" y="1706166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GOOGLE</a:t>
          </a:r>
        </a:p>
        <a:p>
          <a:pPr algn="ctr"/>
          <a:r>
            <a:rPr lang="tr-TR" sz="1000" b="0">
              <a:solidFill>
                <a:schemeClr val="bg1"/>
              </a:solidFill>
            </a:rPr>
            <a:t>ADS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10</xdr:row>
      <xdr:rowOff>154782</xdr:rowOff>
    </xdr:from>
    <xdr:ext cx="714375" cy="344453"/>
    <xdr:sp macro="" textlink="">
      <xdr:nvSpPr>
        <xdr:cNvPr id="12" name="Rectangle: Single Corner Rounded 11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323104EB-D66F-46ED-8935-7C4A17115B2A}"/>
            </a:ext>
          </a:extLst>
        </xdr:cNvPr>
        <xdr:cNvSpPr/>
      </xdr:nvSpPr>
      <xdr:spPr>
        <a:xfrm flipH="1">
          <a:off x="381000" y="2155032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FACEBOOK</a:t>
          </a:r>
        </a:p>
      </xdr:txBody>
    </xdr:sp>
    <xdr:clientData/>
  </xdr:oneCellAnchor>
  <xdr:oneCellAnchor>
    <xdr:from>
      <xdr:col>1</xdr:col>
      <xdr:colOff>133350</xdr:colOff>
      <xdr:row>12</xdr:row>
      <xdr:rowOff>108348</xdr:rowOff>
    </xdr:from>
    <xdr:ext cx="714375" cy="344453"/>
    <xdr:sp macro="" textlink="">
      <xdr:nvSpPr>
        <xdr:cNvPr id="13" name="Rectangle: Single Corner Rounded 12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ED4D7146-2EA6-4809-A1C8-89BED349C342}"/>
            </a:ext>
          </a:extLst>
        </xdr:cNvPr>
        <xdr:cNvSpPr/>
      </xdr:nvSpPr>
      <xdr:spPr>
        <a:xfrm flipH="1">
          <a:off x="381000" y="2603898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EMAIL</a:t>
          </a:r>
        </a:p>
      </xdr:txBody>
    </xdr:sp>
    <xdr:clientData/>
  </xdr:oneCellAnchor>
  <xdr:oneCellAnchor>
    <xdr:from>
      <xdr:col>1</xdr:col>
      <xdr:colOff>133350</xdr:colOff>
      <xdr:row>14</xdr:row>
      <xdr:rowOff>61914</xdr:rowOff>
    </xdr:from>
    <xdr:ext cx="714375" cy="344453"/>
    <xdr:sp macro="" textlink="">
      <xdr:nvSpPr>
        <xdr:cNvPr id="14" name="Rectangle: Single Corner Rounded 13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6C806751-C276-48A3-92E4-4AC7AEB38B18}"/>
            </a:ext>
          </a:extLst>
        </xdr:cNvPr>
        <xdr:cNvSpPr/>
      </xdr:nvSpPr>
      <xdr:spPr>
        <a:xfrm flipH="1">
          <a:off x="381000" y="3052764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INSTAGRAM</a:t>
          </a:r>
        </a:p>
      </xdr:txBody>
    </xdr:sp>
    <xdr:clientData/>
  </xdr:oneCellAnchor>
  <xdr:oneCellAnchor>
    <xdr:from>
      <xdr:col>1</xdr:col>
      <xdr:colOff>133350</xdr:colOff>
      <xdr:row>16</xdr:row>
      <xdr:rowOff>15480</xdr:rowOff>
    </xdr:from>
    <xdr:ext cx="714375" cy="344453"/>
    <xdr:sp macro="" textlink="">
      <xdr:nvSpPr>
        <xdr:cNvPr id="15" name="Rectangle: Single Corner Rounded 14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0F1EB045-E6EA-48E2-8FE3-AB280BAC8BBE}"/>
            </a:ext>
          </a:extLst>
        </xdr:cNvPr>
        <xdr:cNvSpPr/>
      </xdr:nvSpPr>
      <xdr:spPr>
        <a:xfrm flipH="1">
          <a:off x="381000" y="3501630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INFLUENCER</a:t>
          </a:r>
        </a:p>
      </xdr:txBody>
    </xdr:sp>
    <xdr:clientData/>
  </xdr:oneCellAnchor>
  <xdr:oneCellAnchor>
    <xdr:from>
      <xdr:col>1</xdr:col>
      <xdr:colOff>133350</xdr:colOff>
      <xdr:row>18</xdr:row>
      <xdr:rowOff>92871</xdr:rowOff>
    </xdr:from>
    <xdr:ext cx="714375" cy="344453"/>
    <xdr:sp macro="" textlink="">
      <xdr:nvSpPr>
        <xdr:cNvPr id="16" name="Rectangle: Single Corner Rounded 15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F86CC6F1-40A6-4FC0-B311-77321B8D1BB7}"/>
            </a:ext>
          </a:extLst>
        </xdr:cNvPr>
        <xdr:cNvSpPr/>
      </xdr:nvSpPr>
      <xdr:spPr>
        <a:xfrm flipH="1">
          <a:off x="381000" y="3950496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LINKEDIN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20</xdr:row>
      <xdr:rowOff>46437</xdr:rowOff>
    </xdr:from>
    <xdr:ext cx="714375" cy="344453"/>
    <xdr:sp macro="" textlink="">
      <xdr:nvSpPr>
        <xdr:cNvPr id="17" name="Rectangle: Single Corner Rounded 16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41891787-5EF0-4F3E-AE01-73DA9A0C07BF}"/>
            </a:ext>
          </a:extLst>
        </xdr:cNvPr>
        <xdr:cNvSpPr/>
      </xdr:nvSpPr>
      <xdr:spPr>
        <a:xfrm flipH="1">
          <a:off x="381000" y="4399362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TWITTER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7</xdr:row>
      <xdr:rowOff>0</xdr:rowOff>
    </xdr:from>
    <xdr:ext cx="714375" cy="344453"/>
    <xdr:sp macro="" textlink="">
      <xdr:nvSpPr>
        <xdr:cNvPr id="18" name="Rectangle: Single Corner Rounded 17">
          <a:hlinkClick xmlns:r="http://schemas.openxmlformats.org/officeDocument/2006/relationships" r:id="rId8" tooltip="Go to:"/>
          <a:extLst>
            <a:ext uri="{FF2B5EF4-FFF2-40B4-BE49-F238E27FC236}">
              <a16:creationId xmlns:a16="http://schemas.microsoft.com/office/drawing/2014/main" id="{88D1F8FE-A26B-470A-A560-DC5F73DDC50A}"/>
            </a:ext>
          </a:extLst>
        </xdr:cNvPr>
        <xdr:cNvSpPr/>
      </xdr:nvSpPr>
      <xdr:spPr>
        <a:xfrm flipH="1">
          <a:off x="381000" y="1304925"/>
          <a:ext cx="714375" cy="344453"/>
        </a:xfrm>
        <a:prstGeom prst="round1Rect">
          <a:avLst>
            <a:gd name="adj" fmla="val 26423"/>
          </a:avLst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900" b="1" baseline="0">
              <a:solidFill>
                <a:schemeClr val="bg1"/>
              </a:solidFill>
            </a:rPr>
            <a:t>DASHBOARD</a:t>
          </a:r>
        </a:p>
      </xdr:txBody>
    </xdr:sp>
    <xdr:clientData/>
  </xdr:oneCellAnchor>
  <xdr:oneCellAnchor>
    <xdr:from>
      <xdr:col>1</xdr:col>
      <xdr:colOff>133350</xdr:colOff>
      <xdr:row>22</xdr:row>
      <xdr:rowOff>0</xdr:rowOff>
    </xdr:from>
    <xdr:ext cx="714375" cy="344453"/>
    <xdr:sp macro="" textlink="">
      <xdr:nvSpPr>
        <xdr:cNvPr id="19" name="Rectangle: Single Corner Rounded 18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A574FA60-6F32-441A-BD70-285C703491F4}"/>
            </a:ext>
          </a:extLst>
        </xdr:cNvPr>
        <xdr:cNvSpPr/>
      </xdr:nvSpPr>
      <xdr:spPr>
        <a:xfrm flipH="1">
          <a:off x="381000" y="501967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BASIC TEMPLATE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3</xdr:col>
      <xdr:colOff>0</xdr:colOff>
      <xdr:row>17</xdr:row>
      <xdr:rowOff>1</xdr:rowOff>
    </xdr:from>
    <xdr:to>
      <xdr:col>4</xdr:col>
      <xdr:colOff>695325</xdr:colOff>
      <xdr:row>31</xdr:row>
      <xdr:rowOff>1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908B4ABC-CA85-4032-9CFB-8E5DB4045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5</xdr:col>
      <xdr:colOff>15488</xdr:colOff>
      <xdr:row>17</xdr:row>
      <xdr:rowOff>0</xdr:rowOff>
    </xdr:from>
    <xdr:to>
      <xdr:col>9</xdr:col>
      <xdr:colOff>584588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11956BB-9E4A-4891-BE9B-5A417C989B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11</xdr:col>
      <xdr:colOff>85725</xdr:colOff>
      <xdr:row>4</xdr:row>
      <xdr:rowOff>85725</xdr:rowOff>
    </xdr:from>
    <xdr:to>
      <xdr:col>11</xdr:col>
      <xdr:colOff>428625</xdr:colOff>
      <xdr:row>4</xdr:row>
      <xdr:rowOff>348345</xdr:rowOff>
    </xdr:to>
    <xdr:sp macro="" textlink="">
      <xdr:nvSpPr>
        <xdr:cNvPr id="26" name="Left Arrow 1">
          <a:extLst>
            <a:ext uri="{FF2B5EF4-FFF2-40B4-BE49-F238E27FC236}">
              <a16:creationId xmlns:a16="http://schemas.microsoft.com/office/drawing/2014/main" id="{88F77917-93DB-485D-87A1-226E0F5A5E3D}"/>
            </a:ext>
          </a:extLst>
        </xdr:cNvPr>
        <xdr:cNvSpPr/>
      </xdr:nvSpPr>
      <xdr:spPr>
        <a:xfrm>
          <a:off x="9391650" y="7810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316364</xdr:colOff>
      <xdr:row>23</xdr:row>
      <xdr:rowOff>150360</xdr:rowOff>
    </xdr:from>
    <xdr:to>
      <xdr:col>1</xdr:col>
      <xdr:colOff>578984</xdr:colOff>
      <xdr:row>24</xdr:row>
      <xdr:rowOff>245610</xdr:rowOff>
    </xdr:to>
    <xdr:sp macro="" textlink="">
      <xdr:nvSpPr>
        <xdr:cNvPr id="27" name="Left Arrow 1">
          <a:extLst>
            <a:ext uri="{FF2B5EF4-FFF2-40B4-BE49-F238E27FC236}">
              <a16:creationId xmlns:a16="http://schemas.microsoft.com/office/drawing/2014/main" id="{7AAB7178-50CF-4A53-AB24-4A4FCD068B23}"/>
            </a:ext>
          </a:extLst>
        </xdr:cNvPr>
        <xdr:cNvSpPr/>
      </xdr:nvSpPr>
      <xdr:spPr>
        <a:xfrm rot="5400000">
          <a:off x="523874" y="545782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99862</xdr:colOff>
      <xdr:row>1</xdr:row>
      <xdr:rowOff>185586</xdr:rowOff>
    </xdr:from>
    <xdr:to>
      <xdr:col>1</xdr:col>
      <xdr:colOff>747862</xdr:colOff>
      <xdr:row>4</xdr:row>
      <xdr:rowOff>223986</xdr:rowOff>
    </xdr:to>
    <xdr:pic>
      <xdr:nvPicPr>
        <xdr:cNvPr id="30" name="mainicon">
          <a:extLst>
            <a:ext uri="{FF2B5EF4-FFF2-40B4-BE49-F238E27FC236}">
              <a16:creationId xmlns:a16="http://schemas.microsoft.com/office/drawing/2014/main" id="{ECD1DDCF-A4E9-44C8-A366-DF6C1D6E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colorTemperature colorTemp="7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512" y="271311"/>
          <a:ext cx="648000" cy="64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9</xdr:col>
      <xdr:colOff>752475</xdr:colOff>
      <xdr:row>17</xdr:row>
      <xdr:rowOff>1</xdr:rowOff>
    </xdr:from>
    <xdr:to>
      <xdr:col>15</xdr:col>
      <xdr:colOff>0</xdr:colOff>
      <xdr:row>31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C52FFFD-DEFF-5A2C-0379-ADE651FFD6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8</xdr:col>
      <xdr:colOff>171450</xdr:colOff>
      <xdr:row>7</xdr:row>
      <xdr:rowOff>28575</xdr:rowOff>
    </xdr:from>
    <xdr:to>
      <xdr:col>15</xdr:col>
      <xdr:colOff>0</xdr:colOff>
      <xdr:row>16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44E5054-4870-3471-E766-54131AFE4B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oneCellAnchor>
    <xdr:from>
      <xdr:col>13</xdr:col>
      <xdr:colOff>152400</xdr:colOff>
      <xdr:row>1</xdr:row>
      <xdr:rowOff>47624</xdr:rowOff>
    </xdr:from>
    <xdr:ext cx="1325166" cy="381000"/>
    <xdr:pic>
      <xdr:nvPicPr>
        <xdr:cNvPr id="1030" name="mpkLogo">
          <a:hlinkClick xmlns:a="http://schemas.openxmlformats.org/drawingml/2006/main" xmlns:r="http://schemas.openxmlformats.org/officeDocument/2006/relationships" r:id="rId2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92611</xdr:colOff>
      <xdr:row>1</xdr:row>
      <xdr:rowOff>176062</xdr:rowOff>
    </xdr:from>
    <xdr:to>
      <xdr:col>1</xdr:col>
      <xdr:colOff>755113</xdr:colOff>
      <xdr:row>4</xdr:row>
      <xdr:rowOff>147787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B7B82719-9399-4A58-BDDA-06BC8579DD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87" r="24387"/>
        <a:stretch/>
      </xdr:blipFill>
      <xdr:spPr>
        <a:xfrm>
          <a:off x="340261" y="261787"/>
          <a:ext cx="662502" cy="648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32</xdr:row>
      <xdr:rowOff>47625</xdr:rowOff>
    </xdr:from>
    <xdr:to>
      <xdr:col>15</xdr:col>
      <xdr:colOff>295275</xdr:colOff>
      <xdr:row>33</xdr:row>
      <xdr:rowOff>62595</xdr:rowOff>
    </xdr:to>
    <xdr:sp macro="" textlink="">
      <xdr:nvSpPr>
        <xdr:cNvPr id="25" name="Left Arrow 1">
          <a:extLst>
            <a:ext uri="{FF2B5EF4-FFF2-40B4-BE49-F238E27FC236}">
              <a16:creationId xmlns:a16="http://schemas.microsoft.com/office/drawing/2014/main" id="{66BB6251-6050-4969-8B7A-2EE49744D109}"/>
            </a:ext>
          </a:extLst>
        </xdr:cNvPr>
        <xdr:cNvSpPr/>
      </xdr:nvSpPr>
      <xdr:spPr>
        <a:xfrm>
          <a:off x="12534900" y="77533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14</xdr:col>
      <xdr:colOff>66675</xdr:colOff>
      <xdr:row>30</xdr:row>
      <xdr:rowOff>23813</xdr:rowOff>
    </xdr:from>
    <xdr:to>
      <xdr:col>15</xdr:col>
      <xdr:colOff>295275</xdr:colOff>
      <xdr:row>31</xdr:row>
      <xdr:rowOff>38783</xdr:rowOff>
    </xdr:to>
    <xdr:sp macro="" textlink="">
      <xdr:nvSpPr>
        <xdr:cNvPr id="26" name="Left Arrow 1">
          <a:extLst>
            <a:ext uri="{FF2B5EF4-FFF2-40B4-BE49-F238E27FC236}">
              <a16:creationId xmlns:a16="http://schemas.microsoft.com/office/drawing/2014/main" id="{9188588C-93D0-40C9-9FC0-5CA9B823053F}"/>
            </a:ext>
          </a:extLst>
        </xdr:cNvPr>
        <xdr:cNvSpPr/>
      </xdr:nvSpPr>
      <xdr:spPr>
        <a:xfrm>
          <a:off x="12534900" y="7234238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14</xdr:col>
      <xdr:colOff>66675</xdr:colOff>
      <xdr:row>28</xdr:row>
      <xdr:rowOff>0</xdr:rowOff>
    </xdr:from>
    <xdr:to>
      <xdr:col>15</xdr:col>
      <xdr:colOff>295275</xdr:colOff>
      <xdr:row>29</xdr:row>
      <xdr:rowOff>14970</xdr:rowOff>
    </xdr:to>
    <xdr:sp macro="" textlink="">
      <xdr:nvSpPr>
        <xdr:cNvPr id="31" name="Left Arrow 1">
          <a:extLst>
            <a:ext uri="{FF2B5EF4-FFF2-40B4-BE49-F238E27FC236}">
              <a16:creationId xmlns:a16="http://schemas.microsoft.com/office/drawing/2014/main" id="{04458B77-AA97-46F7-8B00-04F513FC7ADC}"/>
            </a:ext>
          </a:extLst>
        </xdr:cNvPr>
        <xdr:cNvSpPr/>
      </xdr:nvSpPr>
      <xdr:spPr>
        <a:xfrm>
          <a:off x="12534900" y="671512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</xdr:col>
      <xdr:colOff>133350</xdr:colOff>
      <xdr:row>7</xdr:row>
      <xdr:rowOff>201216</xdr:rowOff>
    </xdr:from>
    <xdr:ext cx="714375" cy="344453"/>
    <xdr:sp macro="" textlink="">
      <xdr:nvSpPr>
        <xdr:cNvPr id="20" name="Rectangle: Single Corner Rounded 19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300286E4-1395-4E7C-85B3-F00F7CD5F31F}"/>
            </a:ext>
          </a:extLst>
        </xdr:cNvPr>
        <xdr:cNvSpPr/>
      </xdr:nvSpPr>
      <xdr:spPr>
        <a:xfrm flipH="1">
          <a:off x="381000" y="1715691"/>
          <a:ext cx="714375" cy="344453"/>
        </a:xfrm>
        <a:prstGeom prst="round1Rect">
          <a:avLst>
            <a:gd name="adj" fmla="val 26423"/>
          </a:avLst>
        </a:prstGeom>
        <a:solidFill>
          <a:srgbClr val="FFC000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GOOGLE</a:t>
          </a:r>
        </a:p>
        <a:p>
          <a:pPr algn="ctr"/>
          <a:r>
            <a:rPr lang="tr-TR" sz="1000" b="0">
              <a:solidFill>
                <a:schemeClr val="bg1"/>
              </a:solidFill>
            </a:rPr>
            <a:t>ADS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9</xdr:row>
      <xdr:rowOff>154782</xdr:rowOff>
    </xdr:from>
    <xdr:ext cx="714375" cy="344453"/>
    <xdr:sp macro="" textlink="">
      <xdr:nvSpPr>
        <xdr:cNvPr id="21" name="Rectangle: Single Corner Rounded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59C3784A-DAB9-44F8-A7D1-A4A7114B7A03}"/>
            </a:ext>
          </a:extLst>
        </xdr:cNvPr>
        <xdr:cNvSpPr/>
      </xdr:nvSpPr>
      <xdr:spPr>
        <a:xfrm flipH="1">
          <a:off x="381000" y="216455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FACEBOOK</a:t>
          </a:r>
        </a:p>
      </xdr:txBody>
    </xdr:sp>
    <xdr:clientData/>
  </xdr:oneCellAnchor>
  <xdr:oneCellAnchor>
    <xdr:from>
      <xdr:col>1</xdr:col>
      <xdr:colOff>133350</xdr:colOff>
      <xdr:row>11</xdr:row>
      <xdr:rowOff>108348</xdr:rowOff>
    </xdr:from>
    <xdr:ext cx="714375" cy="344453"/>
    <xdr:sp macro="" textlink="">
      <xdr:nvSpPr>
        <xdr:cNvPr id="22" name="Rectangle: Single Corner Rounded 2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E20BAEB2-CA79-4906-9F3E-FCCD9A73C9BB}"/>
            </a:ext>
          </a:extLst>
        </xdr:cNvPr>
        <xdr:cNvSpPr/>
      </xdr:nvSpPr>
      <xdr:spPr>
        <a:xfrm flipH="1">
          <a:off x="381000" y="2613423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EMAIL</a:t>
          </a:r>
        </a:p>
      </xdr:txBody>
    </xdr:sp>
    <xdr:clientData/>
  </xdr:oneCellAnchor>
  <xdr:oneCellAnchor>
    <xdr:from>
      <xdr:col>1</xdr:col>
      <xdr:colOff>133350</xdr:colOff>
      <xdr:row>13</xdr:row>
      <xdr:rowOff>61914</xdr:rowOff>
    </xdr:from>
    <xdr:ext cx="714375" cy="344453"/>
    <xdr:sp macro="" textlink="">
      <xdr:nvSpPr>
        <xdr:cNvPr id="23" name="Rectangle: Single Corner Rounded 22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B150ED71-C54F-4FE1-BEF5-2A37C4EE798E}"/>
            </a:ext>
          </a:extLst>
        </xdr:cNvPr>
        <xdr:cNvSpPr/>
      </xdr:nvSpPr>
      <xdr:spPr>
        <a:xfrm flipH="1">
          <a:off x="381000" y="3062289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INSTAGRAM</a:t>
          </a:r>
        </a:p>
      </xdr:txBody>
    </xdr:sp>
    <xdr:clientData/>
  </xdr:oneCellAnchor>
  <xdr:oneCellAnchor>
    <xdr:from>
      <xdr:col>1</xdr:col>
      <xdr:colOff>133350</xdr:colOff>
      <xdr:row>15</xdr:row>
      <xdr:rowOff>15480</xdr:rowOff>
    </xdr:from>
    <xdr:ext cx="714375" cy="344453"/>
    <xdr:sp macro="" textlink="">
      <xdr:nvSpPr>
        <xdr:cNvPr id="24" name="Rectangle: Single Corner Rounded 23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FBE9D1EA-7BFD-4665-AA23-0EF7E9B90666}"/>
            </a:ext>
          </a:extLst>
        </xdr:cNvPr>
        <xdr:cNvSpPr/>
      </xdr:nvSpPr>
      <xdr:spPr>
        <a:xfrm flipH="1">
          <a:off x="381000" y="351115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INFLUENCER</a:t>
          </a:r>
        </a:p>
      </xdr:txBody>
    </xdr:sp>
    <xdr:clientData/>
  </xdr:oneCellAnchor>
  <xdr:oneCellAnchor>
    <xdr:from>
      <xdr:col>1</xdr:col>
      <xdr:colOff>133350</xdr:colOff>
      <xdr:row>16</xdr:row>
      <xdr:rowOff>216696</xdr:rowOff>
    </xdr:from>
    <xdr:ext cx="714375" cy="344453"/>
    <xdr:sp macro="" textlink="">
      <xdr:nvSpPr>
        <xdr:cNvPr id="28" name="Rectangle: Single Corner Rounded 27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542A52F9-1117-4C1F-B0B2-1942B9F1376B}"/>
            </a:ext>
          </a:extLst>
        </xdr:cNvPr>
        <xdr:cNvSpPr/>
      </xdr:nvSpPr>
      <xdr:spPr>
        <a:xfrm flipH="1">
          <a:off x="381000" y="396002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LINKEDIN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18</xdr:row>
      <xdr:rowOff>170262</xdr:rowOff>
    </xdr:from>
    <xdr:ext cx="714375" cy="344453"/>
    <xdr:sp macro="" textlink="">
      <xdr:nvSpPr>
        <xdr:cNvPr id="29" name="Rectangle: Single Corner Rounded 28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3776BDDF-9AED-4D86-BB0B-79719FB897C9}"/>
            </a:ext>
          </a:extLst>
        </xdr:cNvPr>
        <xdr:cNvSpPr/>
      </xdr:nvSpPr>
      <xdr:spPr>
        <a:xfrm flipH="1">
          <a:off x="381000" y="440888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TWITTER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6</xdr:row>
      <xdr:rowOff>0</xdr:rowOff>
    </xdr:from>
    <xdr:ext cx="714375" cy="344453"/>
    <xdr:sp macro="" textlink="">
      <xdr:nvSpPr>
        <xdr:cNvPr id="40" name="Rectangle: Single Corner Rounded 39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99B63D8A-6E8E-4A38-947A-C2FE0AE32CD0}"/>
            </a:ext>
          </a:extLst>
        </xdr:cNvPr>
        <xdr:cNvSpPr/>
      </xdr:nvSpPr>
      <xdr:spPr>
        <a:xfrm flipH="1">
          <a:off x="381000" y="126682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900" b="1" baseline="0">
              <a:solidFill>
                <a:schemeClr val="bg1"/>
              </a:solidFill>
            </a:rPr>
            <a:t>DASHBOARD</a:t>
          </a:r>
        </a:p>
      </xdr:txBody>
    </xdr:sp>
    <xdr:clientData/>
  </xdr:oneCellAnchor>
  <xdr:oneCellAnchor>
    <xdr:from>
      <xdr:col>1</xdr:col>
      <xdr:colOff>133350</xdr:colOff>
      <xdr:row>20</xdr:row>
      <xdr:rowOff>123825</xdr:rowOff>
    </xdr:from>
    <xdr:ext cx="714375" cy="344453"/>
    <xdr:sp macro="" textlink="">
      <xdr:nvSpPr>
        <xdr:cNvPr id="41" name="Rectangle: Single Corner Rounded 40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E911CE74-0237-42D3-9FD2-BBD95FBAD6A0}"/>
            </a:ext>
          </a:extLst>
        </xdr:cNvPr>
        <xdr:cNvSpPr/>
      </xdr:nvSpPr>
      <xdr:spPr>
        <a:xfrm flipH="1">
          <a:off x="381000" y="4857750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BASIC TEMPLATE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13</xdr:col>
      <xdr:colOff>752475</xdr:colOff>
      <xdr:row>1</xdr:row>
      <xdr:rowOff>47625</xdr:rowOff>
    </xdr:from>
    <xdr:ext cx="1325166" cy="381000"/>
    <xdr:pic>
      <xdr:nvPicPr>
        <xdr:cNvPr id="1041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99862</xdr:colOff>
      <xdr:row>1</xdr:row>
      <xdr:rowOff>176062</xdr:rowOff>
    </xdr:from>
    <xdr:to>
      <xdr:col>1</xdr:col>
      <xdr:colOff>747862</xdr:colOff>
      <xdr:row>4</xdr:row>
      <xdr:rowOff>147787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F73F60E6-4ACC-4484-B25A-9CF924B9D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512" y="261787"/>
          <a:ext cx="648000" cy="648000"/>
        </a:xfrm>
        <a:prstGeom prst="rect">
          <a:avLst/>
        </a:prstGeom>
      </xdr:spPr>
    </xdr:pic>
    <xdr:clientData/>
  </xdr:twoCellAnchor>
  <xdr:oneCellAnchor>
    <xdr:from>
      <xdr:col>1</xdr:col>
      <xdr:colOff>133350</xdr:colOff>
      <xdr:row>7</xdr:row>
      <xdr:rowOff>201216</xdr:rowOff>
    </xdr:from>
    <xdr:ext cx="714375" cy="344453"/>
    <xdr:sp macro="" textlink="">
      <xdr:nvSpPr>
        <xdr:cNvPr id="22" name="Rectangle: Single Corner Rounded 21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2AAB7AF-FBDB-47AF-ACC4-1814195467CC}"/>
            </a:ext>
          </a:extLst>
        </xdr:cNvPr>
        <xdr:cNvSpPr/>
      </xdr:nvSpPr>
      <xdr:spPr>
        <a:xfrm flipH="1">
          <a:off x="381000" y="171569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GOOGLE</a:t>
          </a:r>
        </a:p>
        <a:p>
          <a:pPr algn="ctr"/>
          <a:r>
            <a:rPr lang="tr-TR" sz="1000" b="0">
              <a:solidFill>
                <a:schemeClr val="bg1"/>
              </a:solidFill>
            </a:rPr>
            <a:t>ADS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9</xdr:row>
      <xdr:rowOff>154782</xdr:rowOff>
    </xdr:from>
    <xdr:ext cx="714375" cy="344453"/>
    <xdr:sp macro="" textlink="">
      <xdr:nvSpPr>
        <xdr:cNvPr id="23" name="Rectangle: Single Corner Rounded 22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58A81568-BAB7-4CE9-B49E-12E4788FF5A4}"/>
            </a:ext>
          </a:extLst>
        </xdr:cNvPr>
        <xdr:cNvSpPr/>
      </xdr:nvSpPr>
      <xdr:spPr>
        <a:xfrm flipH="1">
          <a:off x="381000" y="2164557"/>
          <a:ext cx="714375" cy="344453"/>
        </a:xfrm>
        <a:prstGeom prst="round1Rect">
          <a:avLst>
            <a:gd name="adj" fmla="val 26423"/>
          </a:avLst>
        </a:prstGeom>
        <a:solidFill>
          <a:srgbClr val="FFC000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FACEBOOK</a:t>
          </a:r>
        </a:p>
      </xdr:txBody>
    </xdr:sp>
    <xdr:clientData/>
  </xdr:oneCellAnchor>
  <xdr:oneCellAnchor>
    <xdr:from>
      <xdr:col>1</xdr:col>
      <xdr:colOff>133350</xdr:colOff>
      <xdr:row>11</xdr:row>
      <xdr:rowOff>108348</xdr:rowOff>
    </xdr:from>
    <xdr:ext cx="714375" cy="344453"/>
    <xdr:sp macro="" textlink="">
      <xdr:nvSpPr>
        <xdr:cNvPr id="24" name="Rectangle: Single Corner Rounded 23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FC4AAC6-A824-412A-8973-B7C490F4CE63}"/>
            </a:ext>
          </a:extLst>
        </xdr:cNvPr>
        <xdr:cNvSpPr/>
      </xdr:nvSpPr>
      <xdr:spPr>
        <a:xfrm flipH="1">
          <a:off x="381000" y="2613423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EMAIL</a:t>
          </a:r>
        </a:p>
      </xdr:txBody>
    </xdr:sp>
    <xdr:clientData/>
  </xdr:oneCellAnchor>
  <xdr:oneCellAnchor>
    <xdr:from>
      <xdr:col>1</xdr:col>
      <xdr:colOff>133350</xdr:colOff>
      <xdr:row>13</xdr:row>
      <xdr:rowOff>61914</xdr:rowOff>
    </xdr:from>
    <xdr:ext cx="714375" cy="344453"/>
    <xdr:sp macro="" textlink="">
      <xdr:nvSpPr>
        <xdr:cNvPr id="25" name="Rectangle: Single Corner Rounded 24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33FD9A60-0508-49E9-9264-560476D06FE2}"/>
            </a:ext>
          </a:extLst>
        </xdr:cNvPr>
        <xdr:cNvSpPr/>
      </xdr:nvSpPr>
      <xdr:spPr>
        <a:xfrm flipH="1">
          <a:off x="381000" y="3062289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INSTAGRAM</a:t>
          </a:r>
        </a:p>
      </xdr:txBody>
    </xdr:sp>
    <xdr:clientData/>
  </xdr:oneCellAnchor>
  <xdr:oneCellAnchor>
    <xdr:from>
      <xdr:col>1</xdr:col>
      <xdr:colOff>133350</xdr:colOff>
      <xdr:row>15</xdr:row>
      <xdr:rowOff>15480</xdr:rowOff>
    </xdr:from>
    <xdr:ext cx="714375" cy="344453"/>
    <xdr:sp macro="" textlink="">
      <xdr:nvSpPr>
        <xdr:cNvPr id="32" name="Rectangle: Single Corner Rounded 31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174979FA-2DB7-41B4-882B-D70B4DF06C29}"/>
            </a:ext>
          </a:extLst>
        </xdr:cNvPr>
        <xdr:cNvSpPr/>
      </xdr:nvSpPr>
      <xdr:spPr>
        <a:xfrm flipH="1">
          <a:off x="381000" y="351115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INFLUENCER</a:t>
          </a:r>
        </a:p>
      </xdr:txBody>
    </xdr:sp>
    <xdr:clientData/>
  </xdr:oneCellAnchor>
  <xdr:oneCellAnchor>
    <xdr:from>
      <xdr:col>1</xdr:col>
      <xdr:colOff>133350</xdr:colOff>
      <xdr:row>16</xdr:row>
      <xdr:rowOff>216696</xdr:rowOff>
    </xdr:from>
    <xdr:ext cx="714375" cy="344453"/>
    <xdr:sp macro="" textlink="">
      <xdr:nvSpPr>
        <xdr:cNvPr id="33" name="Rectangle: Single Corner Rounded 32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0C4B2CDC-32AE-44E9-B4BD-7D07FCEC61AC}"/>
            </a:ext>
          </a:extLst>
        </xdr:cNvPr>
        <xdr:cNvSpPr/>
      </xdr:nvSpPr>
      <xdr:spPr>
        <a:xfrm flipH="1">
          <a:off x="381000" y="396002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LINKEDIN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18</xdr:row>
      <xdr:rowOff>170262</xdr:rowOff>
    </xdr:from>
    <xdr:ext cx="714375" cy="344453"/>
    <xdr:sp macro="" textlink="">
      <xdr:nvSpPr>
        <xdr:cNvPr id="34" name="Rectangle: Single Corner Rounded 33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1DB4E8B5-B34C-492E-944E-31B47829673D}"/>
            </a:ext>
          </a:extLst>
        </xdr:cNvPr>
        <xdr:cNvSpPr/>
      </xdr:nvSpPr>
      <xdr:spPr>
        <a:xfrm flipH="1">
          <a:off x="381000" y="440888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TWITTER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6</xdr:row>
      <xdr:rowOff>0</xdr:rowOff>
    </xdr:from>
    <xdr:ext cx="714375" cy="344453"/>
    <xdr:sp macro="" textlink="">
      <xdr:nvSpPr>
        <xdr:cNvPr id="35" name="Rectangle: Single Corner Rounded 34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CC19A56B-5A36-44CF-B9E0-02F5E87D4752}"/>
            </a:ext>
          </a:extLst>
        </xdr:cNvPr>
        <xdr:cNvSpPr/>
      </xdr:nvSpPr>
      <xdr:spPr>
        <a:xfrm flipH="1">
          <a:off x="381000" y="126682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900" b="1" baseline="0">
              <a:solidFill>
                <a:schemeClr val="bg1"/>
              </a:solidFill>
            </a:rPr>
            <a:t>DASHBOARD</a:t>
          </a:r>
        </a:p>
      </xdr:txBody>
    </xdr:sp>
    <xdr:clientData/>
  </xdr:oneCellAnchor>
  <xdr:oneCellAnchor>
    <xdr:from>
      <xdr:col>1</xdr:col>
      <xdr:colOff>133350</xdr:colOff>
      <xdr:row>20</xdr:row>
      <xdr:rowOff>123825</xdr:rowOff>
    </xdr:from>
    <xdr:ext cx="714375" cy="344453"/>
    <xdr:sp macro="" textlink="">
      <xdr:nvSpPr>
        <xdr:cNvPr id="36" name="Rectangle: Single Corner Rounded 35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32A14149-42AB-4ED1-8457-76045A8FD81E}"/>
            </a:ext>
          </a:extLst>
        </xdr:cNvPr>
        <xdr:cNvSpPr/>
      </xdr:nvSpPr>
      <xdr:spPr>
        <a:xfrm flipH="1">
          <a:off x="381000" y="4857750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BASIC TEMPLATE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15</xdr:col>
      <xdr:colOff>0</xdr:colOff>
      <xdr:row>42</xdr:row>
      <xdr:rowOff>47625</xdr:rowOff>
    </xdr:from>
    <xdr:to>
      <xdr:col>15</xdr:col>
      <xdr:colOff>342900</xdr:colOff>
      <xdr:row>43</xdr:row>
      <xdr:rowOff>62595</xdr:rowOff>
    </xdr:to>
    <xdr:sp macro="" textlink="">
      <xdr:nvSpPr>
        <xdr:cNvPr id="45" name="Left Arrow 1">
          <a:extLst>
            <a:ext uri="{FF2B5EF4-FFF2-40B4-BE49-F238E27FC236}">
              <a16:creationId xmlns:a16="http://schemas.microsoft.com/office/drawing/2014/main" id="{F7B37759-D255-4407-9D27-CCAD69281E23}"/>
            </a:ext>
          </a:extLst>
        </xdr:cNvPr>
        <xdr:cNvSpPr/>
      </xdr:nvSpPr>
      <xdr:spPr>
        <a:xfrm>
          <a:off x="12582525" y="102298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0</xdr:colOff>
      <xdr:row>40</xdr:row>
      <xdr:rowOff>23813</xdr:rowOff>
    </xdr:from>
    <xdr:to>
      <xdr:col>15</xdr:col>
      <xdr:colOff>342900</xdr:colOff>
      <xdr:row>41</xdr:row>
      <xdr:rowOff>38783</xdr:rowOff>
    </xdr:to>
    <xdr:sp macro="" textlink="">
      <xdr:nvSpPr>
        <xdr:cNvPr id="46" name="Left Arrow 1">
          <a:extLst>
            <a:ext uri="{FF2B5EF4-FFF2-40B4-BE49-F238E27FC236}">
              <a16:creationId xmlns:a16="http://schemas.microsoft.com/office/drawing/2014/main" id="{B0FF2AA7-E78C-4D22-921C-AC6B26CC4766}"/>
            </a:ext>
          </a:extLst>
        </xdr:cNvPr>
        <xdr:cNvSpPr/>
      </xdr:nvSpPr>
      <xdr:spPr>
        <a:xfrm>
          <a:off x="12582525" y="9710738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0</xdr:colOff>
      <xdr:row>38</xdr:row>
      <xdr:rowOff>0</xdr:rowOff>
    </xdr:from>
    <xdr:to>
      <xdr:col>15</xdr:col>
      <xdr:colOff>342900</xdr:colOff>
      <xdr:row>39</xdr:row>
      <xdr:rowOff>14970</xdr:rowOff>
    </xdr:to>
    <xdr:sp macro="" textlink="">
      <xdr:nvSpPr>
        <xdr:cNvPr id="47" name="Left Arrow 1">
          <a:extLst>
            <a:ext uri="{FF2B5EF4-FFF2-40B4-BE49-F238E27FC236}">
              <a16:creationId xmlns:a16="http://schemas.microsoft.com/office/drawing/2014/main" id="{7593CF08-C887-4E7D-94A2-25A42A91A800}"/>
            </a:ext>
          </a:extLst>
        </xdr:cNvPr>
        <xdr:cNvSpPr/>
      </xdr:nvSpPr>
      <xdr:spPr>
        <a:xfrm>
          <a:off x="12582525" y="919162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13</xdr:col>
      <xdr:colOff>752475</xdr:colOff>
      <xdr:row>1</xdr:row>
      <xdr:rowOff>47625</xdr:rowOff>
    </xdr:from>
    <xdr:ext cx="1325166" cy="381000"/>
    <xdr:pic>
      <xdr:nvPicPr>
        <xdr:cNvPr id="1047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99862</xdr:colOff>
      <xdr:row>1</xdr:row>
      <xdr:rowOff>176062</xdr:rowOff>
    </xdr:from>
    <xdr:to>
      <xdr:col>1</xdr:col>
      <xdr:colOff>747862</xdr:colOff>
      <xdr:row>4</xdr:row>
      <xdr:rowOff>147787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346B3304-64C8-404F-A364-4C349C00C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512" y="261787"/>
          <a:ext cx="648000" cy="648000"/>
        </a:xfrm>
        <a:prstGeom prst="rect">
          <a:avLst/>
        </a:prstGeom>
      </xdr:spPr>
    </xdr:pic>
    <xdr:clientData/>
  </xdr:twoCellAnchor>
  <xdr:oneCellAnchor>
    <xdr:from>
      <xdr:col>1</xdr:col>
      <xdr:colOff>133350</xdr:colOff>
      <xdr:row>7</xdr:row>
      <xdr:rowOff>201216</xdr:rowOff>
    </xdr:from>
    <xdr:ext cx="714375" cy="344453"/>
    <xdr:sp macro="" textlink="">
      <xdr:nvSpPr>
        <xdr:cNvPr id="22" name="Rectangle: Single Corner Rounded 21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25A0F5EC-C17F-42FD-94CF-4A325A06031D}"/>
            </a:ext>
          </a:extLst>
        </xdr:cNvPr>
        <xdr:cNvSpPr/>
      </xdr:nvSpPr>
      <xdr:spPr>
        <a:xfrm flipH="1">
          <a:off x="381000" y="171569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GOOGLE</a:t>
          </a:r>
        </a:p>
        <a:p>
          <a:pPr algn="ctr"/>
          <a:r>
            <a:rPr lang="tr-TR" sz="1000" b="0">
              <a:solidFill>
                <a:schemeClr val="bg1"/>
              </a:solidFill>
            </a:rPr>
            <a:t>ADS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9</xdr:row>
      <xdr:rowOff>154782</xdr:rowOff>
    </xdr:from>
    <xdr:ext cx="714375" cy="344453"/>
    <xdr:sp macro="" textlink="">
      <xdr:nvSpPr>
        <xdr:cNvPr id="23" name="Rectangle: Single Corner Rounded 22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D09D2EE6-2B98-4262-967C-99E6E13B2BF7}"/>
            </a:ext>
          </a:extLst>
        </xdr:cNvPr>
        <xdr:cNvSpPr/>
      </xdr:nvSpPr>
      <xdr:spPr>
        <a:xfrm flipH="1">
          <a:off x="381000" y="216455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FACEBOOK</a:t>
          </a:r>
        </a:p>
      </xdr:txBody>
    </xdr:sp>
    <xdr:clientData/>
  </xdr:oneCellAnchor>
  <xdr:oneCellAnchor>
    <xdr:from>
      <xdr:col>1</xdr:col>
      <xdr:colOff>133350</xdr:colOff>
      <xdr:row>11</xdr:row>
      <xdr:rowOff>108348</xdr:rowOff>
    </xdr:from>
    <xdr:ext cx="714375" cy="344453"/>
    <xdr:sp macro="" textlink="">
      <xdr:nvSpPr>
        <xdr:cNvPr id="24" name="Rectangle: Single Corner Rounded 23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A3CB3C2-7E9A-468E-92A3-AC6C115713E9}"/>
            </a:ext>
          </a:extLst>
        </xdr:cNvPr>
        <xdr:cNvSpPr/>
      </xdr:nvSpPr>
      <xdr:spPr>
        <a:xfrm flipH="1">
          <a:off x="381000" y="2613423"/>
          <a:ext cx="714375" cy="344453"/>
        </a:xfrm>
        <a:prstGeom prst="round1Rect">
          <a:avLst>
            <a:gd name="adj" fmla="val 26423"/>
          </a:avLst>
        </a:prstGeom>
        <a:solidFill>
          <a:srgbClr val="FFC000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EMAIL</a:t>
          </a:r>
        </a:p>
      </xdr:txBody>
    </xdr:sp>
    <xdr:clientData/>
  </xdr:oneCellAnchor>
  <xdr:oneCellAnchor>
    <xdr:from>
      <xdr:col>1</xdr:col>
      <xdr:colOff>133350</xdr:colOff>
      <xdr:row>13</xdr:row>
      <xdr:rowOff>61914</xdr:rowOff>
    </xdr:from>
    <xdr:ext cx="714375" cy="344453"/>
    <xdr:sp macro="" textlink="">
      <xdr:nvSpPr>
        <xdr:cNvPr id="25" name="Rectangle: Single Corner Rounded 24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294CDEF0-CA2A-48AE-BAD9-76005E68822C}"/>
            </a:ext>
          </a:extLst>
        </xdr:cNvPr>
        <xdr:cNvSpPr/>
      </xdr:nvSpPr>
      <xdr:spPr>
        <a:xfrm flipH="1">
          <a:off x="381000" y="3062289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INSTAGRAM</a:t>
          </a:r>
        </a:p>
      </xdr:txBody>
    </xdr:sp>
    <xdr:clientData/>
  </xdr:oneCellAnchor>
  <xdr:oneCellAnchor>
    <xdr:from>
      <xdr:col>1</xdr:col>
      <xdr:colOff>133350</xdr:colOff>
      <xdr:row>15</xdr:row>
      <xdr:rowOff>15480</xdr:rowOff>
    </xdr:from>
    <xdr:ext cx="714375" cy="344453"/>
    <xdr:sp macro="" textlink="">
      <xdr:nvSpPr>
        <xdr:cNvPr id="32" name="Rectangle: Single Corner Rounded 31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09779E31-C097-4D1F-B203-9AF029368D5B}"/>
            </a:ext>
          </a:extLst>
        </xdr:cNvPr>
        <xdr:cNvSpPr/>
      </xdr:nvSpPr>
      <xdr:spPr>
        <a:xfrm flipH="1">
          <a:off x="381000" y="351115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INFLUENCER</a:t>
          </a:r>
        </a:p>
      </xdr:txBody>
    </xdr:sp>
    <xdr:clientData/>
  </xdr:oneCellAnchor>
  <xdr:oneCellAnchor>
    <xdr:from>
      <xdr:col>1</xdr:col>
      <xdr:colOff>133350</xdr:colOff>
      <xdr:row>16</xdr:row>
      <xdr:rowOff>216696</xdr:rowOff>
    </xdr:from>
    <xdr:ext cx="714375" cy="344453"/>
    <xdr:sp macro="" textlink="">
      <xdr:nvSpPr>
        <xdr:cNvPr id="33" name="Rectangle: Single Corner Rounded 32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56C9A1EB-5617-493B-99C0-F2F44C10C00B}"/>
            </a:ext>
          </a:extLst>
        </xdr:cNvPr>
        <xdr:cNvSpPr/>
      </xdr:nvSpPr>
      <xdr:spPr>
        <a:xfrm flipH="1">
          <a:off x="381000" y="396002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LINKEDIN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18</xdr:row>
      <xdr:rowOff>170262</xdr:rowOff>
    </xdr:from>
    <xdr:ext cx="714375" cy="344453"/>
    <xdr:sp macro="" textlink="">
      <xdr:nvSpPr>
        <xdr:cNvPr id="34" name="Rectangle: Single Corner Rounded 33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CA1FF6FB-2889-4D84-9B45-11F9A03EA715}"/>
            </a:ext>
          </a:extLst>
        </xdr:cNvPr>
        <xdr:cNvSpPr/>
      </xdr:nvSpPr>
      <xdr:spPr>
        <a:xfrm flipH="1">
          <a:off x="381000" y="440888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TWITTER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6</xdr:row>
      <xdr:rowOff>0</xdr:rowOff>
    </xdr:from>
    <xdr:ext cx="714375" cy="344453"/>
    <xdr:sp macro="" textlink="">
      <xdr:nvSpPr>
        <xdr:cNvPr id="35" name="Rectangle: Single Corner Rounded 34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B00D7226-078F-41E6-9EA1-8DD892A74B1D}"/>
            </a:ext>
          </a:extLst>
        </xdr:cNvPr>
        <xdr:cNvSpPr/>
      </xdr:nvSpPr>
      <xdr:spPr>
        <a:xfrm flipH="1">
          <a:off x="381000" y="126682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900" b="1" baseline="0">
              <a:solidFill>
                <a:schemeClr val="bg1"/>
              </a:solidFill>
            </a:rPr>
            <a:t>DASHBOARD</a:t>
          </a:r>
        </a:p>
      </xdr:txBody>
    </xdr:sp>
    <xdr:clientData/>
  </xdr:oneCellAnchor>
  <xdr:oneCellAnchor>
    <xdr:from>
      <xdr:col>1</xdr:col>
      <xdr:colOff>133350</xdr:colOff>
      <xdr:row>20</xdr:row>
      <xdr:rowOff>123825</xdr:rowOff>
    </xdr:from>
    <xdr:ext cx="714375" cy="344453"/>
    <xdr:sp macro="" textlink="">
      <xdr:nvSpPr>
        <xdr:cNvPr id="36" name="Rectangle: Single Corner Rounded 35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C209FCA7-A6DC-4612-905C-6F54F8627419}"/>
            </a:ext>
          </a:extLst>
        </xdr:cNvPr>
        <xdr:cNvSpPr/>
      </xdr:nvSpPr>
      <xdr:spPr>
        <a:xfrm flipH="1">
          <a:off x="381000" y="4857750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BASIC TEMPLATE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15</xdr:col>
      <xdr:colOff>0</xdr:colOff>
      <xdr:row>41</xdr:row>
      <xdr:rowOff>47625</xdr:rowOff>
    </xdr:from>
    <xdr:to>
      <xdr:col>15</xdr:col>
      <xdr:colOff>342900</xdr:colOff>
      <xdr:row>42</xdr:row>
      <xdr:rowOff>62595</xdr:rowOff>
    </xdr:to>
    <xdr:sp macro="" textlink="">
      <xdr:nvSpPr>
        <xdr:cNvPr id="45" name="Left Arrow 1">
          <a:extLst>
            <a:ext uri="{FF2B5EF4-FFF2-40B4-BE49-F238E27FC236}">
              <a16:creationId xmlns:a16="http://schemas.microsoft.com/office/drawing/2014/main" id="{E7D2C0D6-2E29-4BF3-AE2B-E3F23A5F2D43}"/>
            </a:ext>
          </a:extLst>
        </xdr:cNvPr>
        <xdr:cNvSpPr/>
      </xdr:nvSpPr>
      <xdr:spPr>
        <a:xfrm>
          <a:off x="12582525" y="998220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0</xdr:colOff>
      <xdr:row>39</xdr:row>
      <xdr:rowOff>23813</xdr:rowOff>
    </xdr:from>
    <xdr:to>
      <xdr:col>15</xdr:col>
      <xdr:colOff>342900</xdr:colOff>
      <xdr:row>40</xdr:row>
      <xdr:rowOff>38783</xdr:rowOff>
    </xdr:to>
    <xdr:sp macro="" textlink="">
      <xdr:nvSpPr>
        <xdr:cNvPr id="46" name="Left Arrow 1">
          <a:extLst>
            <a:ext uri="{FF2B5EF4-FFF2-40B4-BE49-F238E27FC236}">
              <a16:creationId xmlns:a16="http://schemas.microsoft.com/office/drawing/2014/main" id="{8ACE5695-E268-4C8A-ADCD-7C3F73DE4B27}"/>
            </a:ext>
          </a:extLst>
        </xdr:cNvPr>
        <xdr:cNvSpPr/>
      </xdr:nvSpPr>
      <xdr:spPr>
        <a:xfrm>
          <a:off x="12582525" y="9463088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0</xdr:colOff>
      <xdr:row>37</xdr:row>
      <xdr:rowOff>0</xdr:rowOff>
    </xdr:from>
    <xdr:to>
      <xdr:col>15</xdr:col>
      <xdr:colOff>342900</xdr:colOff>
      <xdr:row>38</xdr:row>
      <xdr:rowOff>14970</xdr:rowOff>
    </xdr:to>
    <xdr:sp macro="" textlink="">
      <xdr:nvSpPr>
        <xdr:cNvPr id="47" name="Left Arrow 1">
          <a:extLst>
            <a:ext uri="{FF2B5EF4-FFF2-40B4-BE49-F238E27FC236}">
              <a16:creationId xmlns:a16="http://schemas.microsoft.com/office/drawing/2014/main" id="{951DEF4B-B2B1-48A0-B880-0D6E6392881E}"/>
            </a:ext>
          </a:extLst>
        </xdr:cNvPr>
        <xdr:cNvSpPr/>
      </xdr:nvSpPr>
      <xdr:spPr>
        <a:xfrm>
          <a:off x="12582525" y="894397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13</xdr:col>
      <xdr:colOff>752475</xdr:colOff>
      <xdr:row>1</xdr:row>
      <xdr:rowOff>47625</xdr:rowOff>
    </xdr:from>
    <xdr:ext cx="1325166" cy="381000"/>
    <xdr:pic>
      <xdr:nvPicPr>
        <xdr:cNvPr id="1047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100012</xdr:colOff>
      <xdr:row>1</xdr:row>
      <xdr:rowOff>176212</xdr:rowOff>
    </xdr:from>
    <xdr:to>
      <xdr:col>1</xdr:col>
      <xdr:colOff>747712</xdr:colOff>
      <xdr:row>4</xdr:row>
      <xdr:rowOff>147637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B9D7FC42-3070-469D-A32B-DD3A782EA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" y="261937"/>
          <a:ext cx="647700" cy="647700"/>
        </a:xfrm>
        <a:prstGeom prst="rect">
          <a:avLst/>
        </a:prstGeom>
      </xdr:spPr>
    </xdr:pic>
    <xdr:clientData/>
  </xdr:twoCellAnchor>
  <xdr:oneCellAnchor>
    <xdr:from>
      <xdr:col>1</xdr:col>
      <xdr:colOff>133350</xdr:colOff>
      <xdr:row>7</xdr:row>
      <xdr:rowOff>201216</xdr:rowOff>
    </xdr:from>
    <xdr:ext cx="714375" cy="344453"/>
    <xdr:sp macro="" textlink="">
      <xdr:nvSpPr>
        <xdr:cNvPr id="22" name="Rectangle: Single Corner Rounded 21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521E1103-A8E6-4C95-83C2-F0A95A14173C}"/>
            </a:ext>
          </a:extLst>
        </xdr:cNvPr>
        <xdr:cNvSpPr/>
      </xdr:nvSpPr>
      <xdr:spPr>
        <a:xfrm flipH="1">
          <a:off x="381000" y="171569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GOOGLE</a:t>
          </a:r>
        </a:p>
        <a:p>
          <a:pPr algn="ctr"/>
          <a:r>
            <a:rPr lang="tr-TR" sz="1000" b="0">
              <a:solidFill>
                <a:schemeClr val="bg1"/>
              </a:solidFill>
            </a:rPr>
            <a:t>ADS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9</xdr:row>
      <xdr:rowOff>154782</xdr:rowOff>
    </xdr:from>
    <xdr:ext cx="714375" cy="344453"/>
    <xdr:sp macro="" textlink="">
      <xdr:nvSpPr>
        <xdr:cNvPr id="23" name="Rectangle: Single Corner Rounded 22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6DFCA677-5114-451C-872E-3BBE6717D19B}"/>
            </a:ext>
          </a:extLst>
        </xdr:cNvPr>
        <xdr:cNvSpPr/>
      </xdr:nvSpPr>
      <xdr:spPr>
        <a:xfrm flipH="1">
          <a:off x="381000" y="216455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FACEBOOK</a:t>
          </a:r>
        </a:p>
      </xdr:txBody>
    </xdr:sp>
    <xdr:clientData/>
  </xdr:oneCellAnchor>
  <xdr:oneCellAnchor>
    <xdr:from>
      <xdr:col>1</xdr:col>
      <xdr:colOff>133350</xdr:colOff>
      <xdr:row>11</xdr:row>
      <xdr:rowOff>108348</xdr:rowOff>
    </xdr:from>
    <xdr:ext cx="714375" cy="344453"/>
    <xdr:sp macro="" textlink="">
      <xdr:nvSpPr>
        <xdr:cNvPr id="24" name="Rectangle: Single Corner Rounded 23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671FF2D0-2329-4F25-AD67-FA93D4A58657}"/>
            </a:ext>
          </a:extLst>
        </xdr:cNvPr>
        <xdr:cNvSpPr/>
      </xdr:nvSpPr>
      <xdr:spPr>
        <a:xfrm flipH="1">
          <a:off x="381000" y="2613423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EMAIL</a:t>
          </a:r>
        </a:p>
      </xdr:txBody>
    </xdr:sp>
    <xdr:clientData/>
  </xdr:oneCellAnchor>
  <xdr:oneCellAnchor>
    <xdr:from>
      <xdr:col>1</xdr:col>
      <xdr:colOff>133350</xdr:colOff>
      <xdr:row>13</xdr:row>
      <xdr:rowOff>61914</xdr:rowOff>
    </xdr:from>
    <xdr:ext cx="714375" cy="344453"/>
    <xdr:sp macro="" textlink="">
      <xdr:nvSpPr>
        <xdr:cNvPr id="25" name="Rectangle: Single Corner Rounded 24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0C2087FA-CFE6-45DF-AAD3-D4477E7A2805}"/>
            </a:ext>
          </a:extLst>
        </xdr:cNvPr>
        <xdr:cNvSpPr/>
      </xdr:nvSpPr>
      <xdr:spPr>
        <a:xfrm flipH="1">
          <a:off x="381000" y="3062289"/>
          <a:ext cx="714375" cy="344453"/>
        </a:xfrm>
        <a:prstGeom prst="round1Rect">
          <a:avLst>
            <a:gd name="adj" fmla="val 26423"/>
          </a:avLst>
        </a:prstGeom>
        <a:solidFill>
          <a:srgbClr val="FFC000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INSTAGRAM</a:t>
          </a:r>
        </a:p>
      </xdr:txBody>
    </xdr:sp>
    <xdr:clientData/>
  </xdr:oneCellAnchor>
  <xdr:oneCellAnchor>
    <xdr:from>
      <xdr:col>1</xdr:col>
      <xdr:colOff>133350</xdr:colOff>
      <xdr:row>15</xdr:row>
      <xdr:rowOff>15480</xdr:rowOff>
    </xdr:from>
    <xdr:ext cx="714375" cy="344453"/>
    <xdr:sp macro="" textlink="">
      <xdr:nvSpPr>
        <xdr:cNvPr id="32" name="Rectangle: Single Corner Rounded 31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10EB0CA8-8A32-470C-847E-70185E7CEB8B}"/>
            </a:ext>
          </a:extLst>
        </xdr:cNvPr>
        <xdr:cNvSpPr/>
      </xdr:nvSpPr>
      <xdr:spPr>
        <a:xfrm flipH="1">
          <a:off x="381000" y="351115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INFLUENCER</a:t>
          </a:r>
        </a:p>
      </xdr:txBody>
    </xdr:sp>
    <xdr:clientData/>
  </xdr:oneCellAnchor>
  <xdr:oneCellAnchor>
    <xdr:from>
      <xdr:col>1</xdr:col>
      <xdr:colOff>133350</xdr:colOff>
      <xdr:row>16</xdr:row>
      <xdr:rowOff>216696</xdr:rowOff>
    </xdr:from>
    <xdr:ext cx="714375" cy="344453"/>
    <xdr:sp macro="" textlink="">
      <xdr:nvSpPr>
        <xdr:cNvPr id="33" name="Rectangle: Single Corner Rounded 32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77E8BF43-AFCC-44AC-A64F-C3FA29EB27D9}"/>
            </a:ext>
          </a:extLst>
        </xdr:cNvPr>
        <xdr:cNvSpPr/>
      </xdr:nvSpPr>
      <xdr:spPr>
        <a:xfrm flipH="1">
          <a:off x="381000" y="396002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LINKEDIN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18</xdr:row>
      <xdr:rowOff>170262</xdr:rowOff>
    </xdr:from>
    <xdr:ext cx="714375" cy="344453"/>
    <xdr:sp macro="" textlink="">
      <xdr:nvSpPr>
        <xdr:cNvPr id="34" name="Rectangle: Single Corner Rounded 33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9EA8DFC8-9FD5-47CB-97BE-29645CCEA9E6}"/>
            </a:ext>
          </a:extLst>
        </xdr:cNvPr>
        <xdr:cNvSpPr/>
      </xdr:nvSpPr>
      <xdr:spPr>
        <a:xfrm flipH="1">
          <a:off x="381000" y="440888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TWITTER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6</xdr:row>
      <xdr:rowOff>0</xdr:rowOff>
    </xdr:from>
    <xdr:ext cx="714375" cy="344453"/>
    <xdr:sp macro="" textlink="">
      <xdr:nvSpPr>
        <xdr:cNvPr id="35" name="Rectangle: Single Corner Rounded 34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31EB4372-5364-4F9E-8ED4-D0AC69D1DA4F}"/>
            </a:ext>
          </a:extLst>
        </xdr:cNvPr>
        <xdr:cNvSpPr/>
      </xdr:nvSpPr>
      <xdr:spPr>
        <a:xfrm flipH="1">
          <a:off x="381000" y="126682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900" b="1" baseline="0">
              <a:solidFill>
                <a:schemeClr val="bg1"/>
              </a:solidFill>
            </a:rPr>
            <a:t>DASHBOARD</a:t>
          </a:r>
        </a:p>
      </xdr:txBody>
    </xdr:sp>
    <xdr:clientData/>
  </xdr:oneCellAnchor>
  <xdr:oneCellAnchor>
    <xdr:from>
      <xdr:col>1</xdr:col>
      <xdr:colOff>133350</xdr:colOff>
      <xdr:row>20</xdr:row>
      <xdr:rowOff>123825</xdr:rowOff>
    </xdr:from>
    <xdr:ext cx="714375" cy="344453"/>
    <xdr:sp macro="" textlink="">
      <xdr:nvSpPr>
        <xdr:cNvPr id="36" name="Rectangle: Single Corner Rounded 35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CF9A5605-16AE-4AC7-B3AF-68BC03D9EEB4}"/>
            </a:ext>
          </a:extLst>
        </xdr:cNvPr>
        <xdr:cNvSpPr/>
      </xdr:nvSpPr>
      <xdr:spPr>
        <a:xfrm flipH="1">
          <a:off x="381000" y="4857750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BASIC TEMPLATE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15</xdr:col>
      <xdr:colOff>0</xdr:colOff>
      <xdr:row>45</xdr:row>
      <xdr:rowOff>23813</xdr:rowOff>
    </xdr:from>
    <xdr:to>
      <xdr:col>15</xdr:col>
      <xdr:colOff>342900</xdr:colOff>
      <xdr:row>46</xdr:row>
      <xdr:rowOff>38783</xdr:rowOff>
    </xdr:to>
    <xdr:sp macro="" textlink="">
      <xdr:nvSpPr>
        <xdr:cNvPr id="42" name="Left Arrow 1">
          <a:extLst>
            <a:ext uri="{FF2B5EF4-FFF2-40B4-BE49-F238E27FC236}">
              <a16:creationId xmlns:a16="http://schemas.microsoft.com/office/drawing/2014/main" id="{DD6E2CB9-B5B9-445E-9F30-48949212E5D4}"/>
            </a:ext>
          </a:extLst>
        </xdr:cNvPr>
        <xdr:cNvSpPr/>
      </xdr:nvSpPr>
      <xdr:spPr>
        <a:xfrm>
          <a:off x="12582525" y="10948988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0</xdr:colOff>
      <xdr:row>43</xdr:row>
      <xdr:rowOff>0</xdr:rowOff>
    </xdr:from>
    <xdr:to>
      <xdr:col>15</xdr:col>
      <xdr:colOff>342900</xdr:colOff>
      <xdr:row>44</xdr:row>
      <xdr:rowOff>14970</xdr:rowOff>
    </xdr:to>
    <xdr:sp macro="" textlink="">
      <xdr:nvSpPr>
        <xdr:cNvPr id="43" name="Left Arrow 1">
          <a:extLst>
            <a:ext uri="{FF2B5EF4-FFF2-40B4-BE49-F238E27FC236}">
              <a16:creationId xmlns:a16="http://schemas.microsoft.com/office/drawing/2014/main" id="{EFD5ECC2-8A96-42A4-A8B3-72C5C48C3AA9}"/>
            </a:ext>
          </a:extLst>
        </xdr:cNvPr>
        <xdr:cNvSpPr/>
      </xdr:nvSpPr>
      <xdr:spPr>
        <a:xfrm>
          <a:off x="12582525" y="1042987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13</xdr:col>
      <xdr:colOff>752475</xdr:colOff>
      <xdr:row>1</xdr:row>
      <xdr:rowOff>47625</xdr:rowOff>
    </xdr:from>
    <xdr:ext cx="1325166" cy="381000"/>
    <xdr:pic>
      <xdr:nvPicPr>
        <xdr:cNvPr id="1043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99862</xdr:colOff>
      <xdr:row>1</xdr:row>
      <xdr:rowOff>176062</xdr:rowOff>
    </xdr:from>
    <xdr:to>
      <xdr:col>1</xdr:col>
      <xdr:colOff>747862</xdr:colOff>
      <xdr:row>4</xdr:row>
      <xdr:rowOff>147787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565E0DE0-0CA5-413B-B6DF-4D3B1C2AD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512" y="261787"/>
          <a:ext cx="648000" cy="648000"/>
        </a:xfrm>
        <a:prstGeom prst="rect">
          <a:avLst/>
        </a:prstGeom>
      </xdr:spPr>
    </xdr:pic>
    <xdr:clientData/>
  </xdr:twoCellAnchor>
  <xdr:oneCellAnchor>
    <xdr:from>
      <xdr:col>1</xdr:col>
      <xdr:colOff>133350</xdr:colOff>
      <xdr:row>7</xdr:row>
      <xdr:rowOff>201216</xdr:rowOff>
    </xdr:from>
    <xdr:ext cx="714375" cy="344453"/>
    <xdr:sp macro="" textlink="">
      <xdr:nvSpPr>
        <xdr:cNvPr id="19" name="Rectangle: Single Corner Rounded 18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FFCBF3E1-0B4B-4D66-BCDA-9230ED89F2B8}"/>
            </a:ext>
          </a:extLst>
        </xdr:cNvPr>
        <xdr:cNvSpPr/>
      </xdr:nvSpPr>
      <xdr:spPr>
        <a:xfrm flipH="1">
          <a:off x="381000" y="171569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GOOGLE</a:t>
          </a:r>
        </a:p>
        <a:p>
          <a:pPr algn="ctr"/>
          <a:r>
            <a:rPr lang="tr-TR" sz="1000" b="0">
              <a:solidFill>
                <a:schemeClr val="bg1"/>
              </a:solidFill>
            </a:rPr>
            <a:t>ADS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9</xdr:row>
      <xdr:rowOff>154782</xdr:rowOff>
    </xdr:from>
    <xdr:ext cx="714375" cy="344453"/>
    <xdr:sp macro="" textlink="">
      <xdr:nvSpPr>
        <xdr:cNvPr id="20" name="Rectangle: Single Corner Rounded 19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5D2A0C3E-4A05-45B3-B26D-C33357D06A43}"/>
            </a:ext>
          </a:extLst>
        </xdr:cNvPr>
        <xdr:cNvSpPr/>
      </xdr:nvSpPr>
      <xdr:spPr>
        <a:xfrm flipH="1">
          <a:off x="381000" y="216455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FACEBOOK</a:t>
          </a:r>
        </a:p>
      </xdr:txBody>
    </xdr:sp>
    <xdr:clientData/>
  </xdr:oneCellAnchor>
  <xdr:oneCellAnchor>
    <xdr:from>
      <xdr:col>1</xdr:col>
      <xdr:colOff>133350</xdr:colOff>
      <xdr:row>11</xdr:row>
      <xdr:rowOff>108348</xdr:rowOff>
    </xdr:from>
    <xdr:ext cx="714375" cy="344453"/>
    <xdr:sp macro="" textlink="">
      <xdr:nvSpPr>
        <xdr:cNvPr id="21" name="Rectangle: Single Corner Rounded 20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ED5B6B0B-546A-4EC2-B6EF-5E0CBFD8B208}"/>
            </a:ext>
          </a:extLst>
        </xdr:cNvPr>
        <xdr:cNvSpPr/>
      </xdr:nvSpPr>
      <xdr:spPr>
        <a:xfrm flipH="1">
          <a:off x="381000" y="2613423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EMAIL</a:t>
          </a:r>
        </a:p>
      </xdr:txBody>
    </xdr:sp>
    <xdr:clientData/>
  </xdr:oneCellAnchor>
  <xdr:oneCellAnchor>
    <xdr:from>
      <xdr:col>1</xdr:col>
      <xdr:colOff>133350</xdr:colOff>
      <xdr:row>13</xdr:row>
      <xdr:rowOff>61914</xdr:rowOff>
    </xdr:from>
    <xdr:ext cx="714375" cy="344453"/>
    <xdr:sp macro="" textlink="">
      <xdr:nvSpPr>
        <xdr:cNvPr id="22" name="Rectangle: Single Corner Rounded 21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28580698-76C8-4123-82AF-D403DD637A23}"/>
            </a:ext>
          </a:extLst>
        </xdr:cNvPr>
        <xdr:cNvSpPr/>
      </xdr:nvSpPr>
      <xdr:spPr>
        <a:xfrm flipH="1">
          <a:off x="381000" y="3062289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INSTAGRAM</a:t>
          </a:r>
        </a:p>
      </xdr:txBody>
    </xdr:sp>
    <xdr:clientData/>
  </xdr:oneCellAnchor>
  <xdr:oneCellAnchor>
    <xdr:from>
      <xdr:col>1</xdr:col>
      <xdr:colOff>133350</xdr:colOff>
      <xdr:row>15</xdr:row>
      <xdr:rowOff>15480</xdr:rowOff>
    </xdr:from>
    <xdr:ext cx="714375" cy="344453"/>
    <xdr:sp macro="" textlink="">
      <xdr:nvSpPr>
        <xdr:cNvPr id="32" name="Rectangle: Single Corner Rounded 31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9D871FE-9352-4223-97A6-F00E1A271818}"/>
            </a:ext>
          </a:extLst>
        </xdr:cNvPr>
        <xdr:cNvSpPr/>
      </xdr:nvSpPr>
      <xdr:spPr>
        <a:xfrm flipH="1">
          <a:off x="381000" y="3511155"/>
          <a:ext cx="714375" cy="344453"/>
        </a:xfrm>
        <a:prstGeom prst="round1Rect">
          <a:avLst>
            <a:gd name="adj" fmla="val 26423"/>
          </a:avLst>
        </a:prstGeom>
        <a:solidFill>
          <a:srgbClr val="FFC000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INFLUENCER</a:t>
          </a:r>
        </a:p>
      </xdr:txBody>
    </xdr:sp>
    <xdr:clientData/>
  </xdr:oneCellAnchor>
  <xdr:oneCellAnchor>
    <xdr:from>
      <xdr:col>1</xdr:col>
      <xdr:colOff>133350</xdr:colOff>
      <xdr:row>16</xdr:row>
      <xdr:rowOff>216696</xdr:rowOff>
    </xdr:from>
    <xdr:ext cx="714375" cy="344453"/>
    <xdr:sp macro="" textlink="">
      <xdr:nvSpPr>
        <xdr:cNvPr id="33" name="Rectangle: Single Corner Rounded 32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BB6200E6-B153-49E0-A512-04340F906F28}"/>
            </a:ext>
          </a:extLst>
        </xdr:cNvPr>
        <xdr:cNvSpPr/>
      </xdr:nvSpPr>
      <xdr:spPr>
        <a:xfrm flipH="1">
          <a:off x="381000" y="396002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LINKEDIN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18</xdr:row>
      <xdr:rowOff>170262</xdr:rowOff>
    </xdr:from>
    <xdr:ext cx="714375" cy="344453"/>
    <xdr:sp macro="" textlink="">
      <xdr:nvSpPr>
        <xdr:cNvPr id="34" name="Rectangle: Single Corner Rounded 33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81F025A5-B615-4800-BBE5-51B8A40D37EC}"/>
            </a:ext>
          </a:extLst>
        </xdr:cNvPr>
        <xdr:cNvSpPr/>
      </xdr:nvSpPr>
      <xdr:spPr>
        <a:xfrm flipH="1">
          <a:off x="381000" y="440888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TWITTER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6</xdr:row>
      <xdr:rowOff>0</xdr:rowOff>
    </xdr:from>
    <xdr:ext cx="714375" cy="344453"/>
    <xdr:sp macro="" textlink="">
      <xdr:nvSpPr>
        <xdr:cNvPr id="35" name="Rectangle: Single Corner Rounded 34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29413767-B386-4C4B-A4EF-BAEA053025E5}"/>
            </a:ext>
          </a:extLst>
        </xdr:cNvPr>
        <xdr:cNvSpPr/>
      </xdr:nvSpPr>
      <xdr:spPr>
        <a:xfrm flipH="1">
          <a:off x="381000" y="126682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900" b="1" baseline="0">
              <a:solidFill>
                <a:schemeClr val="bg1"/>
              </a:solidFill>
            </a:rPr>
            <a:t>DASHBOARD</a:t>
          </a:r>
        </a:p>
      </xdr:txBody>
    </xdr:sp>
    <xdr:clientData/>
  </xdr:oneCellAnchor>
  <xdr:oneCellAnchor>
    <xdr:from>
      <xdr:col>1</xdr:col>
      <xdr:colOff>133350</xdr:colOff>
      <xdr:row>20</xdr:row>
      <xdr:rowOff>123825</xdr:rowOff>
    </xdr:from>
    <xdr:ext cx="714375" cy="344453"/>
    <xdr:sp macro="" textlink="">
      <xdr:nvSpPr>
        <xdr:cNvPr id="36" name="Rectangle: Single Corner Rounded 35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3FC4879D-4E9B-4966-AA64-22220ABFF588}"/>
            </a:ext>
          </a:extLst>
        </xdr:cNvPr>
        <xdr:cNvSpPr/>
      </xdr:nvSpPr>
      <xdr:spPr>
        <a:xfrm flipH="1">
          <a:off x="381000" y="4857750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BASIC TEMPLATE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15</xdr:col>
      <xdr:colOff>0</xdr:colOff>
      <xdr:row>33</xdr:row>
      <xdr:rowOff>47625</xdr:rowOff>
    </xdr:from>
    <xdr:to>
      <xdr:col>15</xdr:col>
      <xdr:colOff>342900</xdr:colOff>
      <xdr:row>34</xdr:row>
      <xdr:rowOff>62595</xdr:rowOff>
    </xdr:to>
    <xdr:sp macro="" textlink="">
      <xdr:nvSpPr>
        <xdr:cNvPr id="39" name="Left Arrow 1">
          <a:extLst>
            <a:ext uri="{FF2B5EF4-FFF2-40B4-BE49-F238E27FC236}">
              <a16:creationId xmlns:a16="http://schemas.microsoft.com/office/drawing/2014/main" id="{A57F7D3A-8BB6-4DE7-9E9E-540C2996A0B0}"/>
            </a:ext>
          </a:extLst>
        </xdr:cNvPr>
        <xdr:cNvSpPr/>
      </xdr:nvSpPr>
      <xdr:spPr>
        <a:xfrm>
          <a:off x="12582525" y="800100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0</xdr:colOff>
      <xdr:row>31</xdr:row>
      <xdr:rowOff>23813</xdr:rowOff>
    </xdr:from>
    <xdr:to>
      <xdr:col>15</xdr:col>
      <xdr:colOff>342900</xdr:colOff>
      <xdr:row>32</xdr:row>
      <xdr:rowOff>38783</xdr:rowOff>
    </xdr:to>
    <xdr:sp macro="" textlink="">
      <xdr:nvSpPr>
        <xdr:cNvPr id="40" name="Left Arrow 1">
          <a:extLst>
            <a:ext uri="{FF2B5EF4-FFF2-40B4-BE49-F238E27FC236}">
              <a16:creationId xmlns:a16="http://schemas.microsoft.com/office/drawing/2014/main" id="{BEDFBFB8-BC92-4DAE-B0A9-CDD99A697CF4}"/>
            </a:ext>
          </a:extLst>
        </xdr:cNvPr>
        <xdr:cNvSpPr/>
      </xdr:nvSpPr>
      <xdr:spPr>
        <a:xfrm>
          <a:off x="12582525" y="7481888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0</xdr:colOff>
      <xdr:row>29</xdr:row>
      <xdr:rowOff>0</xdr:rowOff>
    </xdr:from>
    <xdr:to>
      <xdr:col>15</xdr:col>
      <xdr:colOff>342900</xdr:colOff>
      <xdr:row>30</xdr:row>
      <xdr:rowOff>14970</xdr:rowOff>
    </xdr:to>
    <xdr:sp macro="" textlink="">
      <xdr:nvSpPr>
        <xdr:cNvPr id="41" name="Left Arrow 1">
          <a:extLst>
            <a:ext uri="{FF2B5EF4-FFF2-40B4-BE49-F238E27FC236}">
              <a16:creationId xmlns:a16="http://schemas.microsoft.com/office/drawing/2014/main" id="{27D020FA-3DE5-419D-9618-0465F6909375}"/>
            </a:ext>
          </a:extLst>
        </xdr:cNvPr>
        <xdr:cNvSpPr/>
      </xdr:nvSpPr>
      <xdr:spPr>
        <a:xfrm>
          <a:off x="12582525" y="696277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13</xdr:col>
      <xdr:colOff>752475</xdr:colOff>
      <xdr:row>1</xdr:row>
      <xdr:rowOff>47625</xdr:rowOff>
    </xdr:from>
    <xdr:ext cx="1325166" cy="381000"/>
    <xdr:pic>
      <xdr:nvPicPr>
        <xdr:cNvPr id="1041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98058</xdr:colOff>
      <xdr:row>1</xdr:row>
      <xdr:rowOff>176062</xdr:rowOff>
    </xdr:from>
    <xdr:to>
      <xdr:col>1</xdr:col>
      <xdr:colOff>749667</xdr:colOff>
      <xdr:row>4</xdr:row>
      <xdr:rowOff>147787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E5C8AE63-ACC3-427F-988C-6E2D642634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51" t="14846" r="14833" b="15028"/>
        <a:stretch/>
      </xdr:blipFill>
      <xdr:spPr>
        <a:xfrm>
          <a:off x="345708" y="261787"/>
          <a:ext cx="651609" cy="648000"/>
        </a:xfrm>
        <a:prstGeom prst="rect">
          <a:avLst/>
        </a:prstGeom>
      </xdr:spPr>
    </xdr:pic>
    <xdr:clientData/>
  </xdr:twoCellAnchor>
  <xdr:oneCellAnchor>
    <xdr:from>
      <xdr:col>1</xdr:col>
      <xdr:colOff>133350</xdr:colOff>
      <xdr:row>7</xdr:row>
      <xdr:rowOff>201216</xdr:rowOff>
    </xdr:from>
    <xdr:ext cx="714375" cy="344453"/>
    <xdr:sp macro="" textlink="">
      <xdr:nvSpPr>
        <xdr:cNvPr id="20" name="Rectangle: Single Corner Rounded 19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D7FAD3B7-F485-4193-A83C-D484A4AB3B4C}"/>
            </a:ext>
          </a:extLst>
        </xdr:cNvPr>
        <xdr:cNvSpPr/>
      </xdr:nvSpPr>
      <xdr:spPr>
        <a:xfrm flipH="1">
          <a:off x="381000" y="171569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GOOGLE</a:t>
          </a:r>
        </a:p>
        <a:p>
          <a:pPr algn="ctr"/>
          <a:r>
            <a:rPr lang="tr-TR" sz="1000" b="0">
              <a:solidFill>
                <a:schemeClr val="bg1"/>
              </a:solidFill>
            </a:rPr>
            <a:t>ADS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9</xdr:row>
      <xdr:rowOff>154782</xdr:rowOff>
    </xdr:from>
    <xdr:ext cx="714375" cy="344453"/>
    <xdr:sp macro="" textlink="">
      <xdr:nvSpPr>
        <xdr:cNvPr id="21" name="Rectangle: Single Corner Rounded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28719A5A-25F3-4E04-83E8-12D6355CD3CA}"/>
            </a:ext>
          </a:extLst>
        </xdr:cNvPr>
        <xdr:cNvSpPr/>
      </xdr:nvSpPr>
      <xdr:spPr>
        <a:xfrm flipH="1">
          <a:off x="381000" y="216455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FACEBOOK</a:t>
          </a:r>
        </a:p>
      </xdr:txBody>
    </xdr:sp>
    <xdr:clientData/>
  </xdr:oneCellAnchor>
  <xdr:oneCellAnchor>
    <xdr:from>
      <xdr:col>1</xdr:col>
      <xdr:colOff>133350</xdr:colOff>
      <xdr:row>11</xdr:row>
      <xdr:rowOff>108348</xdr:rowOff>
    </xdr:from>
    <xdr:ext cx="714375" cy="344453"/>
    <xdr:sp macro="" textlink="">
      <xdr:nvSpPr>
        <xdr:cNvPr id="22" name="Rectangle: Single Corner Rounded 2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8439DF2C-02F3-4EF9-A5C8-2581E186CDFA}"/>
            </a:ext>
          </a:extLst>
        </xdr:cNvPr>
        <xdr:cNvSpPr/>
      </xdr:nvSpPr>
      <xdr:spPr>
        <a:xfrm flipH="1">
          <a:off x="381000" y="2613423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EMAIL</a:t>
          </a:r>
        </a:p>
      </xdr:txBody>
    </xdr:sp>
    <xdr:clientData/>
  </xdr:oneCellAnchor>
  <xdr:oneCellAnchor>
    <xdr:from>
      <xdr:col>1</xdr:col>
      <xdr:colOff>133350</xdr:colOff>
      <xdr:row>13</xdr:row>
      <xdr:rowOff>61914</xdr:rowOff>
    </xdr:from>
    <xdr:ext cx="714375" cy="344453"/>
    <xdr:sp macro="" textlink="">
      <xdr:nvSpPr>
        <xdr:cNvPr id="23" name="Rectangle: Single Corner Rounded 22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E8D1570F-DF3A-4C24-BE56-2D3F23DBFED0}"/>
            </a:ext>
          </a:extLst>
        </xdr:cNvPr>
        <xdr:cNvSpPr/>
      </xdr:nvSpPr>
      <xdr:spPr>
        <a:xfrm flipH="1">
          <a:off x="381000" y="3062289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INSTAGRAM</a:t>
          </a:r>
        </a:p>
      </xdr:txBody>
    </xdr:sp>
    <xdr:clientData/>
  </xdr:oneCellAnchor>
  <xdr:oneCellAnchor>
    <xdr:from>
      <xdr:col>1</xdr:col>
      <xdr:colOff>133350</xdr:colOff>
      <xdr:row>15</xdr:row>
      <xdr:rowOff>15480</xdr:rowOff>
    </xdr:from>
    <xdr:ext cx="714375" cy="344453"/>
    <xdr:sp macro="" textlink="">
      <xdr:nvSpPr>
        <xdr:cNvPr id="32" name="Rectangle: Single Corner Rounded 31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8A3E069E-9B1D-4EFC-8835-9DEC59A07E81}"/>
            </a:ext>
          </a:extLst>
        </xdr:cNvPr>
        <xdr:cNvSpPr/>
      </xdr:nvSpPr>
      <xdr:spPr>
        <a:xfrm flipH="1">
          <a:off x="381000" y="351115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INFLUENCER</a:t>
          </a:r>
        </a:p>
      </xdr:txBody>
    </xdr:sp>
    <xdr:clientData/>
  </xdr:oneCellAnchor>
  <xdr:oneCellAnchor>
    <xdr:from>
      <xdr:col>1</xdr:col>
      <xdr:colOff>133350</xdr:colOff>
      <xdr:row>16</xdr:row>
      <xdr:rowOff>216696</xdr:rowOff>
    </xdr:from>
    <xdr:ext cx="714375" cy="344453"/>
    <xdr:sp macro="" textlink="">
      <xdr:nvSpPr>
        <xdr:cNvPr id="33" name="Rectangle: Single Corner Rounded 32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6BF6DD1D-E630-4EA4-B201-5A2B95D0A4B9}"/>
            </a:ext>
          </a:extLst>
        </xdr:cNvPr>
        <xdr:cNvSpPr/>
      </xdr:nvSpPr>
      <xdr:spPr>
        <a:xfrm flipH="1">
          <a:off x="381000" y="3960021"/>
          <a:ext cx="714375" cy="344453"/>
        </a:xfrm>
        <a:prstGeom prst="round1Rect">
          <a:avLst>
            <a:gd name="adj" fmla="val 26423"/>
          </a:avLst>
        </a:prstGeom>
        <a:solidFill>
          <a:srgbClr val="FFC000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LINKEDIN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18</xdr:row>
      <xdr:rowOff>170262</xdr:rowOff>
    </xdr:from>
    <xdr:ext cx="714375" cy="344453"/>
    <xdr:sp macro="" textlink="">
      <xdr:nvSpPr>
        <xdr:cNvPr id="34" name="Rectangle: Single Corner Rounded 33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DD13FF84-5044-4CA8-8F25-CFC56F9C70D1}"/>
            </a:ext>
          </a:extLst>
        </xdr:cNvPr>
        <xdr:cNvSpPr/>
      </xdr:nvSpPr>
      <xdr:spPr>
        <a:xfrm flipH="1">
          <a:off x="381000" y="440888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TWITTER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6</xdr:row>
      <xdr:rowOff>0</xdr:rowOff>
    </xdr:from>
    <xdr:ext cx="714375" cy="344453"/>
    <xdr:sp macro="" textlink="">
      <xdr:nvSpPr>
        <xdr:cNvPr id="35" name="Rectangle: Single Corner Rounded 34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711213CF-6DDE-4C5D-9D84-541C101FD34A}"/>
            </a:ext>
          </a:extLst>
        </xdr:cNvPr>
        <xdr:cNvSpPr/>
      </xdr:nvSpPr>
      <xdr:spPr>
        <a:xfrm flipH="1">
          <a:off x="381000" y="126682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900" b="1" baseline="0">
              <a:solidFill>
                <a:schemeClr val="bg1"/>
              </a:solidFill>
            </a:rPr>
            <a:t>DASHBOARD</a:t>
          </a:r>
        </a:p>
      </xdr:txBody>
    </xdr:sp>
    <xdr:clientData/>
  </xdr:oneCellAnchor>
  <xdr:oneCellAnchor>
    <xdr:from>
      <xdr:col>1</xdr:col>
      <xdr:colOff>133350</xdr:colOff>
      <xdr:row>20</xdr:row>
      <xdr:rowOff>123825</xdr:rowOff>
    </xdr:from>
    <xdr:ext cx="714375" cy="344453"/>
    <xdr:sp macro="" textlink="">
      <xdr:nvSpPr>
        <xdr:cNvPr id="36" name="Rectangle: Single Corner Rounded 35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13912F22-ED08-4AE6-BE8B-09AFC430267A}"/>
            </a:ext>
          </a:extLst>
        </xdr:cNvPr>
        <xdr:cNvSpPr/>
      </xdr:nvSpPr>
      <xdr:spPr>
        <a:xfrm flipH="1">
          <a:off x="381000" y="4857750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BASIC TEMPLATE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15</xdr:col>
      <xdr:colOff>0</xdr:colOff>
      <xdr:row>37</xdr:row>
      <xdr:rowOff>47625</xdr:rowOff>
    </xdr:from>
    <xdr:to>
      <xdr:col>15</xdr:col>
      <xdr:colOff>342900</xdr:colOff>
      <xdr:row>38</xdr:row>
      <xdr:rowOff>62595</xdr:rowOff>
    </xdr:to>
    <xdr:sp macro="" textlink="">
      <xdr:nvSpPr>
        <xdr:cNvPr id="40" name="Left Arrow 1">
          <a:extLst>
            <a:ext uri="{FF2B5EF4-FFF2-40B4-BE49-F238E27FC236}">
              <a16:creationId xmlns:a16="http://schemas.microsoft.com/office/drawing/2014/main" id="{16DE5CA2-7347-4D48-A9C7-6F2F3287A009}"/>
            </a:ext>
          </a:extLst>
        </xdr:cNvPr>
        <xdr:cNvSpPr/>
      </xdr:nvSpPr>
      <xdr:spPr>
        <a:xfrm>
          <a:off x="12582525" y="899160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0</xdr:colOff>
      <xdr:row>35</xdr:row>
      <xdr:rowOff>23813</xdr:rowOff>
    </xdr:from>
    <xdr:to>
      <xdr:col>15</xdr:col>
      <xdr:colOff>342900</xdr:colOff>
      <xdr:row>36</xdr:row>
      <xdr:rowOff>38783</xdr:rowOff>
    </xdr:to>
    <xdr:sp macro="" textlink="">
      <xdr:nvSpPr>
        <xdr:cNvPr id="41" name="Left Arrow 1">
          <a:extLst>
            <a:ext uri="{FF2B5EF4-FFF2-40B4-BE49-F238E27FC236}">
              <a16:creationId xmlns:a16="http://schemas.microsoft.com/office/drawing/2014/main" id="{623D5945-0DE8-466B-ACA5-61CCFBCC820D}"/>
            </a:ext>
          </a:extLst>
        </xdr:cNvPr>
        <xdr:cNvSpPr/>
      </xdr:nvSpPr>
      <xdr:spPr>
        <a:xfrm>
          <a:off x="12582525" y="8472488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0</xdr:colOff>
      <xdr:row>33</xdr:row>
      <xdr:rowOff>0</xdr:rowOff>
    </xdr:from>
    <xdr:to>
      <xdr:col>15</xdr:col>
      <xdr:colOff>342900</xdr:colOff>
      <xdr:row>34</xdr:row>
      <xdr:rowOff>14970</xdr:rowOff>
    </xdr:to>
    <xdr:sp macro="" textlink="">
      <xdr:nvSpPr>
        <xdr:cNvPr id="42" name="Left Arrow 1">
          <a:extLst>
            <a:ext uri="{FF2B5EF4-FFF2-40B4-BE49-F238E27FC236}">
              <a16:creationId xmlns:a16="http://schemas.microsoft.com/office/drawing/2014/main" id="{86F75B92-90E7-483C-A099-DD8C2AC1BCF2}"/>
            </a:ext>
          </a:extLst>
        </xdr:cNvPr>
        <xdr:cNvSpPr/>
      </xdr:nvSpPr>
      <xdr:spPr>
        <a:xfrm>
          <a:off x="12582525" y="795337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13</xdr:col>
      <xdr:colOff>752475</xdr:colOff>
      <xdr:row>1</xdr:row>
      <xdr:rowOff>47625</xdr:rowOff>
    </xdr:from>
    <xdr:ext cx="1325166" cy="381000"/>
    <xdr:pic>
      <xdr:nvPicPr>
        <xdr:cNvPr id="1042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99862</xdr:colOff>
      <xdr:row>1</xdr:row>
      <xdr:rowOff>176062</xdr:rowOff>
    </xdr:from>
    <xdr:to>
      <xdr:col>1</xdr:col>
      <xdr:colOff>747862</xdr:colOff>
      <xdr:row>4</xdr:row>
      <xdr:rowOff>147787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E49FE66C-55A2-45A4-9259-D29D6A3F8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512" y="261787"/>
          <a:ext cx="648000" cy="648000"/>
        </a:xfrm>
        <a:prstGeom prst="rect">
          <a:avLst/>
        </a:prstGeom>
      </xdr:spPr>
    </xdr:pic>
    <xdr:clientData/>
  </xdr:twoCellAnchor>
  <xdr:oneCellAnchor>
    <xdr:from>
      <xdr:col>1</xdr:col>
      <xdr:colOff>133350</xdr:colOff>
      <xdr:row>7</xdr:row>
      <xdr:rowOff>201216</xdr:rowOff>
    </xdr:from>
    <xdr:ext cx="714375" cy="344453"/>
    <xdr:sp macro="" textlink="">
      <xdr:nvSpPr>
        <xdr:cNvPr id="44" name="Rectangle: Single Corner Rounded 43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248A254A-4E52-42A1-8E5E-640EBDDE6802}"/>
            </a:ext>
          </a:extLst>
        </xdr:cNvPr>
        <xdr:cNvSpPr/>
      </xdr:nvSpPr>
      <xdr:spPr>
        <a:xfrm flipH="1">
          <a:off x="381000" y="171569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GOOGLE</a:t>
          </a:r>
        </a:p>
        <a:p>
          <a:pPr algn="ctr"/>
          <a:r>
            <a:rPr lang="tr-TR" sz="1000" b="0">
              <a:solidFill>
                <a:schemeClr val="bg1"/>
              </a:solidFill>
            </a:rPr>
            <a:t>ADS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9</xdr:row>
      <xdr:rowOff>154782</xdr:rowOff>
    </xdr:from>
    <xdr:ext cx="714375" cy="344453"/>
    <xdr:sp macro="" textlink="">
      <xdr:nvSpPr>
        <xdr:cNvPr id="45" name="Rectangle: Single Corner Rounded 44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8C54A2F0-1BD4-443D-9504-890FA91717DE}"/>
            </a:ext>
          </a:extLst>
        </xdr:cNvPr>
        <xdr:cNvSpPr/>
      </xdr:nvSpPr>
      <xdr:spPr>
        <a:xfrm flipH="1">
          <a:off x="381000" y="216455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FACEBOOK</a:t>
          </a:r>
        </a:p>
      </xdr:txBody>
    </xdr:sp>
    <xdr:clientData/>
  </xdr:oneCellAnchor>
  <xdr:oneCellAnchor>
    <xdr:from>
      <xdr:col>1</xdr:col>
      <xdr:colOff>133350</xdr:colOff>
      <xdr:row>11</xdr:row>
      <xdr:rowOff>108348</xdr:rowOff>
    </xdr:from>
    <xdr:ext cx="714375" cy="344453"/>
    <xdr:sp macro="" textlink="">
      <xdr:nvSpPr>
        <xdr:cNvPr id="46" name="Rectangle: Single Corner Rounded 45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C90CBCA2-7FB0-467A-9539-71251607B67A}"/>
            </a:ext>
          </a:extLst>
        </xdr:cNvPr>
        <xdr:cNvSpPr/>
      </xdr:nvSpPr>
      <xdr:spPr>
        <a:xfrm flipH="1">
          <a:off x="381000" y="2613423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EMAIL</a:t>
          </a:r>
        </a:p>
      </xdr:txBody>
    </xdr:sp>
    <xdr:clientData/>
  </xdr:oneCellAnchor>
  <xdr:oneCellAnchor>
    <xdr:from>
      <xdr:col>1</xdr:col>
      <xdr:colOff>133350</xdr:colOff>
      <xdr:row>13</xdr:row>
      <xdr:rowOff>61914</xdr:rowOff>
    </xdr:from>
    <xdr:ext cx="714375" cy="344453"/>
    <xdr:sp macro="" textlink="">
      <xdr:nvSpPr>
        <xdr:cNvPr id="47" name="Rectangle: Single Corner Rounded 46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7191C5F9-6C1F-4FF3-88BF-BB3F619A2512}"/>
            </a:ext>
          </a:extLst>
        </xdr:cNvPr>
        <xdr:cNvSpPr/>
      </xdr:nvSpPr>
      <xdr:spPr>
        <a:xfrm flipH="1">
          <a:off x="381000" y="3062289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INSTAGRAM</a:t>
          </a:r>
        </a:p>
      </xdr:txBody>
    </xdr:sp>
    <xdr:clientData/>
  </xdr:oneCellAnchor>
  <xdr:oneCellAnchor>
    <xdr:from>
      <xdr:col>1</xdr:col>
      <xdr:colOff>133350</xdr:colOff>
      <xdr:row>15</xdr:row>
      <xdr:rowOff>15480</xdr:rowOff>
    </xdr:from>
    <xdr:ext cx="714375" cy="344453"/>
    <xdr:sp macro="" textlink="">
      <xdr:nvSpPr>
        <xdr:cNvPr id="48" name="Rectangle: Single Corner Rounded 47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E65CFE9D-C4E9-44CB-8BC7-7964D93C5DFF}"/>
            </a:ext>
          </a:extLst>
        </xdr:cNvPr>
        <xdr:cNvSpPr/>
      </xdr:nvSpPr>
      <xdr:spPr>
        <a:xfrm flipH="1">
          <a:off x="381000" y="351115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INFLUENCER</a:t>
          </a:r>
        </a:p>
      </xdr:txBody>
    </xdr:sp>
    <xdr:clientData/>
  </xdr:oneCellAnchor>
  <xdr:oneCellAnchor>
    <xdr:from>
      <xdr:col>1</xdr:col>
      <xdr:colOff>133350</xdr:colOff>
      <xdr:row>16</xdr:row>
      <xdr:rowOff>216696</xdr:rowOff>
    </xdr:from>
    <xdr:ext cx="714375" cy="344453"/>
    <xdr:sp macro="" textlink="">
      <xdr:nvSpPr>
        <xdr:cNvPr id="49" name="Rectangle: Single Corner Rounded 48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B40AE15E-E677-4E9C-B0C0-203750869AAA}"/>
            </a:ext>
          </a:extLst>
        </xdr:cNvPr>
        <xdr:cNvSpPr/>
      </xdr:nvSpPr>
      <xdr:spPr>
        <a:xfrm flipH="1">
          <a:off x="381000" y="396002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LINKEDIN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18</xdr:row>
      <xdr:rowOff>170262</xdr:rowOff>
    </xdr:from>
    <xdr:ext cx="714375" cy="344453"/>
    <xdr:sp macro="" textlink="">
      <xdr:nvSpPr>
        <xdr:cNvPr id="50" name="Rectangle: Single Corner Rounded 49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43827253-8ED3-4E5F-AF76-CACEBE1EEF80}"/>
            </a:ext>
          </a:extLst>
        </xdr:cNvPr>
        <xdr:cNvSpPr/>
      </xdr:nvSpPr>
      <xdr:spPr>
        <a:xfrm flipH="1">
          <a:off x="381000" y="4408887"/>
          <a:ext cx="714375" cy="344453"/>
        </a:xfrm>
        <a:prstGeom prst="round1Rect">
          <a:avLst>
            <a:gd name="adj" fmla="val 26423"/>
          </a:avLst>
        </a:prstGeom>
        <a:solidFill>
          <a:srgbClr val="FFC000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TWITTER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6</xdr:row>
      <xdr:rowOff>0</xdr:rowOff>
    </xdr:from>
    <xdr:ext cx="714375" cy="344453"/>
    <xdr:sp macro="" textlink="">
      <xdr:nvSpPr>
        <xdr:cNvPr id="51" name="Rectangle: Single Corner Rounded 50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E6032BA1-42F8-4859-A6F3-21389DB52D3A}"/>
            </a:ext>
          </a:extLst>
        </xdr:cNvPr>
        <xdr:cNvSpPr/>
      </xdr:nvSpPr>
      <xdr:spPr>
        <a:xfrm flipH="1">
          <a:off x="381000" y="126682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900" b="1" baseline="0">
              <a:solidFill>
                <a:schemeClr val="bg1"/>
              </a:solidFill>
            </a:rPr>
            <a:t>DASHBOARD</a:t>
          </a:r>
        </a:p>
      </xdr:txBody>
    </xdr:sp>
    <xdr:clientData/>
  </xdr:oneCellAnchor>
  <xdr:oneCellAnchor>
    <xdr:from>
      <xdr:col>1</xdr:col>
      <xdr:colOff>133350</xdr:colOff>
      <xdr:row>20</xdr:row>
      <xdr:rowOff>123825</xdr:rowOff>
    </xdr:from>
    <xdr:ext cx="714375" cy="344453"/>
    <xdr:sp macro="" textlink="">
      <xdr:nvSpPr>
        <xdr:cNvPr id="52" name="Rectangle: Single Corner Rounded 51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1AE4F204-B7B2-4817-BBCD-4252E804C3A0}"/>
            </a:ext>
          </a:extLst>
        </xdr:cNvPr>
        <xdr:cNvSpPr/>
      </xdr:nvSpPr>
      <xdr:spPr>
        <a:xfrm flipH="1">
          <a:off x="381000" y="4857750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BASIC TEMPLATE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15</xdr:col>
      <xdr:colOff>0</xdr:colOff>
      <xdr:row>40</xdr:row>
      <xdr:rowOff>47625</xdr:rowOff>
    </xdr:from>
    <xdr:to>
      <xdr:col>15</xdr:col>
      <xdr:colOff>342900</xdr:colOff>
      <xdr:row>41</xdr:row>
      <xdr:rowOff>62595</xdr:rowOff>
    </xdr:to>
    <xdr:sp macro="" textlink="">
      <xdr:nvSpPr>
        <xdr:cNvPr id="28" name="Left Arrow 1">
          <a:extLst>
            <a:ext uri="{FF2B5EF4-FFF2-40B4-BE49-F238E27FC236}">
              <a16:creationId xmlns:a16="http://schemas.microsoft.com/office/drawing/2014/main" id="{511E2D89-2AAD-493E-A88B-B4218B45B267}"/>
            </a:ext>
          </a:extLst>
        </xdr:cNvPr>
        <xdr:cNvSpPr/>
      </xdr:nvSpPr>
      <xdr:spPr>
        <a:xfrm>
          <a:off x="12582525" y="97345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0</xdr:colOff>
      <xdr:row>38</xdr:row>
      <xdr:rowOff>23813</xdr:rowOff>
    </xdr:from>
    <xdr:to>
      <xdr:col>15</xdr:col>
      <xdr:colOff>342900</xdr:colOff>
      <xdr:row>39</xdr:row>
      <xdr:rowOff>38783</xdr:rowOff>
    </xdr:to>
    <xdr:sp macro="" textlink="">
      <xdr:nvSpPr>
        <xdr:cNvPr id="29" name="Left Arrow 1">
          <a:extLst>
            <a:ext uri="{FF2B5EF4-FFF2-40B4-BE49-F238E27FC236}">
              <a16:creationId xmlns:a16="http://schemas.microsoft.com/office/drawing/2014/main" id="{150C20D6-0482-46F1-AC9A-6D2BD3D52FD3}"/>
            </a:ext>
          </a:extLst>
        </xdr:cNvPr>
        <xdr:cNvSpPr/>
      </xdr:nvSpPr>
      <xdr:spPr>
        <a:xfrm>
          <a:off x="12582525" y="9215438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0</xdr:colOff>
      <xdr:row>36</xdr:row>
      <xdr:rowOff>0</xdr:rowOff>
    </xdr:from>
    <xdr:to>
      <xdr:col>15</xdr:col>
      <xdr:colOff>342900</xdr:colOff>
      <xdr:row>37</xdr:row>
      <xdr:rowOff>14970</xdr:rowOff>
    </xdr:to>
    <xdr:sp macro="" textlink="">
      <xdr:nvSpPr>
        <xdr:cNvPr id="32" name="Left Arrow 1">
          <a:extLst>
            <a:ext uri="{FF2B5EF4-FFF2-40B4-BE49-F238E27FC236}">
              <a16:creationId xmlns:a16="http://schemas.microsoft.com/office/drawing/2014/main" id="{B09A4318-C17C-4B11-99EF-12DF0EB35190}"/>
            </a:ext>
          </a:extLst>
        </xdr:cNvPr>
        <xdr:cNvSpPr/>
      </xdr:nvSpPr>
      <xdr:spPr>
        <a:xfrm>
          <a:off x="12582525" y="869632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13</xdr:col>
      <xdr:colOff>752475</xdr:colOff>
      <xdr:row>1</xdr:row>
      <xdr:rowOff>47625</xdr:rowOff>
    </xdr:from>
    <xdr:ext cx="1325166" cy="381000"/>
    <xdr:pic>
      <xdr:nvPicPr>
        <xdr:cNvPr id="1052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116315</xdr:colOff>
      <xdr:row>1</xdr:row>
      <xdr:rowOff>176062</xdr:rowOff>
    </xdr:from>
    <xdr:to>
      <xdr:col>1</xdr:col>
      <xdr:colOff>731409</xdr:colOff>
      <xdr:row>4</xdr:row>
      <xdr:rowOff>147787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FD896511-1EF6-4A66-84F2-269C468BD7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35" r="2344"/>
        <a:stretch/>
      </xdr:blipFill>
      <xdr:spPr>
        <a:xfrm>
          <a:off x="363965" y="261787"/>
          <a:ext cx="615094" cy="648000"/>
        </a:xfrm>
        <a:prstGeom prst="rect">
          <a:avLst/>
        </a:prstGeom>
      </xdr:spPr>
    </xdr:pic>
    <xdr:clientData/>
  </xdr:twoCellAnchor>
  <xdr:oneCellAnchor>
    <xdr:from>
      <xdr:col>1</xdr:col>
      <xdr:colOff>133350</xdr:colOff>
      <xdr:row>7</xdr:row>
      <xdr:rowOff>201216</xdr:rowOff>
    </xdr:from>
    <xdr:ext cx="714375" cy="344453"/>
    <xdr:sp macro="" textlink="">
      <xdr:nvSpPr>
        <xdr:cNvPr id="33" name="Rectangle: Single Corner Rounded 32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A5F32212-8263-4AAE-8001-A6DB334E7045}"/>
            </a:ext>
          </a:extLst>
        </xdr:cNvPr>
        <xdr:cNvSpPr/>
      </xdr:nvSpPr>
      <xdr:spPr>
        <a:xfrm flipH="1">
          <a:off x="381000" y="171569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GOOGLE</a:t>
          </a:r>
        </a:p>
        <a:p>
          <a:pPr algn="ctr"/>
          <a:r>
            <a:rPr lang="tr-TR" sz="1000" b="0">
              <a:solidFill>
                <a:schemeClr val="bg1"/>
              </a:solidFill>
            </a:rPr>
            <a:t>ADS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9</xdr:row>
      <xdr:rowOff>154782</xdr:rowOff>
    </xdr:from>
    <xdr:ext cx="714375" cy="344453"/>
    <xdr:sp macro="" textlink="">
      <xdr:nvSpPr>
        <xdr:cNvPr id="34" name="Rectangle: Single Corner Rounded 33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21ABF7DF-C862-4C87-950D-F4FBA3B7BDE2}"/>
            </a:ext>
          </a:extLst>
        </xdr:cNvPr>
        <xdr:cNvSpPr/>
      </xdr:nvSpPr>
      <xdr:spPr>
        <a:xfrm flipH="1">
          <a:off x="381000" y="216455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FACEBOOK</a:t>
          </a:r>
        </a:p>
      </xdr:txBody>
    </xdr:sp>
    <xdr:clientData/>
  </xdr:oneCellAnchor>
  <xdr:oneCellAnchor>
    <xdr:from>
      <xdr:col>1</xdr:col>
      <xdr:colOff>133350</xdr:colOff>
      <xdr:row>11</xdr:row>
      <xdr:rowOff>108348</xdr:rowOff>
    </xdr:from>
    <xdr:ext cx="714375" cy="344453"/>
    <xdr:sp macro="" textlink="">
      <xdr:nvSpPr>
        <xdr:cNvPr id="35" name="Rectangle: Single Corner Rounded 34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C447FC0E-4C5E-4E05-9ADE-751523CF2CE4}"/>
            </a:ext>
          </a:extLst>
        </xdr:cNvPr>
        <xdr:cNvSpPr/>
      </xdr:nvSpPr>
      <xdr:spPr>
        <a:xfrm flipH="1">
          <a:off x="381000" y="2613423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EMAIL</a:t>
          </a:r>
        </a:p>
      </xdr:txBody>
    </xdr:sp>
    <xdr:clientData/>
  </xdr:oneCellAnchor>
  <xdr:oneCellAnchor>
    <xdr:from>
      <xdr:col>1</xdr:col>
      <xdr:colOff>133350</xdr:colOff>
      <xdr:row>13</xdr:row>
      <xdr:rowOff>61914</xdr:rowOff>
    </xdr:from>
    <xdr:ext cx="714375" cy="344453"/>
    <xdr:sp macro="" textlink="">
      <xdr:nvSpPr>
        <xdr:cNvPr id="36" name="Rectangle: Single Corner Rounded 35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2EC39F97-0E15-4AC4-902D-802E9C2F5276}"/>
            </a:ext>
          </a:extLst>
        </xdr:cNvPr>
        <xdr:cNvSpPr/>
      </xdr:nvSpPr>
      <xdr:spPr>
        <a:xfrm flipH="1">
          <a:off x="381000" y="3062289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aseline="0">
              <a:solidFill>
                <a:schemeClr val="bg1"/>
              </a:solidFill>
            </a:rPr>
            <a:t>INSTAGRAM</a:t>
          </a:r>
        </a:p>
      </xdr:txBody>
    </xdr:sp>
    <xdr:clientData/>
  </xdr:oneCellAnchor>
  <xdr:oneCellAnchor>
    <xdr:from>
      <xdr:col>1</xdr:col>
      <xdr:colOff>133350</xdr:colOff>
      <xdr:row>15</xdr:row>
      <xdr:rowOff>15480</xdr:rowOff>
    </xdr:from>
    <xdr:ext cx="714375" cy="344453"/>
    <xdr:sp macro="" textlink="">
      <xdr:nvSpPr>
        <xdr:cNvPr id="37" name="Rectangle: Single Corner Rounded 36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DFE0076B-D678-467D-9015-9DCDE0144464}"/>
            </a:ext>
          </a:extLst>
        </xdr:cNvPr>
        <xdr:cNvSpPr/>
      </xdr:nvSpPr>
      <xdr:spPr>
        <a:xfrm flipH="1">
          <a:off x="381000" y="351115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INFLUENCER</a:t>
          </a:r>
        </a:p>
      </xdr:txBody>
    </xdr:sp>
    <xdr:clientData/>
  </xdr:oneCellAnchor>
  <xdr:oneCellAnchor>
    <xdr:from>
      <xdr:col>1</xdr:col>
      <xdr:colOff>133350</xdr:colOff>
      <xdr:row>16</xdr:row>
      <xdr:rowOff>216696</xdr:rowOff>
    </xdr:from>
    <xdr:ext cx="714375" cy="344453"/>
    <xdr:sp macro="" textlink="">
      <xdr:nvSpPr>
        <xdr:cNvPr id="38" name="Rectangle: Single Corner Rounded 37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25464EBF-ACFD-476B-BC7F-2D885D83D32E}"/>
            </a:ext>
          </a:extLst>
        </xdr:cNvPr>
        <xdr:cNvSpPr/>
      </xdr:nvSpPr>
      <xdr:spPr>
        <a:xfrm flipH="1">
          <a:off x="381000" y="3960021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LINKEDIN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18</xdr:row>
      <xdr:rowOff>170262</xdr:rowOff>
    </xdr:from>
    <xdr:ext cx="714375" cy="344453"/>
    <xdr:sp macro="" textlink="">
      <xdr:nvSpPr>
        <xdr:cNvPr id="39" name="Rectangle: Single Corner Rounded 38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4BA6DE96-1A7E-406E-8656-81CC27524ACE}"/>
            </a:ext>
          </a:extLst>
        </xdr:cNvPr>
        <xdr:cNvSpPr/>
      </xdr:nvSpPr>
      <xdr:spPr>
        <a:xfrm flipH="1">
          <a:off x="381000" y="4408887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>
              <a:solidFill>
                <a:schemeClr val="bg1"/>
              </a:solidFill>
            </a:rPr>
            <a:t>TWITTER</a:t>
          </a:r>
          <a:endParaRPr lang="tr-TR" sz="10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133350</xdr:colOff>
      <xdr:row>6</xdr:row>
      <xdr:rowOff>0</xdr:rowOff>
    </xdr:from>
    <xdr:ext cx="714375" cy="344453"/>
    <xdr:sp macro="" textlink="">
      <xdr:nvSpPr>
        <xdr:cNvPr id="40" name="Rectangle: Single Corner Rounded 39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ED023BA8-945E-45B1-A9B7-707B3E318C29}"/>
            </a:ext>
          </a:extLst>
        </xdr:cNvPr>
        <xdr:cNvSpPr/>
      </xdr:nvSpPr>
      <xdr:spPr>
        <a:xfrm flipH="1">
          <a:off x="381000" y="1266825"/>
          <a:ext cx="714375" cy="344453"/>
        </a:xfrm>
        <a:prstGeom prst="round1Rect">
          <a:avLst>
            <a:gd name="adj" fmla="val 26423"/>
          </a:avLst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900" b="1" baseline="0">
              <a:solidFill>
                <a:schemeClr val="bg1"/>
              </a:solidFill>
            </a:rPr>
            <a:t>DASHBOARD</a:t>
          </a:r>
        </a:p>
      </xdr:txBody>
    </xdr:sp>
    <xdr:clientData/>
  </xdr:oneCellAnchor>
  <xdr:oneCellAnchor>
    <xdr:from>
      <xdr:col>1</xdr:col>
      <xdr:colOff>133350</xdr:colOff>
      <xdr:row>20</xdr:row>
      <xdr:rowOff>123825</xdr:rowOff>
    </xdr:from>
    <xdr:ext cx="714375" cy="344453"/>
    <xdr:sp macro="" textlink="">
      <xdr:nvSpPr>
        <xdr:cNvPr id="41" name="Rectangle: Single Corner Rounded 40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DBD35FDF-DEF0-4916-9AF3-9626B684846F}"/>
            </a:ext>
          </a:extLst>
        </xdr:cNvPr>
        <xdr:cNvSpPr/>
      </xdr:nvSpPr>
      <xdr:spPr>
        <a:xfrm flipH="1">
          <a:off x="381000" y="4857750"/>
          <a:ext cx="714375" cy="344453"/>
        </a:xfrm>
        <a:prstGeom prst="round1Rect">
          <a:avLst>
            <a:gd name="adj" fmla="val 26423"/>
          </a:avLst>
        </a:prstGeom>
        <a:solidFill>
          <a:srgbClr val="FFC000"/>
        </a:solidFill>
        <a:ln>
          <a:solidFill>
            <a:schemeClr val="bg1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000" b="0">
              <a:solidFill>
                <a:schemeClr val="bg1"/>
              </a:solidFill>
            </a:rPr>
            <a:t>BASIC TEMPLATE</a:t>
          </a:r>
          <a:endParaRPr lang="tr-TR" sz="1000" b="0" baseline="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15</xdr:col>
      <xdr:colOff>0</xdr:colOff>
      <xdr:row>38</xdr:row>
      <xdr:rowOff>47625</xdr:rowOff>
    </xdr:from>
    <xdr:to>
      <xdr:col>15</xdr:col>
      <xdr:colOff>342900</xdr:colOff>
      <xdr:row>39</xdr:row>
      <xdr:rowOff>62595</xdr:rowOff>
    </xdr:to>
    <xdr:sp macro="" textlink="">
      <xdr:nvSpPr>
        <xdr:cNvPr id="24" name="Left Arrow 1">
          <a:extLst>
            <a:ext uri="{FF2B5EF4-FFF2-40B4-BE49-F238E27FC236}">
              <a16:creationId xmlns:a16="http://schemas.microsoft.com/office/drawing/2014/main" id="{C11DCD08-4F8D-4DC7-A7E6-36088BD7403C}"/>
            </a:ext>
          </a:extLst>
        </xdr:cNvPr>
        <xdr:cNvSpPr/>
      </xdr:nvSpPr>
      <xdr:spPr>
        <a:xfrm>
          <a:off x="12582525" y="92392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0</xdr:colOff>
      <xdr:row>36</xdr:row>
      <xdr:rowOff>23813</xdr:rowOff>
    </xdr:from>
    <xdr:to>
      <xdr:col>15</xdr:col>
      <xdr:colOff>342900</xdr:colOff>
      <xdr:row>37</xdr:row>
      <xdr:rowOff>38783</xdr:rowOff>
    </xdr:to>
    <xdr:sp macro="" textlink="">
      <xdr:nvSpPr>
        <xdr:cNvPr id="25" name="Left Arrow 1">
          <a:extLst>
            <a:ext uri="{FF2B5EF4-FFF2-40B4-BE49-F238E27FC236}">
              <a16:creationId xmlns:a16="http://schemas.microsoft.com/office/drawing/2014/main" id="{D5764B2D-EE0E-4E1C-9343-F9FCEBDD2C60}"/>
            </a:ext>
          </a:extLst>
        </xdr:cNvPr>
        <xdr:cNvSpPr/>
      </xdr:nvSpPr>
      <xdr:spPr>
        <a:xfrm>
          <a:off x="12582525" y="8720138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0</xdr:colOff>
      <xdr:row>34</xdr:row>
      <xdr:rowOff>0</xdr:rowOff>
    </xdr:from>
    <xdr:to>
      <xdr:col>15</xdr:col>
      <xdr:colOff>342900</xdr:colOff>
      <xdr:row>35</xdr:row>
      <xdr:rowOff>14970</xdr:rowOff>
    </xdr:to>
    <xdr:sp macro="" textlink="">
      <xdr:nvSpPr>
        <xdr:cNvPr id="26" name="Left Arrow 1">
          <a:extLst>
            <a:ext uri="{FF2B5EF4-FFF2-40B4-BE49-F238E27FC236}">
              <a16:creationId xmlns:a16="http://schemas.microsoft.com/office/drawing/2014/main" id="{1B0751A9-D23C-41E5-88AA-CE1F7F88BE24}"/>
            </a:ext>
          </a:extLst>
        </xdr:cNvPr>
        <xdr:cNvSpPr/>
      </xdr:nvSpPr>
      <xdr:spPr>
        <a:xfrm>
          <a:off x="12582525" y="820102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13</xdr:col>
      <xdr:colOff>752475</xdr:colOff>
      <xdr:row>1</xdr:row>
      <xdr:rowOff>47625</xdr:rowOff>
    </xdr:from>
    <xdr:ext cx="1325166" cy="381000"/>
    <xdr:pic>
      <xdr:nvPicPr>
        <xdr:cNvPr id="1041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A567C6C5-FF2B-4FD8-8C55-547FAA84E1E3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03D03AB8-3EA3-C5AC-73E6-5DAFC951C73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3B5EC084-AF04-CCF9-F4CF-C85C7C5C002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E8AE-0FB8-4D5F-A7AF-8B3D1DFD5C56}">
  <sheetPr codeName="Sheet8">
    <pageSetUpPr fitToPage="1"/>
  </sheetPr>
  <dimension ref="B1:Q34"/>
  <sheetViews>
    <sheetView showGridLines="0" showRowColHeaders="0" tabSelected="1" zoomScaleNormal="10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3.7109375" style="23" customWidth="1"/>
    <col min="2" max="2" width="12.7109375" style="23" customWidth="1"/>
    <col min="3" max="3" width="3.7109375" style="23" customWidth="1"/>
    <col min="4" max="4" width="30.7109375" style="23" customWidth="1"/>
    <col min="5" max="9" width="12.7109375" style="23" customWidth="1"/>
    <col min="10" max="11" width="12.7109375" style="19" customWidth="1"/>
    <col min="12" max="14" width="12.7109375" style="23" customWidth="1"/>
    <col min="15" max="15" width="7" style="16" customWidth="1"/>
    <col min="16" max="16" width="3.7109375" style="23" customWidth="1"/>
    <col min="17" max="17" width="35.7109375" style="25" customWidth="1"/>
    <col min="18" max="16384" width="9.140625" style="23"/>
  </cols>
  <sheetData>
    <row r="1" spans="2:17" s="1" customFormat="1" ht="6.75" customHeight="1" x14ac:dyDescent="0.25">
      <c r="C1" s="2"/>
      <c r="E1" s="3"/>
      <c r="F1" s="3"/>
      <c r="G1" s="3"/>
    </row>
    <row r="2" spans="2:17" s="12" customFormat="1" ht="20.100000000000001" customHeight="1" x14ac:dyDescent="0.25">
      <c r="B2" s="11"/>
      <c r="C2" s="32" t="s">
        <v>150</v>
      </c>
      <c r="D2" s="13"/>
      <c r="E2" s="13"/>
      <c r="F2" s="13"/>
      <c r="G2" s="13"/>
      <c r="H2" s="13"/>
      <c r="I2" s="13"/>
      <c r="J2" s="13"/>
      <c r="K2" s="13"/>
      <c r="L2" s="20"/>
      <c r="M2" s="20"/>
      <c r="N2" s="20"/>
      <c r="O2" s="20"/>
      <c r="P2" s="31"/>
    </row>
    <row r="3" spans="2:17" s="4" customFormat="1" ht="24" customHeight="1" x14ac:dyDescent="0.25">
      <c r="B3" s="42"/>
      <c r="C3" s="43" t="s">
        <v>146</v>
      </c>
      <c r="D3" s="44"/>
      <c r="E3" s="44"/>
      <c r="F3" s="44"/>
      <c r="G3" s="44"/>
      <c r="H3" s="44"/>
      <c r="I3" s="44"/>
      <c r="J3" s="44"/>
      <c r="K3" s="44"/>
      <c r="L3" s="21"/>
      <c r="M3" s="21"/>
      <c r="N3" s="21"/>
      <c r="O3" s="21"/>
      <c r="P3" s="154"/>
    </row>
    <row r="4" spans="2:17" ht="5.0999999999999996" customHeight="1" x14ac:dyDescent="0.25">
      <c r="B4" s="45"/>
      <c r="C4" s="160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156"/>
    </row>
    <row r="5" spans="2:17" ht="30" customHeight="1" x14ac:dyDescent="0.25">
      <c r="B5" s="45"/>
      <c r="C5" s="155"/>
      <c r="D5" s="96" t="s">
        <v>140</v>
      </c>
      <c r="E5" s="97"/>
      <c r="F5" s="97"/>
      <c r="G5" s="97"/>
      <c r="H5" s="97"/>
      <c r="I5" s="33"/>
      <c r="J5" s="94" t="s">
        <v>142</v>
      </c>
      <c r="K5" s="95" t="s">
        <v>19</v>
      </c>
      <c r="L5" s="33"/>
      <c r="M5" s="33"/>
      <c r="N5" s="33"/>
      <c r="O5" s="33"/>
      <c r="P5" s="156"/>
      <c r="Q5" s="23"/>
    </row>
    <row r="6" spans="2:17" ht="5.0999999999999996" customHeight="1" x14ac:dyDescent="0.25">
      <c r="B6" s="45"/>
      <c r="C6" s="155"/>
      <c r="D6" s="34"/>
      <c r="E6" s="34"/>
      <c r="F6" s="34"/>
      <c r="G6" s="34"/>
      <c r="H6" s="34"/>
      <c r="I6" s="34"/>
      <c r="J6" s="34"/>
      <c r="K6" s="34"/>
      <c r="L6" s="33"/>
      <c r="M6" s="33"/>
      <c r="N6" s="33"/>
      <c r="O6" s="33"/>
      <c r="P6" s="156"/>
      <c r="Q6" s="23"/>
    </row>
    <row r="7" spans="2:17" ht="9.9499999999999993" customHeight="1" x14ac:dyDescent="0.25">
      <c r="B7" s="161"/>
      <c r="C7" s="34"/>
      <c r="D7" s="34"/>
      <c r="E7" s="34"/>
      <c r="F7" s="34"/>
      <c r="G7" s="34"/>
      <c r="H7" s="33"/>
      <c r="I7" s="33"/>
      <c r="J7" s="33"/>
      <c r="K7" s="33"/>
      <c r="L7" s="33"/>
      <c r="M7" s="33"/>
      <c r="N7" s="33"/>
      <c r="O7" s="33"/>
      <c r="P7" s="156"/>
      <c r="Q7" s="7"/>
    </row>
    <row r="8" spans="2:17" ht="20.100000000000001" customHeight="1" x14ac:dyDescent="0.25">
      <c r="B8" s="161"/>
      <c r="C8" s="34"/>
      <c r="D8" s="98" t="s">
        <v>71</v>
      </c>
      <c r="E8" s="99" t="s">
        <v>145</v>
      </c>
      <c r="F8" s="104" t="str">
        <f>"COST (" &amp; currency &amp; ")"</f>
        <v>COST ($)</v>
      </c>
      <c r="G8" s="100" t="s">
        <v>141</v>
      </c>
      <c r="H8" s="104" t="str">
        <f>"CPC  (" &amp; currency &amp; ")"</f>
        <v>CPC  ($)</v>
      </c>
      <c r="I8" s="33"/>
      <c r="J8" s="33"/>
      <c r="K8" s="33"/>
      <c r="L8" s="33"/>
      <c r="M8" s="33"/>
      <c r="N8" s="33"/>
      <c r="O8" s="33"/>
      <c r="P8" s="156"/>
      <c r="Q8" s="7"/>
    </row>
    <row r="9" spans="2:17" ht="20.100000000000001" customHeight="1" x14ac:dyDescent="0.25">
      <c r="B9" s="161"/>
      <c r="C9" s="34"/>
      <c r="D9" s="204" t="s">
        <v>13</v>
      </c>
      <c r="E9" s="202">
        <f>IFERROR(INDEX(Calc!$D$5:$D$12,MATCH(D9,Calc!$C$5:$C$12,0),1),"")</f>
        <v>-0.13043478260869565</v>
      </c>
      <c r="F9" s="203">
        <f>IFERROR(INDEX(Calc!$E$5:$E$12,MATCH($D9,Calc!$C$5:$C$12,0),1),"")</f>
        <v>2300</v>
      </c>
      <c r="G9" s="203">
        <f>IFERROR(INDEX(Calc!$F$5:$F$12,MATCH($D9,Calc!$C$5:$C$12,0),1),"")</f>
        <v>800</v>
      </c>
      <c r="H9" s="203">
        <f>IFERROR(INDEX(Calc!$G$5:$G$12,MATCH($D9,Calc!$C$5:$C$12,0),1),"")</f>
        <v>2.875</v>
      </c>
      <c r="I9" s="33"/>
      <c r="J9" s="33"/>
      <c r="K9" s="33"/>
      <c r="L9" s="33"/>
      <c r="M9" s="33"/>
      <c r="N9" s="33"/>
      <c r="O9" s="33"/>
      <c r="P9" s="156"/>
      <c r="Q9" s="7"/>
    </row>
    <row r="10" spans="2:17" ht="20.100000000000001" customHeight="1" x14ac:dyDescent="0.25">
      <c r="B10" s="161"/>
      <c r="C10" s="34"/>
      <c r="D10" s="204" t="s">
        <v>143</v>
      </c>
      <c r="E10" s="202">
        <f>IFERROR(INDEX(Calc!$D$5:$D$12,MATCH(D10,Calc!$C$5:$C$12,0),1),"")</f>
        <v>0.83333333333333337</v>
      </c>
      <c r="F10" s="203">
        <f>IFERROR(INDEX(Calc!$E$5:$E$12,MATCH($D10,Calc!$C$5:$C$12,0),1),"")</f>
        <v>1200</v>
      </c>
      <c r="G10" s="203">
        <f>IFERROR(INDEX(Calc!$F$5:$F$12,MATCH($D10,Calc!$C$5:$C$12,0),1),"")</f>
        <v>500</v>
      </c>
      <c r="H10" s="203">
        <f>IFERROR(INDEX(Calc!$G$5:$G$12,MATCH($D10,Calc!$C$5:$C$12,0),1),"")</f>
        <v>2.4</v>
      </c>
      <c r="I10" s="33"/>
      <c r="J10" s="33"/>
      <c r="K10" s="33"/>
      <c r="L10" s="33"/>
      <c r="M10" s="33"/>
      <c r="N10" s="33"/>
      <c r="O10" s="33"/>
      <c r="P10" s="156"/>
      <c r="Q10" s="7"/>
    </row>
    <row r="11" spans="2:17" ht="20.100000000000001" customHeight="1" x14ac:dyDescent="0.25">
      <c r="B11" s="161"/>
      <c r="C11" s="34"/>
      <c r="D11" s="204" t="s">
        <v>72</v>
      </c>
      <c r="E11" s="202">
        <f>IFERROR(INDEX(Calc!$D$5:$D$12,MATCH(D11,Calc!$C$5:$C$12,0),1),"")</f>
        <v>1.1428571428571428</v>
      </c>
      <c r="F11" s="203">
        <f>IFERROR(INDEX(Calc!$E$5:$E$12,MATCH($D11,Calc!$C$5:$C$12,0),1),"")</f>
        <v>1400</v>
      </c>
      <c r="G11" s="203">
        <f>IFERROR(INDEX(Calc!$F$5:$F$12,MATCH($D11,Calc!$C$5:$C$12,0),1),"")</f>
        <v>1000</v>
      </c>
      <c r="H11" s="203">
        <f>IFERROR(INDEX(Calc!$G$5:$G$12,MATCH($D11,Calc!$C$5:$C$12,0),1),"")</f>
        <v>1.4</v>
      </c>
      <c r="I11" s="33"/>
      <c r="J11" s="33"/>
      <c r="K11" s="33"/>
      <c r="L11" s="33"/>
      <c r="M11" s="33"/>
      <c r="N11" s="33"/>
      <c r="O11" s="33"/>
      <c r="P11" s="156"/>
      <c r="Q11" s="7"/>
    </row>
    <row r="12" spans="2:17" ht="20.100000000000001" customHeight="1" x14ac:dyDescent="0.25">
      <c r="B12" s="161"/>
      <c r="C12" s="34"/>
      <c r="D12" s="204" t="s">
        <v>154</v>
      </c>
      <c r="E12" s="202">
        <f>IFERROR(INDEX(Calc!$D$5:$D$12,MATCH(D12,Calc!$C$5:$C$12,0),1),"")</f>
        <v>1.07328</v>
      </c>
      <c r="F12" s="203">
        <f>IFERROR(INDEX(Calc!$E$5:$E$12,MATCH($D12,Calc!$C$5:$C$12,0),1),"")</f>
        <v>1500</v>
      </c>
      <c r="G12" s="203">
        <f>IFERROR(INDEX(Calc!$F$5:$F$12,MATCH($D12,Calc!$C$5:$C$12,0),1),"")</f>
        <v>5890</v>
      </c>
      <c r="H12" s="203">
        <f>IFERROR(INDEX(Calc!$G$5:$G$12,MATCH($D12,Calc!$C$5:$C$12,0),1),"")</f>
        <v>0.25466893039049238</v>
      </c>
      <c r="I12" s="33"/>
      <c r="J12" s="33"/>
      <c r="K12" s="33"/>
      <c r="L12" s="33"/>
      <c r="M12" s="33"/>
      <c r="N12" s="33"/>
      <c r="O12" s="33"/>
      <c r="P12" s="156"/>
      <c r="Q12" s="7"/>
    </row>
    <row r="13" spans="2:17" ht="20.100000000000001" customHeight="1" x14ac:dyDescent="0.25">
      <c r="B13" s="161"/>
      <c r="C13" s="34"/>
      <c r="D13" s="204" t="s">
        <v>73</v>
      </c>
      <c r="E13" s="202">
        <f>IFERROR(INDEX(Calc!$D$5:$D$12,MATCH(D13,Calc!$C$5:$C$12,0),1),"")</f>
        <v>2.125</v>
      </c>
      <c r="F13" s="203">
        <f>IFERROR(INDEX(Calc!$E$5:$E$12,MATCH($D13,Calc!$C$5:$C$12,0),1),"")</f>
        <v>1920</v>
      </c>
      <c r="G13" s="203">
        <f>IFERROR(INDEX(Calc!$F$5:$F$12,MATCH($D13,Calc!$C$5:$C$12,0),1),"")</f>
        <v>4300</v>
      </c>
      <c r="H13" s="203">
        <f>IFERROR(INDEX(Calc!$G$5:$G$12,MATCH($D13,Calc!$C$5:$C$12,0),1),"")</f>
        <v>0.44651162790697674</v>
      </c>
      <c r="I13" s="33"/>
      <c r="J13" s="33"/>
      <c r="K13" s="33"/>
      <c r="L13" s="33"/>
      <c r="M13" s="33"/>
      <c r="N13" s="33"/>
      <c r="O13" s="33"/>
      <c r="P13" s="156"/>
      <c r="Q13" s="7"/>
    </row>
    <row r="14" spans="2:17" ht="20.100000000000001" customHeight="1" x14ac:dyDescent="0.25">
      <c r="B14" s="161"/>
      <c r="C14" s="34"/>
      <c r="D14" s="204" t="s">
        <v>8</v>
      </c>
      <c r="E14" s="202">
        <f>IFERROR(INDEX(Calc!$D$5:$D$12,MATCH(D14,Calc!$C$5:$C$12,0),1),"")</f>
        <v>0.20749999999999999</v>
      </c>
      <c r="F14" s="203">
        <f>IFERROR(INDEX(Calc!$E$5:$E$12,MATCH($D14,Calc!$C$5:$C$12,0),1),"")</f>
        <v>1300</v>
      </c>
      <c r="G14" s="203">
        <f>IFERROR(INDEX(Calc!$F$5:$F$12,MATCH($D14,Calc!$C$5:$C$12,0),1),"")</f>
        <v>1495</v>
      </c>
      <c r="H14" s="203">
        <f>IFERROR(INDEX(Calc!$G$5:$G$12,MATCH($D14,Calc!$C$5:$C$12,0),1),"")</f>
        <v>0.86956521739130432</v>
      </c>
      <c r="I14" s="33"/>
      <c r="J14" s="33"/>
      <c r="K14" s="33"/>
      <c r="L14" s="33"/>
      <c r="M14" s="33"/>
      <c r="N14" s="33"/>
      <c r="O14" s="33"/>
      <c r="P14" s="156"/>
      <c r="Q14" s="7"/>
    </row>
    <row r="15" spans="2:17" ht="20.100000000000001" customHeight="1" x14ac:dyDescent="0.25">
      <c r="B15" s="161"/>
      <c r="C15" s="34"/>
      <c r="D15" s="204" t="s">
        <v>74</v>
      </c>
      <c r="E15" s="202">
        <f>IFERROR(INDEX(Calc!$D$5:$D$12,MATCH(D15,Calc!$C$5:$C$12,0),1),"")</f>
        <v>0.55100000000000005</v>
      </c>
      <c r="F15" s="203">
        <f>IFERROR(INDEX(Calc!$E$5:$E$12,MATCH($D15,Calc!$C$5:$C$12,0),1),"")</f>
        <v>1750</v>
      </c>
      <c r="G15" s="203">
        <f>IFERROR(INDEX(Calc!$F$5:$F$12,MATCH($D15,Calc!$C$5:$C$12,0),1),"")</f>
        <v>3525</v>
      </c>
      <c r="H15" s="203">
        <f>IFERROR(INDEX(Calc!$G$5:$G$12,MATCH($D15,Calc!$C$5:$C$12,0),1),"")</f>
        <v>0.49645390070921985</v>
      </c>
      <c r="I15" s="33"/>
      <c r="J15" s="33"/>
      <c r="K15" s="33"/>
      <c r="L15" s="33"/>
      <c r="M15" s="33"/>
      <c r="N15" s="33"/>
      <c r="O15" s="33"/>
      <c r="P15" s="156"/>
      <c r="Q15" s="7"/>
    </row>
    <row r="16" spans="2:17" ht="20.100000000000001" customHeight="1" x14ac:dyDescent="0.25">
      <c r="B16" s="161"/>
      <c r="C16" s="34"/>
      <c r="D16" s="204" t="s">
        <v>144</v>
      </c>
      <c r="E16" s="202">
        <f>IFERROR(INDEX(Calc!$D$5:$D$12,MATCH(D16,Calc!$C$5:$C$12,0),1),"")</f>
        <v>2.657142857142857</v>
      </c>
      <c r="F16" s="203">
        <f>IFERROR(INDEX(Calc!$E$5:$E$12,MATCH($D16,Calc!$C$5:$C$12,0),1),"")</f>
        <v>630</v>
      </c>
      <c r="G16" s="203">
        <f>IFERROR(INDEX(Calc!$F$5:$F$12,MATCH($D16,Calc!$C$5:$C$12,0),1),"")</f>
        <v>3600</v>
      </c>
      <c r="H16" s="203">
        <f>IFERROR(INDEX(Calc!$G$5:$G$12,MATCH($D16,Calc!$C$5:$C$12,0),1),"")</f>
        <v>0.17499999999999999</v>
      </c>
      <c r="I16" s="33"/>
      <c r="J16" s="33"/>
      <c r="K16" s="33"/>
      <c r="L16" s="33"/>
      <c r="M16" s="33"/>
      <c r="N16" s="33"/>
      <c r="O16" s="33"/>
      <c r="P16" s="156"/>
      <c r="Q16" s="30"/>
    </row>
    <row r="17" spans="2:17" ht="9.9499999999999993" customHeight="1" x14ac:dyDescent="0.25">
      <c r="B17" s="161"/>
      <c r="C17" s="34"/>
      <c r="D17" s="34"/>
      <c r="E17" s="34"/>
      <c r="F17" s="35"/>
      <c r="G17" s="34"/>
      <c r="H17" s="33"/>
      <c r="I17" s="33"/>
      <c r="J17" s="33"/>
      <c r="K17" s="33"/>
      <c r="L17" s="33"/>
      <c r="M17" s="33"/>
      <c r="N17" s="33"/>
      <c r="O17" s="33"/>
      <c r="P17" s="156"/>
      <c r="Q17" s="30"/>
    </row>
    <row r="18" spans="2:17" ht="20.100000000000001" customHeight="1" x14ac:dyDescent="0.25">
      <c r="B18" s="161"/>
      <c r="C18" s="34"/>
      <c r="D18" s="34"/>
      <c r="E18" s="34"/>
      <c r="F18" s="36"/>
      <c r="G18" s="34"/>
      <c r="H18" s="33"/>
      <c r="I18" s="33"/>
      <c r="J18" s="33"/>
      <c r="K18" s="33"/>
      <c r="L18" s="33"/>
      <c r="M18" s="33"/>
      <c r="N18" s="33"/>
      <c r="O18" s="33"/>
      <c r="P18" s="156"/>
      <c r="Q18" s="30"/>
    </row>
    <row r="19" spans="2:17" ht="20.100000000000001" customHeight="1" x14ac:dyDescent="0.25">
      <c r="B19" s="161"/>
      <c r="C19" s="34"/>
      <c r="D19" s="34"/>
      <c r="E19" s="34"/>
      <c r="F19" s="35"/>
      <c r="G19" s="34"/>
      <c r="H19" s="33"/>
      <c r="I19" s="33"/>
      <c r="J19" s="33"/>
      <c r="K19" s="33"/>
      <c r="L19" s="33"/>
      <c r="M19" s="33"/>
      <c r="N19" s="33"/>
      <c r="O19" s="33"/>
      <c r="P19" s="156"/>
      <c r="Q19" s="30"/>
    </row>
    <row r="20" spans="2:17" ht="20.100000000000001" customHeight="1" x14ac:dyDescent="0.25">
      <c r="B20" s="161"/>
      <c r="C20" s="34"/>
      <c r="D20" s="34"/>
      <c r="E20" s="34"/>
      <c r="F20" s="37"/>
      <c r="G20" s="34"/>
      <c r="H20" s="33"/>
      <c r="I20" s="33"/>
      <c r="J20" s="33"/>
      <c r="K20" s="33"/>
      <c r="L20" s="33"/>
      <c r="M20" s="33"/>
      <c r="N20" s="33"/>
      <c r="O20" s="33"/>
      <c r="P20" s="156"/>
      <c r="Q20" s="30"/>
    </row>
    <row r="21" spans="2:17" ht="20.100000000000001" customHeight="1" x14ac:dyDescent="0.25">
      <c r="B21" s="161"/>
      <c r="C21" s="34"/>
      <c r="D21" s="34"/>
      <c r="E21" s="34"/>
      <c r="F21" s="36"/>
      <c r="G21" s="34"/>
      <c r="H21" s="33"/>
      <c r="I21" s="33"/>
      <c r="J21" s="33"/>
      <c r="K21" s="33"/>
      <c r="L21" s="33"/>
      <c r="M21" s="33"/>
      <c r="N21" s="33"/>
      <c r="O21" s="33"/>
      <c r="P21" s="156"/>
      <c r="Q21" s="30"/>
    </row>
    <row r="22" spans="2:17" ht="20.100000000000001" customHeight="1" x14ac:dyDescent="0.25">
      <c r="B22" s="161"/>
      <c r="C22" s="34"/>
      <c r="D22" s="34"/>
      <c r="E22" s="34"/>
      <c r="F22" s="38"/>
      <c r="G22" s="34"/>
      <c r="H22" s="33"/>
      <c r="I22" s="33"/>
      <c r="J22" s="33"/>
      <c r="K22" s="33"/>
      <c r="L22" s="33"/>
      <c r="M22" s="33"/>
      <c r="N22" s="33"/>
      <c r="O22" s="33"/>
      <c r="P22" s="156"/>
      <c r="Q22" s="30"/>
    </row>
    <row r="23" spans="2:17" ht="20.100000000000001" customHeight="1" x14ac:dyDescent="0.25">
      <c r="B23" s="161"/>
      <c r="C23" s="34"/>
      <c r="D23" s="34"/>
      <c r="E23" s="34"/>
      <c r="F23" s="38"/>
      <c r="G23" s="34"/>
      <c r="H23" s="33"/>
      <c r="I23" s="33"/>
      <c r="J23" s="33"/>
      <c r="K23" s="33"/>
      <c r="L23" s="33"/>
      <c r="M23" s="33"/>
      <c r="N23" s="33"/>
      <c r="O23" s="33"/>
      <c r="P23" s="156"/>
      <c r="Q23" s="30"/>
    </row>
    <row r="24" spans="2:17" ht="20.100000000000001" customHeight="1" x14ac:dyDescent="0.25">
      <c r="B24" s="161"/>
      <c r="C24" s="39"/>
      <c r="D24" s="39"/>
      <c r="E24" s="39"/>
      <c r="F24" s="40"/>
      <c r="G24" s="39"/>
      <c r="H24" s="33"/>
      <c r="I24" s="33"/>
      <c r="J24" s="33"/>
      <c r="K24" s="33"/>
      <c r="L24" s="33"/>
      <c r="M24" s="33"/>
      <c r="N24" s="33"/>
      <c r="O24" s="33"/>
      <c r="P24" s="156"/>
      <c r="Q24" s="30"/>
    </row>
    <row r="25" spans="2:17" ht="20.100000000000001" customHeight="1" x14ac:dyDescent="0.25">
      <c r="B25" s="161"/>
      <c r="C25" s="39"/>
      <c r="D25" s="34"/>
      <c r="E25" s="34"/>
      <c r="F25" s="41"/>
      <c r="G25" s="39"/>
      <c r="H25" s="33"/>
      <c r="I25" s="33"/>
      <c r="J25" s="33"/>
      <c r="K25" s="33"/>
      <c r="L25" s="33"/>
      <c r="M25" s="33"/>
      <c r="N25" s="33"/>
      <c r="O25" s="33"/>
      <c r="P25" s="156"/>
      <c r="Q25" s="30"/>
    </row>
    <row r="26" spans="2:17" ht="20.100000000000001" customHeight="1" x14ac:dyDescent="0.25">
      <c r="B26" s="161"/>
      <c r="C26" s="39"/>
      <c r="D26" s="34"/>
      <c r="E26" s="34"/>
      <c r="F26" s="41"/>
      <c r="G26" s="39"/>
      <c r="H26" s="33"/>
      <c r="I26" s="33"/>
      <c r="J26" s="33"/>
      <c r="K26" s="33"/>
      <c r="L26" s="33"/>
      <c r="M26" s="33"/>
      <c r="N26" s="33"/>
      <c r="O26" s="33"/>
      <c r="P26" s="156"/>
      <c r="Q26" s="30"/>
    </row>
    <row r="27" spans="2:17" ht="20.100000000000001" customHeight="1" x14ac:dyDescent="0.25">
      <c r="B27" s="161"/>
      <c r="C27" s="39"/>
      <c r="D27" s="34"/>
      <c r="E27" s="34"/>
      <c r="F27" s="41"/>
      <c r="G27" s="39"/>
      <c r="H27" s="33"/>
      <c r="I27" s="33"/>
      <c r="J27" s="33"/>
      <c r="K27" s="33"/>
      <c r="L27" s="33"/>
      <c r="M27" s="33"/>
      <c r="N27" s="33"/>
      <c r="O27" s="33"/>
      <c r="P27" s="156"/>
      <c r="Q27" s="30"/>
    </row>
    <row r="28" spans="2:17" ht="20.100000000000001" customHeight="1" x14ac:dyDescent="0.25">
      <c r="B28" s="161"/>
      <c r="C28" s="39"/>
      <c r="D28" s="34"/>
      <c r="E28" s="34"/>
      <c r="F28" s="41"/>
      <c r="G28" s="39"/>
      <c r="H28" s="33"/>
      <c r="I28" s="33"/>
      <c r="J28" s="33"/>
      <c r="K28" s="33"/>
      <c r="L28" s="33"/>
      <c r="M28" s="33"/>
      <c r="N28" s="33"/>
      <c r="O28" s="33"/>
      <c r="P28" s="156"/>
      <c r="Q28" s="30"/>
    </row>
    <row r="29" spans="2:17" ht="21" x14ac:dyDescent="0.25">
      <c r="B29" s="161"/>
      <c r="C29" s="39"/>
      <c r="D29" s="34"/>
      <c r="E29" s="34"/>
      <c r="F29" s="41"/>
      <c r="G29" s="39"/>
      <c r="H29" s="33"/>
      <c r="I29" s="33"/>
      <c r="J29" s="33"/>
      <c r="K29" s="33"/>
      <c r="L29" s="33"/>
      <c r="M29" s="33"/>
      <c r="N29" s="33"/>
      <c r="O29" s="33"/>
      <c r="P29" s="156"/>
      <c r="Q29" s="30"/>
    </row>
    <row r="30" spans="2:17" ht="21" x14ac:dyDescent="0.25">
      <c r="B30" s="161"/>
      <c r="C30" s="39"/>
      <c r="D30" s="39"/>
      <c r="E30" s="39"/>
      <c r="F30" s="39"/>
      <c r="G30" s="39"/>
      <c r="H30" s="33"/>
      <c r="I30" s="33"/>
      <c r="J30" s="33"/>
      <c r="K30" s="33"/>
      <c r="L30" s="33"/>
      <c r="M30" s="33"/>
      <c r="N30" s="33"/>
      <c r="O30" s="33"/>
      <c r="P30" s="156"/>
      <c r="Q30" s="30"/>
    </row>
    <row r="31" spans="2:17" ht="21" x14ac:dyDescent="0.25">
      <c r="B31" s="161"/>
      <c r="C31" s="39"/>
      <c r="D31" s="39"/>
      <c r="E31" s="39"/>
      <c r="F31" s="39"/>
      <c r="G31" s="39"/>
      <c r="H31" s="33"/>
      <c r="I31" s="33"/>
      <c r="J31" s="33"/>
      <c r="K31" s="33"/>
      <c r="L31" s="33"/>
      <c r="M31" s="33"/>
      <c r="N31" s="33"/>
      <c r="O31" s="33"/>
      <c r="P31" s="156"/>
      <c r="Q31" s="30"/>
    </row>
    <row r="32" spans="2:17" ht="9.9499999999999993" customHeight="1" x14ac:dyDescent="0.25">
      <c r="B32" s="162"/>
      <c r="C32" s="157"/>
      <c r="D32" s="157"/>
      <c r="E32" s="157"/>
      <c r="F32" s="157"/>
      <c r="G32" s="157"/>
      <c r="H32" s="158"/>
      <c r="I32" s="158"/>
      <c r="J32" s="158"/>
      <c r="K32" s="158"/>
      <c r="L32" s="158"/>
      <c r="M32" s="158"/>
      <c r="N32" s="158"/>
      <c r="O32" s="158"/>
      <c r="P32" s="159"/>
      <c r="Q32" s="30"/>
    </row>
    <row r="33" spans="2:16" ht="6.95" customHeight="1" x14ac:dyDescent="0.25">
      <c r="I33" s="19"/>
    </row>
    <row r="34" spans="2:16" ht="23.1" customHeight="1" x14ac:dyDescent="0.25">
      <c r="B34" s="125"/>
      <c r="C34" s="126"/>
      <c r="D34" s="127"/>
      <c r="E34" s="127"/>
      <c r="F34" s="127"/>
      <c r="G34" s="128"/>
      <c r="H34" s="128"/>
      <c r="I34" s="127"/>
      <c r="J34" s="127"/>
      <c r="K34" s="127"/>
      <c r="L34" s="127"/>
      <c r="M34" s="127"/>
      <c r="N34" s="127"/>
      <c r="O34" s="127"/>
      <c r="P34" s="129"/>
    </row>
  </sheetData>
  <sheetProtection algorithmName="SHA-512" hashValue="/tuBfXo3QPPqLwhcnVYq+8GDKM6Z685BZoC1oKGVp6gcknM/0Jn3F0MhwGUcJ3c+01bb8GjnFKAn6yoGElJjcQ==" saltValue="J8AXwXE+GKGeEGx0pGhWz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7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79C366BC-A05B-496D-9324-A4EFF42DCE44}">
          <x14:formula1>
            <xm:f>Calc!$C$5:$C$12</xm:f>
          </x14:formula1>
          <xm:sqref>D9:D16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FF6FA-D4C9-431E-B92E-9B063D9F65EF}">
  <sheetPr codeName="Sheet9">
    <pageSetUpPr fitToPage="1"/>
  </sheetPr>
  <dimension ref="B1:P49"/>
  <sheetViews>
    <sheetView showGridLines="0" showRowColHeaders="0" zoomScaleNormal="100" workbookViewId="0">
      <pane ySplit="5" topLeftCell="A6" activePane="bottomLeft" state="frozen"/>
      <selection activeCell="F7" sqref="F7:F46"/>
      <selection pane="bottomLeft" activeCell="A6" sqref="A6"/>
    </sheetView>
  </sheetViews>
  <sheetFormatPr defaultRowHeight="20.100000000000001" customHeight="1" x14ac:dyDescent="0.25"/>
  <cols>
    <col min="1" max="1" width="3.7109375" style="23" customWidth="1"/>
    <col min="2" max="2" width="12.7109375" style="23" customWidth="1"/>
    <col min="3" max="4" width="1.7109375" style="23" customWidth="1"/>
    <col min="5" max="5" width="35.7109375" style="23" customWidth="1"/>
    <col min="6" max="6" width="12.7109375" style="23" customWidth="1"/>
    <col min="7" max="7" width="1.7109375" style="23" customWidth="1"/>
    <col min="8" max="8" width="30.7109375" style="19" customWidth="1"/>
    <col min="9" max="9" width="3.7109375" style="23" customWidth="1"/>
    <col min="10" max="10" width="1.7109375" style="23" customWidth="1"/>
    <col min="11" max="11" width="35.7109375" style="16" customWidth="1"/>
    <col min="12" max="12" width="12.7109375" style="23" customWidth="1"/>
    <col min="13" max="13" width="1.7109375" style="23" customWidth="1"/>
    <col min="14" max="14" width="30.7109375" style="24" customWidth="1"/>
    <col min="15" max="15" width="1.7109375" style="23" customWidth="1"/>
    <col min="16" max="16" width="35.7109375" style="25" customWidth="1"/>
    <col min="17" max="16384" width="9.140625" style="23"/>
  </cols>
  <sheetData>
    <row r="1" spans="2:16" s="1" customFormat="1" ht="6.75" customHeight="1" x14ac:dyDescent="0.25">
      <c r="C1" s="2"/>
      <c r="F1" s="3"/>
      <c r="G1" s="3"/>
    </row>
    <row r="2" spans="2:16" s="135" customFormat="1" ht="20.100000000000001" customHeight="1" x14ac:dyDescent="0.25">
      <c r="B2" s="140"/>
      <c r="C2" s="141" t="s">
        <v>150</v>
      </c>
      <c r="D2" s="142"/>
      <c r="E2" s="143"/>
      <c r="F2" s="143"/>
      <c r="G2" s="143"/>
      <c r="H2" s="143"/>
      <c r="I2" s="143"/>
      <c r="J2" s="144"/>
      <c r="K2" s="143"/>
      <c r="L2" s="143"/>
      <c r="M2" s="143"/>
      <c r="N2" s="143"/>
      <c r="O2" s="143"/>
    </row>
    <row r="3" spans="2:16" s="138" customFormat="1" ht="24" customHeight="1" x14ac:dyDescent="0.25">
      <c r="B3" s="45"/>
      <c r="C3" s="145" t="s">
        <v>127</v>
      </c>
      <c r="D3" s="146"/>
      <c r="E3" s="147"/>
      <c r="F3" s="147"/>
      <c r="G3" s="147"/>
      <c r="H3" s="147"/>
      <c r="I3" s="147"/>
      <c r="J3" s="148"/>
      <c r="K3" s="147"/>
      <c r="L3" s="147"/>
      <c r="M3" s="147"/>
      <c r="N3" s="147"/>
      <c r="O3" s="147"/>
    </row>
    <row r="4" spans="2:16" ht="9.9499999999999993" customHeight="1" x14ac:dyDescent="0.25">
      <c r="B4" s="42"/>
      <c r="C4" s="48"/>
      <c r="D4" s="48"/>
      <c r="E4" s="48"/>
      <c r="F4" s="48"/>
      <c r="G4" s="48"/>
      <c r="H4" s="46"/>
      <c r="I4" s="49"/>
      <c r="J4" s="48"/>
      <c r="K4" s="48"/>
      <c r="L4" s="48"/>
      <c r="M4" s="48"/>
      <c r="N4" s="46"/>
      <c r="O4" s="163"/>
    </row>
    <row r="5" spans="2:16" ht="30" customHeight="1" x14ac:dyDescent="0.25">
      <c r="B5" s="42"/>
      <c r="C5" s="51"/>
      <c r="D5" s="50"/>
      <c r="E5" s="105" t="s">
        <v>15</v>
      </c>
      <c r="F5" s="105"/>
      <c r="G5" s="47"/>
      <c r="H5" s="107" t="s">
        <v>63</v>
      </c>
      <c r="I5" s="49"/>
      <c r="J5" s="50"/>
      <c r="K5" s="106" t="s">
        <v>20</v>
      </c>
      <c r="L5" s="106"/>
      <c r="M5" s="48"/>
      <c r="N5" s="107" t="s">
        <v>63</v>
      </c>
      <c r="O5" s="164"/>
      <c r="P5" s="23"/>
    </row>
    <row r="6" spans="2:16" ht="9.9499999999999993" customHeight="1" x14ac:dyDescent="0.25">
      <c r="B6" s="188"/>
      <c r="C6" s="67"/>
      <c r="D6" s="67"/>
      <c r="E6" s="67"/>
      <c r="F6" s="67"/>
      <c r="G6" s="67"/>
      <c r="H6" s="59"/>
      <c r="I6" s="73"/>
      <c r="J6" s="67"/>
      <c r="K6" s="67"/>
      <c r="L6" s="67"/>
      <c r="M6" s="67"/>
      <c r="N6" s="59"/>
      <c r="O6" s="165"/>
      <c r="P6" s="23"/>
    </row>
    <row r="7" spans="2:16" ht="20.100000000000001" customHeight="1" x14ac:dyDescent="0.25">
      <c r="B7" s="188"/>
      <c r="C7" s="67"/>
      <c r="D7" s="67"/>
      <c r="E7" s="205" t="str">
        <f>"Ad spend; monthly (" &amp; currency &amp; ")"</f>
        <v>Ad spend; monthly ($)</v>
      </c>
      <c r="F7" s="74">
        <v>2000</v>
      </c>
      <c r="G7" s="67"/>
      <c r="H7" s="60" t="str">
        <f>IF(ISNUMBER(F7),"","← Don't leave it empty.")</f>
        <v/>
      </c>
      <c r="I7" s="73"/>
      <c r="J7" s="67"/>
      <c r="K7" s="205" t="str">
        <f>"Cost per 1000 impressions (CPM) (" &amp; currency &amp; ")"</f>
        <v>Cost per 1000 impressions (CPM) ($)</v>
      </c>
      <c r="L7" s="76">
        <f>IFERROR(SUM(GoogleCost)/(F11/1000),"")</f>
        <v>57.5</v>
      </c>
      <c r="M7" s="67"/>
      <c r="N7" s="59"/>
      <c r="O7" s="165"/>
      <c r="P7" s="23"/>
    </row>
    <row r="8" spans="2:16" ht="20.100000000000001" customHeight="1" x14ac:dyDescent="0.25">
      <c r="B8" s="188"/>
      <c r="C8" s="67"/>
      <c r="D8" s="67"/>
      <c r="E8" s="205" t="str">
        <f>"PPC Management Tools; monthly (" &amp; currency &amp; ")"</f>
        <v>PPC Management Tools; monthly ($)</v>
      </c>
      <c r="F8" s="74">
        <v>300</v>
      </c>
      <c r="G8" s="67"/>
      <c r="H8" s="60"/>
      <c r="I8" s="73"/>
      <c r="J8" s="67"/>
      <c r="K8" s="75" t="s">
        <v>16</v>
      </c>
      <c r="L8" s="77">
        <f>IFERROR(IF(OR(ISNUMBER(F12),ISNUMBER(F13)),F12+F13,F14*F11),"")</f>
        <v>800</v>
      </c>
      <c r="M8" s="67"/>
      <c r="N8" s="60" t="str">
        <f>IF(L8&lt;L14,"Clics # cannot be lower than Conversion #","")</f>
        <v/>
      </c>
      <c r="O8" s="165"/>
      <c r="P8" s="23"/>
    </row>
    <row r="9" spans="2:16" ht="20.100000000000001" customHeight="1" x14ac:dyDescent="0.25">
      <c r="B9" s="188"/>
      <c r="C9" s="67"/>
      <c r="D9" s="67"/>
      <c r="E9" s="205" t="str">
        <f>"Other Google Ads tools; monthly (" &amp; currency &amp; ")"</f>
        <v>Other Google Ads tools; monthly ($)</v>
      </c>
      <c r="F9" s="74"/>
      <c r="G9" s="67"/>
      <c r="H9" s="60"/>
      <c r="I9" s="73"/>
      <c r="J9" s="67"/>
      <c r="K9" s="75" t="s">
        <v>36</v>
      </c>
      <c r="L9" s="78">
        <f>IFERROR(IF(ISNUMBER(F14),F14,(F12+F13)/F11),"")</f>
        <v>0.02</v>
      </c>
      <c r="M9" s="67"/>
      <c r="N9" s="60" t="str">
        <f>IF(L9&gt;5.5%,"Your CTR seems too high","")</f>
        <v/>
      </c>
      <c r="O9" s="165"/>
      <c r="P9" s="23"/>
    </row>
    <row r="10" spans="2:16" ht="20.100000000000001" customHeight="1" x14ac:dyDescent="0.25">
      <c r="B10" s="188"/>
      <c r="C10" s="67"/>
      <c r="D10" s="67"/>
      <c r="E10" s="208"/>
      <c r="F10" s="209"/>
      <c r="G10" s="67"/>
      <c r="H10" s="60"/>
      <c r="I10" s="73"/>
      <c r="J10" s="67"/>
      <c r="K10" s="75" t="s">
        <v>76</v>
      </c>
      <c r="L10" s="78" t="str">
        <f>IFERROR(IF(ISNUMBER(F12),F12/F11,""),"")</f>
        <v/>
      </c>
      <c r="M10" s="67"/>
      <c r="N10" s="60" t="str">
        <f>IF(AND(ISNUMBER(L10),L10&gt;4.2%),"Your CTR seems too high","")</f>
        <v/>
      </c>
      <c r="O10" s="165"/>
      <c r="P10" s="23"/>
    </row>
    <row r="11" spans="2:16" ht="20.100000000000001" customHeight="1" x14ac:dyDescent="0.25">
      <c r="B11" s="188"/>
      <c r="C11" s="67"/>
      <c r="D11" s="67"/>
      <c r="E11" s="75" t="s">
        <v>23</v>
      </c>
      <c r="F11" s="79">
        <v>40000</v>
      </c>
      <c r="G11" s="67"/>
      <c r="H11" s="60" t="str">
        <f>IF(ISNUMBER(F11),"","← Don't leave it empty.")</f>
        <v/>
      </c>
      <c r="I11" s="73"/>
      <c r="J11" s="67"/>
      <c r="K11" s="75" t="s">
        <v>77</v>
      </c>
      <c r="L11" s="78" t="str">
        <f>IFERROR(IF(ISNUMBER(F13),F13/F11,""),"")</f>
        <v/>
      </c>
      <c r="M11" s="67"/>
      <c r="N11" s="60" t="str">
        <f>IF(AND(ISNUMBER(L11),L11&gt;4.2%),"Your CTR seems too high","")</f>
        <v/>
      </c>
      <c r="O11" s="165"/>
      <c r="P11" s="23"/>
    </row>
    <row r="12" spans="2:16" ht="20.100000000000001" customHeight="1" x14ac:dyDescent="0.25">
      <c r="B12" s="188"/>
      <c r="C12" s="67"/>
      <c r="D12" s="67"/>
      <c r="E12" s="75" t="s">
        <v>155</v>
      </c>
      <c r="F12" s="79"/>
      <c r="G12" s="67"/>
      <c r="H12" s="60" t="str">
        <f>IF(OR(AND(ISNUMBER(F12),ISNUMBER(F13),ISNUMBER(F14)),AND(ISNUMBER(F12),ISNUMBER(F14)),AND(ISNUMBER(F13),ISNUMBER(F14)),AND(ISNUMBER(F12)=FALSE,ISNUMBER(F13)=FALSE,ISNUMBER(F14)=FALSE)),"← Fill out only Clicks (#) or CTR.","")</f>
        <v/>
      </c>
      <c r="I12" s="73"/>
      <c r="J12" s="67"/>
      <c r="K12" s="205" t="str">
        <f>"Cost per click (CPC) (" &amp; currency &amp; ")"</f>
        <v>Cost per click (CPC) ($)</v>
      </c>
      <c r="L12" s="76">
        <f>IFERROR(SUM(GoogleCost)/L8,"")</f>
        <v>2.875</v>
      </c>
      <c r="M12" s="67"/>
      <c r="N12" s="59"/>
      <c r="O12" s="165"/>
      <c r="P12" s="23"/>
    </row>
    <row r="13" spans="2:16" ht="20.100000000000001" customHeight="1" x14ac:dyDescent="0.25">
      <c r="B13" s="188"/>
      <c r="C13" s="67"/>
      <c r="D13" s="67"/>
      <c r="E13" s="75" t="s">
        <v>75</v>
      </c>
      <c r="F13" s="79"/>
      <c r="G13" s="67"/>
      <c r="H13" s="60" t="str">
        <f>IF(OR(AND(ISNUMBER(F12),ISNUMBER(F13),ISNUMBER(F14)),AND(ISNUMBER(F12),ISNUMBER(F14)),AND(ISNUMBER(F13),ISNUMBER(F14)),AND(ISNUMBER(F12)=FALSE,ISNUMBER(F13)=FALSE,ISNUMBER(F14)=FALSE)),"← Fill out only Clicks (#) or CTR.","")</f>
        <v/>
      </c>
      <c r="I13" s="73"/>
      <c r="J13" s="67"/>
      <c r="K13" s="75"/>
      <c r="L13" s="67"/>
      <c r="M13" s="67"/>
      <c r="N13" s="59"/>
      <c r="O13" s="165"/>
      <c r="P13" s="23"/>
    </row>
    <row r="14" spans="2:16" ht="20.100000000000001" customHeight="1" x14ac:dyDescent="0.25">
      <c r="B14" s="188"/>
      <c r="C14" s="67"/>
      <c r="D14" s="67"/>
      <c r="E14" s="75" t="s">
        <v>36</v>
      </c>
      <c r="F14" s="80">
        <v>0.02</v>
      </c>
      <c r="G14" s="67"/>
      <c r="H14" s="60" t="str">
        <f>IF(OR(AND(ISNUMBER(F12),ISNUMBER(F13),ISNUMBER(F14)),AND(ISNUMBER(F12),ISNUMBER(F14)),AND(ISNUMBER(F13),ISNUMBER(F14)),AND(ISNUMBER(F12)=FALSE,ISNUMBER(F13)=FALSE,ISNUMBER(F14)=FALSE)),"← Fill out only Clicks (#) or CTR.","")</f>
        <v/>
      </c>
      <c r="I14" s="73"/>
      <c r="J14" s="67"/>
      <c r="K14" s="75" t="s">
        <v>59</v>
      </c>
      <c r="L14" s="77">
        <f>IFERROR(IF(ISNUMBER(F16),F16,F17*L8),"")</f>
        <v>40</v>
      </c>
      <c r="M14" s="67"/>
      <c r="N14" s="59"/>
      <c r="O14" s="165"/>
      <c r="P14" s="23"/>
    </row>
    <row r="15" spans="2:16" ht="20.100000000000001" customHeight="1" x14ac:dyDescent="0.25">
      <c r="B15" s="188"/>
      <c r="C15" s="67"/>
      <c r="D15" s="67"/>
      <c r="E15" s="208"/>
      <c r="F15" s="210"/>
      <c r="G15" s="67"/>
      <c r="H15" s="60"/>
      <c r="I15" s="73"/>
      <c r="J15" s="67"/>
      <c r="K15" s="75" t="s">
        <v>11</v>
      </c>
      <c r="L15" s="78">
        <f>IFERROR(IF(ISNUMBER(F17),F17,(F16/L8)),"")</f>
        <v>0.05</v>
      </c>
      <c r="M15" s="67"/>
      <c r="N15" s="60" t="str">
        <f>IF(L15&gt;13%,"Conversion rate looks too high.","")</f>
        <v/>
      </c>
      <c r="O15" s="165"/>
    </row>
    <row r="16" spans="2:16" ht="20.100000000000001" customHeight="1" x14ac:dyDescent="0.25">
      <c r="B16" s="188"/>
      <c r="C16" s="67"/>
      <c r="D16" s="67"/>
      <c r="E16" s="75" t="s">
        <v>59</v>
      </c>
      <c r="F16" s="79"/>
      <c r="G16" s="67"/>
      <c r="H16" s="60" t="str">
        <f>IF(OR(AND(ISNUMBER(F16),ISNUMBER(F17)=FALSE),AND(ISNUMBER(F16)=FALSE,ISNUMBER(F17))),"","← Fill out only one: Conversions (#) or CR.")</f>
        <v/>
      </c>
      <c r="I16" s="73"/>
      <c r="J16" s="67"/>
      <c r="K16" s="205" t="str">
        <f>"Cost per conversion (CPA) (" &amp; currency &amp; ")"</f>
        <v>Cost per conversion (CPA) ($)</v>
      </c>
      <c r="L16" s="76">
        <f>IFERROR(SUM(GoogleCost)/L14,"")</f>
        <v>57.5</v>
      </c>
      <c r="M16" s="67"/>
      <c r="N16" s="59"/>
      <c r="O16" s="165"/>
    </row>
    <row r="17" spans="2:15" ht="20.100000000000001" customHeight="1" x14ac:dyDescent="0.25">
      <c r="B17" s="188"/>
      <c r="C17" s="67"/>
      <c r="D17" s="67"/>
      <c r="E17" s="75" t="s">
        <v>11</v>
      </c>
      <c r="F17" s="80">
        <v>0.05</v>
      </c>
      <c r="G17" s="67"/>
      <c r="H17" s="60" t="str">
        <f>IF(OR(AND(ISNUMBER(F16),ISNUMBER(F17)=FALSE),AND(ISNUMBER(F16)=FALSE,ISNUMBER(F17))),"","← Fill out only one: Conversions (#) or CR.")</f>
        <v/>
      </c>
      <c r="I17" s="73"/>
      <c r="J17" s="67"/>
      <c r="K17" s="75"/>
      <c r="L17" s="67"/>
      <c r="M17" s="67"/>
      <c r="N17" s="59"/>
      <c r="O17" s="165"/>
    </row>
    <row r="18" spans="2:15" ht="20.100000000000001" customHeight="1" x14ac:dyDescent="0.25">
      <c r="B18" s="188"/>
      <c r="C18" s="67"/>
      <c r="D18" s="67"/>
      <c r="E18" s="208"/>
      <c r="F18" s="210"/>
      <c r="G18" s="67"/>
      <c r="H18" s="60"/>
      <c r="I18" s="73"/>
      <c r="J18" s="67"/>
      <c r="K18" s="75" t="s">
        <v>101</v>
      </c>
      <c r="L18" s="77">
        <f>IFERROR(IF(ISNUMBER(F19),F19,F20*L8),"")</f>
        <v>40</v>
      </c>
      <c r="M18" s="67"/>
      <c r="N18" s="59"/>
      <c r="O18" s="165"/>
    </row>
    <row r="19" spans="2:15" ht="20.100000000000001" customHeight="1" x14ac:dyDescent="0.25">
      <c r="B19" s="188"/>
      <c r="C19" s="67"/>
      <c r="D19" s="67"/>
      <c r="E19" s="75" t="s">
        <v>60</v>
      </c>
      <c r="F19" s="79"/>
      <c r="G19" s="67"/>
      <c r="H19" s="60" t="str">
        <f>IF(OR(AND(ISNUMBER(F19),ISNUMBER(F20)=FALSE),AND(ISNUMBER(F19)=FALSE,ISNUMBER(F20))),"","← Fill out only one: Sales (#) or Sales Rate.")</f>
        <v/>
      </c>
      <c r="I19" s="73"/>
      <c r="J19" s="67"/>
      <c r="K19" s="75" t="s">
        <v>18</v>
      </c>
      <c r="L19" s="78">
        <f>IFERROR(IF(ISNUMBER(F20),F20,(F19/L8)),"")</f>
        <v>0.05</v>
      </c>
      <c r="M19" s="67"/>
      <c r="N19" s="60" t="str">
        <f>IF(L19&gt;13%,"Close rate looks too high.","")</f>
        <v/>
      </c>
      <c r="O19" s="165"/>
    </row>
    <row r="20" spans="2:15" ht="20.100000000000001" customHeight="1" x14ac:dyDescent="0.25">
      <c r="B20" s="188"/>
      <c r="C20" s="67"/>
      <c r="D20" s="67"/>
      <c r="E20" s="75" t="s">
        <v>18</v>
      </c>
      <c r="F20" s="80">
        <v>0.05</v>
      </c>
      <c r="G20" s="67"/>
      <c r="H20" s="60" t="str">
        <f>IF(OR(AND(ISNUMBER(F19),ISNUMBER(F20)=FALSE),AND(ISNUMBER(F19)=FALSE,ISNUMBER(F20))),"","← Fill out only one: Sales (#) or Sales Rate.")</f>
        <v/>
      </c>
      <c r="I20" s="73"/>
      <c r="J20" s="67"/>
      <c r="K20" s="205" t="str">
        <f>"Cost per sale (" &amp; currency &amp; ")"</f>
        <v>Cost per sale ($)</v>
      </c>
      <c r="L20" s="76">
        <f>IFERROR(SUM(GoogleCost)/L18,"")</f>
        <v>57.5</v>
      </c>
      <c r="M20" s="67"/>
      <c r="N20" s="59"/>
      <c r="O20" s="165"/>
    </row>
    <row r="21" spans="2:15" ht="20.100000000000001" customHeight="1" x14ac:dyDescent="0.25">
      <c r="B21" s="188"/>
      <c r="C21" s="67"/>
      <c r="D21" s="67"/>
      <c r="E21" s="208"/>
      <c r="F21" s="210"/>
      <c r="G21" s="67"/>
      <c r="H21" s="60"/>
      <c r="I21" s="73"/>
      <c r="J21" s="67"/>
      <c r="K21" s="205" t="str">
        <f>"Projected Sales (" &amp; currency &amp; ")"</f>
        <v>Projected Sales ($)</v>
      </c>
      <c r="L21" s="76">
        <f>IFERROR(L18*F22,"")</f>
        <v>2000</v>
      </c>
      <c r="M21" s="67"/>
      <c r="N21" s="59"/>
      <c r="O21" s="165"/>
    </row>
    <row r="22" spans="2:15" ht="20.100000000000001" customHeight="1" x14ac:dyDescent="0.25">
      <c r="B22" s="188"/>
      <c r="C22" s="67"/>
      <c r="D22" s="67"/>
      <c r="E22" s="205" t="str">
        <f>"Average Order Value (" &amp; currency &amp; ")"</f>
        <v>Average Order Value ($)</v>
      </c>
      <c r="F22" s="74">
        <v>50</v>
      </c>
      <c r="G22" s="67"/>
      <c r="H22" s="60" t="str">
        <f>IF(ISNUMBER(F22),"","← Don't leave it empty.")</f>
        <v/>
      </c>
      <c r="I22" s="73"/>
      <c r="J22" s="67"/>
      <c r="K22" s="205" t="str">
        <f>"Total LTV of gained customers  (" &amp; currency &amp; ")"</f>
        <v>Total LTV of gained customers  ($)</v>
      </c>
      <c r="L22" s="76">
        <f>IFERROR(L18*F23,"")</f>
        <v>16000</v>
      </c>
      <c r="M22" s="67"/>
      <c r="N22" s="60" t="str">
        <f>IF(ISNUMBER(L22),"Not included in ROI results.","")</f>
        <v>Not included in ROI results.</v>
      </c>
      <c r="O22" s="165"/>
    </row>
    <row r="23" spans="2:15" ht="20.100000000000001" customHeight="1" x14ac:dyDescent="0.25">
      <c r="B23" s="188"/>
      <c r="C23" s="67"/>
      <c r="D23" s="67"/>
      <c r="E23" s="205" t="str">
        <f>"Average Lifetime value (LTV) (" &amp; currency &amp; ")"</f>
        <v>Average Lifetime value (LTV) ($)</v>
      </c>
      <c r="F23" s="74">
        <v>400</v>
      </c>
      <c r="G23" s="67"/>
      <c r="H23" s="60"/>
      <c r="I23" s="73"/>
      <c r="J23" s="67"/>
      <c r="K23" s="205"/>
      <c r="L23" s="76"/>
      <c r="M23" s="67"/>
      <c r="N23" s="60"/>
      <c r="O23" s="165"/>
    </row>
    <row r="24" spans="2:15" ht="20.100000000000001" customHeight="1" x14ac:dyDescent="0.25">
      <c r="B24" s="188"/>
      <c r="C24" s="67"/>
      <c r="D24" s="67"/>
      <c r="E24" s="75" t="s">
        <v>17</v>
      </c>
      <c r="F24" s="79">
        <v>7</v>
      </c>
      <c r="G24" s="67"/>
      <c r="H24" s="60" t="str">
        <f xml:space="preserve"> IF(ISNUMBER(F24),IF(AND(F24&gt;=5,F24&lt;8),"←Your campaign results are good!",IF(F24&lt;5,"← Think about optimizing your campaign!","← Your campaign results are great!")),"")</f>
        <v>←Your campaign results are good!</v>
      </c>
      <c r="I24" s="73"/>
      <c r="J24" s="67"/>
      <c r="K24" s="75" t="s">
        <v>22</v>
      </c>
      <c r="L24" s="78">
        <f>IFERROR((L21-SUM(GoogleCost))/SUM(GoogleCost),"")</f>
        <v>-0.13043478260869565</v>
      </c>
      <c r="M24" s="67"/>
      <c r="N24" s="59"/>
      <c r="O24" s="165"/>
    </row>
    <row r="25" spans="2:15" ht="20.100000000000001" customHeight="1" x14ac:dyDescent="0.25">
      <c r="B25" s="188"/>
      <c r="C25" s="81"/>
      <c r="D25" s="81"/>
      <c r="E25" s="208"/>
      <c r="F25" s="211"/>
      <c r="G25" s="81"/>
      <c r="H25" s="68"/>
      <c r="I25" s="73"/>
      <c r="J25" s="67"/>
      <c r="K25" s="75" t="s">
        <v>21</v>
      </c>
      <c r="L25" s="78">
        <f>IFERROR(L21/SUM(GoogleCost),"")</f>
        <v>0.86956521739130432</v>
      </c>
      <c r="M25" s="67"/>
      <c r="N25" s="60" t="str">
        <f>IF(LEN(L25)&gt;0,IF(L21/SUM(GoogleCost)&gt;1,"Per each 1" &amp; currency &amp; " spend, you earn " &amp; ROUND(L21/SUM(GoogleCost),2) &amp; currency,"Your results are below investment."),"")</f>
        <v>Your results are below investment.</v>
      </c>
      <c r="O25" s="165"/>
    </row>
    <row r="26" spans="2:15" ht="20.100000000000001" customHeight="1" x14ac:dyDescent="0.25">
      <c r="B26" s="188"/>
      <c r="C26" s="81"/>
      <c r="D26" s="81"/>
      <c r="E26" s="206" t="s">
        <v>148</v>
      </c>
      <c r="F26" s="64"/>
      <c r="G26" s="81"/>
      <c r="H26" s="68"/>
      <c r="I26" s="73"/>
      <c r="J26" s="67"/>
      <c r="K26" s="205" t="str">
        <f>"Break even sale value (" &amp; currency &amp; ")"</f>
        <v>Break even sale value ($)</v>
      </c>
      <c r="L26" s="76">
        <f>IFERROR(SUM(GoogleCost)/L19,"")</f>
        <v>46000</v>
      </c>
      <c r="M26" s="67"/>
      <c r="N26" s="60" t="str">
        <f>IF(ISNUMBER(L26),"Minimum sale value for positive ROI","")</f>
        <v>Minimum sale value for positive ROI</v>
      </c>
      <c r="O26" s="165"/>
    </row>
    <row r="27" spans="2:15" ht="20.100000000000001" customHeight="1" x14ac:dyDescent="0.25">
      <c r="B27" s="188"/>
      <c r="C27" s="81"/>
      <c r="D27" s="81"/>
      <c r="E27" s="206" t="s">
        <v>148</v>
      </c>
      <c r="F27" s="64"/>
      <c r="G27" s="81"/>
      <c r="H27" s="68"/>
      <c r="I27" s="73"/>
      <c r="J27" s="67"/>
      <c r="K27" s="75" t="s">
        <v>9</v>
      </c>
      <c r="L27" s="82">
        <f>IFERROR(SUM(GoogleCost)/F22,"")</f>
        <v>46</v>
      </c>
      <c r="M27" s="67"/>
      <c r="N27" s="60" t="str">
        <f>IF(ISNUMBER(L27),"Minimum buyers # for positive ROI","")</f>
        <v>Minimum buyers # for positive ROI</v>
      </c>
      <c r="O27" s="165"/>
    </row>
    <row r="28" spans="2:15" ht="20.100000000000001" customHeight="1" x14ac:dyDescent="0.25">
      <c r="B28" s="188"/>
      <c r="C28" s="81"/>
      <c r="D28" s="81"/>
      <c r="E28" s="206" t="s">
        <v>148</v>
      </c>
      <c r="F28" s="64"/>
      <c r="G28" s="81"/>
      <c r="H28" s="72"/>
      <c r="I28" s="73"/>
      <c r="J28" s="67"/>
      <c r="K28" s="83"/>
      <c r="L28" s="64"/>
      <c r="M28" s="64"/>
      <c r="N28" s="61"/>
      <c r="O28" s="166"/>
    </row>
    <row r="29" spans="2:15" ht="20.100000000000001" customHeight="1" x14ac:dyDescent="0.25">
      <c r="B29" s="188"/>
      <c r="C29" s="81"/>
      <c r="D29" s="81"/>
      <c r="E29" s="206" t="s">
        <v>148</v>
      </c>
      <c r="F29" s="64"/>
      <c r="G29" s="81"/>
      <c r="H29" s="68"/>
      <c r="I29" s="73"/>
      <c r="J29" s="67"/>
      <c r="K29" s="206" t="s">
        <v>147</v>
      </c>
      <c r="L29" s="64"/>
      <c r="M29" s="64"/>
      <c r="N29" s="61"/>
      <c r="O29" s="166"/>
    </row>
    <row r="30" spans="2:15" ht="20.100000000000001" customHeight="1" x14ac:dyDescent="0.25">
      <c r="B30" s="188"/>
      <c r="C30" s="81"/>
      <c r="D30" s="81"/>
      <c r="E30" s="206" t="s">
        <v>148</v>
      </c>
      <c r="F30" s="64"/>
      <c r="G30" s="81"/>
      <c r="H30" s="68"/>
      <c r="I30" s="73"/>
      <c r="J30" s="67"/>
      <c r="K30" s="206" t="s">
        <v>147</v>
      </c>
      <c r="L30" s="64"/>
      <c r="M30" s="64"/>
      <c r="N30" s="61"/>
      <c r="O30" s="167"/>
    </row>
    <row r="31" spans="2:15" ht="20.100000000000001" customHeight="1" x14ac:dyDescent="0.25">
      <c r="B31" s="188"/>
      <c r="C31" s="81"/>
      <c r="D31" s="81"/>
      <c r="E31" s="206" t="s">
        <v>148</v>
      </c>
      <c r="F31" s="64"/>
      <c r="G31" s="81"/>
      <c r="H31" s="68"/>
      <c r="I31" s="73"/>
      <c r="J31" s="67"/>
      <c r="K31" s="206"/>
      <c r="L31" s="64"/>
      <c r="M31" s="64"/>
      <c r="N31" s="61"/>
      <c r="O31" s="167"/>
    </row>
    <row r="32" spans="2:15" ht="20.100000000000001" customHeight="1" x14ac:dyDescent="0.25">
      <c r="B32" s="188"/>
      <c r="C32" s="81"/>
      <c r="D32" s="81"/>
      <c r="E32" s="206" t="s">
        <v>148</v>
      </c>
      <c r="F32" s="64"/>
      <c r="G32" s="81"/>
      <c r="H32" s="68"/>
      <c r="I32" s="73"/>
      <c r="J32" s="67"/>
      <c r="K32" s="206" t="s">
        <v>147</v>
      </c>
      <c r="L32" s="64"/>
      <c r="M32" s="64"/>
      <c r="N32" s="61"/>
      <c r="O32" s="167"/>
    </row>
    <row r="33" spans="2:15" ht="20.100000000000001" customHeight="1" x14ac:dyDescent="0.25">
      <c r="B33" s="188"/>
      <c r="C33" s="81"/>
      <c r="D33" s="81"/>
      <c r="E33" s="206" t="s">
        <v>148</v>
      </c>
      <c r="F33" s="64"/>
      <c r="G33" s="81"/>
      <c r="H33" s="68"/>
      <c r="I33" s="73"/>
      <c r="J33" s="67"/>
      <c r="K33" s="206" t="s">
        <v>147</v>
      </c>
      <c r="L33" s="64"/>
      <c r="M33" s="64"/>
      <c r="N33" s="61"/>
      <c r="O33" s="167"/>
    </row>
    <row r="34" spans="2:15" ht="20.100000000000001" customHeight="1" x14ac:dyDescent="0.25">
      <c r="B34" s="188"/>
      <c r="C34" s="81"/>
      <c r="D34" s="81"/>
      <c r="E34" s="206" t="s">
        <v>148</v>
      </c>
      <c r="F34" s="64"/>
      <c r="G34" s="81"/>
      <c r="H34" s="68"/>
      <c r="I34" s="73"/>
      <c r="J34" s="67"/>
      <c r="K34" s="206" t="s">
        <v>152</v>
      </c>
      <c r="L34" s="64"/>
      <c r="M34" s="64"/>
      <c r="N34" s="61" t="s">
        <v>153</v>
      </c>
      <c r="O34" s="167"/>
    </row>
    <row r="35" spans="2:15" ht="20.100000000000001" customHeight="1" x14ac:dyDescent="0.25">
      <c r="B35" s="188"/>
      <c r="C35" s="81"/>
      <c r="D35" s="81"/>
      <c r="E35" s="206" t="s">
        <v>148</v>
      </c>
      <c r="F35" s="64"/>
      <c r="G35" s="81"/>
      <c r="H35" s="68"/>
      <c r="I35" s="73"/>
      <c r="J35" s="67"/>
      <c r="K35" s="206" t="s">
        <v>147</v>
      </c>
      <c r="L35" s="64"/>
      <c r="M35" s="64"/>
      <c r="N35" s="61"/>
      <c r="O35" s="167"/>
    </row>
    <row r="36" spans="2:15" ht="20.100000000000001" customHeight="1" x14ac:dyDescent="0.25">
      <c r="B36" s="188"/>
      <c r="C36" s="81"/>
      <c r="D36" s="81"/>
      <c r="E36" s="206" t="s">
        <v>148</v>
      </c>
      <c r="F36" s="64"/>
      <c r="G36" s="81"/>
      <c r="H36" s="68"/>
      <c r="I36" s="73"/>
      <c r="J36" s="67"/>
      <c r="K36" s="206" t="s">
        <v>147</v>
      </c>
      <c r="L36" s="64"/>
      <c r="M36" s="64"/>
      <c r="N36" s="61"/>
      <c r="O36" s="167"/>
    </row>
    <row r="37" spans="2:15" ht="20.100000000000001" customHeight="1" x14ac:dyDescent="0.25">
      <c r="B37" s="188"/>
      <c r="C37" s="81"/>
      <c r="D37" s="81"/>
      <c r="E37" s="206" t="s">
        <v>148</v>
      </c>
      <c r="F37" s="64"/>
      <c r="G37" s="81"/>
      <c r="H37" s="68"/>
      <c r="I37" s="73"/>
      <c r="J37" s="67"/>
      <c r="K37" s="206" t="s">
        <v>147</v>
      </c>
      <c r="L37" s="64"/>
      <c r="M37" s="64"/>
      <c r="N37" s="61"/>
      <c r="O37" s="167"/>
    </row>
    <row r="38" spans="2:15" ht="20.100000000000001" customHeight="1" x14ac:dyDescent="0.25">
      <c r="B38" s="188"/>
      <c r="C38" s="81"/>
      <c r="D38" s="81"/>
      <c r="E38" s="206" t="s">
        <v>148</v>
      </c>
      <c r="F38" s="64"/>
      <c r="G38" s="81"/>
      <c r="H38" s="68"/>
      <c r="I38" s="73"/>
      <c r="J38" s="67"/>
      <c r="K38" s="206" t="s">
        <v>147</v>
      </c>
      <c r="L38" s="64"/>
      <c r="M38" s="64"/>
      <c r="N38" s="61"/>
      <c r="O38" s="167"/>
    </row>
    <row r="39" spans="2:15" ht="20.100000000000001" customHeight="1" x14ac:dyDescent="0.25">
      <c r="B39" s="188"/>
      <c r="C39" s="81"/>
      <c r="D39" s="81"/>
      <c r="E39" s="206" t="s">
        <v>148</v>
      </c>
      <c r="F39" s="64"/>
      <c r="G39" s="81"/>
      <c r="H39" s="68"/>
      <c r="I39" s="73"/>
      <c r="J39" s="67"/>
      <c r="K39" s="206" t="s">
        <v>147</v>
      </c>
      <c r="L39" s="64"/>
      <c r="M39" s="64"/>
      <c r="N39" s="61"/>
      <c r="O39" s="167"/>
    </row>
    <row r="40" spans="2:15" ht="20.100000000000001" customHeight="1" x14ac:dyDescent="0.25">
      <c r="B40" s="188"/>
      <c r="C40" s="81"/>
      <c r="D40" s="81"/>
      <c r="E40" s="206" t="s">
        <v>148</v>
      </c>
      <c r="F40" s="64"/>
      <c r="G40" s="81"/>
      <c r="H40" s="68"/>
      <c r="I40" s="73"/>
      <c r="J40" s="67"/>
      <c r="K40" s="206" t="s">
        <v>147</v>
      </c>
      <c r="L40" s="64"/>
      <c r="M40" s="64"/>
      <c r="N40" s="61"/>
      <c r="O40" s="167"/>
    </row>
    <row r="41" spans="2:15" ht="20.100000000000001" customHeight="1" x14ac:dyDescent="0.25">
      <c r="B41" s="188"/>
      <c r="C41" s="81"/>
      <c r="D41" s="81"/>
      <c r="E41" s="206" t="s">
        <v>148</v>
      </c>
      <c r="F41" s="64"/>
      <c r="G41" s="81"/>
      <c r="H41" s="68"/>
      <c r="I41" s="73"/>
      <c r="J41" s="67"/>
      <c r="K41" s="206" t="s">
        <v>147</v>
      </c>
      <c r="L41" s="64"/>
      <c r="M41" s="64"/>
      <c r="N41" s="61"/>
      <c r="O41" s="167"/>
    </row>
    <row r="42" spans="2:15" ht="20.100000000000001" customHeight="1" x14ac:dyDescent="0.25">
      <c r="B42" s="188"/>
      <c r="C42" s="81"/>
      <c r="D42" s="81"/>
      <c r="E42" s="206" t="s">
        <v>148</v>
      </c>
      <c r="F42" s="64"/>
      <c r="G42" s="81"/>
      <c r="H42" s="68"/>
      <c r="I42" s="73"/>
      <c r="J42" s="67"/>
      <c r="K42" s="206" t="s">
        <v>147</v>
      </c>
      <c r="L42" s="64"/>
      <c r="M42" s="64"/>
      <c r="N42" s="61"/>
      <c r="O42" s="167"/>
    </row>
    <row r="43" spans="2:15" ht="20.100000000000001" customHeight="1" x14ac:dyDescent="0.25">
      <c r="B43" s="188"/>
      <c r="C43" s="81"/>
      <c r="D43" s="81"/>
      <c r="E43" s="206" t="s">
        <v>148</v>
      </c>
      <c r="F43" s="64"/>
      <c r="G43" s="81"/>
      <c r="H43" s="68"/>
      <c r="I43" s="73"/>
      <c r="J43" s="67"/>
      <c r="K43" s="206" t="s">
        <v>147</v>
      </c>
      <c r="L43" s="64"/>
      <c r="M43" s="64"/>
      <c r="N43" s="61"/>
      <c r="O43" s="167"/>
    </row>
    <row r="44" spans="2:15" ht="20.100000000000001" customHeight="1" x14ac:dyDescent="0.25">
      <c r="B44" s="188"/>
      <c r="C44" s="81"/>
      <c r="D44" s="81"/>
      <c r="E44" s="206" t="s">
        <v>148</v>
      </c>
      <c r="F44" s="64"/>
      <c r="G44" s="81"/>
      <c r="H44" s="68"/>
      <c r="I44" s="73"/>
      <c r="J44" s="67"/>
      <c r="K44" s="206" t="s">
        <v>147</v>
      </c>
      <c r="L44" s="64"/>
      <c r="M44" s="64"/>
      <c r="N44" s="61"/>
      <c r="O44" s="167"/>
    </row>
    <row r="45" spans="2:15" ht="20.100000000000001" customHeight="1" x14ac:dyDescent="0.25">
      <c r="B45" s="188"/>
      <c r="C45" s="81"/>
      <c r="D45" s="81"/>
      <c r="E45" s="206" t="s">
        <v>148</v>
      </c>
      <c r="F45" s="64"/>
      <c r="G45" s="81"/>
      <c r="H45" s="68"/>
      <c r="I45" s="73"/>
      <c r="J45" s="67"/>
      <c r="K45" s="206" t="s">
        <v>147</v>
      </c>
      <c r="L45" s="64"/>
      <c r="M45" s="64"/>
      <c r="N45" s="61"/>
      <c r="O45" s="167"/>
    </row>
    <row r="46" spans="2:15" ht="20.100000000000001" customHeight="1" x14ac:dyDescent="0.25">
      <c r="B46" s="188"/>
      <c r="C46" s="81"/>
      <c r="D46" s="81"/>
      <c r="E46" s="206" t="s">
        <v>148</v>
      </c>
      <c r="F46" s="64"/>
      <c r="G46" s="81"/>
      <c r="H46" s="68"/>
      <c r="I46" s="73"/>
      <c r="J46" s="67"/>
      <c r="K46" s="206" t="s">
        <v>147</v>
      </c>
      <c r="L46" s="64"/>
      <c r="M46" s="64"/>
      <c r="N46" s="61"/>
      <c r="O46" s="167"/>
    </row>
    <row r="47" spans="2:15" ht="9.9499999999999993" customHeight="1" x14ac:dyDescent="0.25">
      <c r="B47" s="189"/>
      <c r="C47" s="168"/>
      <c r="D47" s="168"/>
      <c r="E47" s="169"/>
      <c r="F47" s="168"/>
      <c r="G47" s="168"/>
      <c r="H47" s="170"/>
      <c r="I47" s="171"/>
      <c r="J47" s="172"/>
      <c r="K47" s="172"/>
      <c r="L47" s="172"/>
      <c r="M47" s="172"/>
      <c r="N47" s="173"/>
      <c r="O47" s="174"/>
    </row>
    <row r="48" spans="2:15" ht="6.95" customHeight="1" x14ac:dyDescent="0.25"/>
    <row r="49" spans="2:15" s="6" customFormat="1" ht="23.1" customHeight="1" x14ac:dyDescent="0.25">
      <c r="B49" s="121"/>
      <c r="C49" s="122"/>
      <c r="D49" s="123"/>
      <c r="E49" s="124"/>
      <c r="F49" s="124"/>
      <c r="G49" s="121"/>
      <c r="H49" s="124"/>
      <c r="I49" s="124"/>
      <c r="J49" s="124"/>
      <c r="K49" s="124"/>
      <c r="L49" s="124"/>
      <c r="M49" s="124"/>
      <c r="N49" s="124"/>
      <c r="O49" s="124"/>
    </row>
  </sheetData>
  <sheetProtection algorithmName="SHA-512" hashValue="KhJT/LkO4EKD1bK7DMhtYTTcdCT4j4hejc4U3B0WR9+uav+P3VX6HRTqUbkGsvgDUomRemadAG68xvbleCHo7w==" saltValue="TN5IVCEg8dOy5opU40y8lA==" spinCount="100000" sheet="1" objects="1" scenarios="1"/>
  <conditionalFormatting sqref="F7:F46">
    <cfRule type="expression" dxfId="57" priority="8">
      <formula>LEN($E7)&gt;0</formula>
    </cfRule>
  </conditionalFormatting>
  <conditionalFormatting sqref="L7:L46">
    <cfRule type="expression" dxfId="56" priority="7">
      <formula>LEN($K7)&gt;0</formula>
    </cfRule>
  </conditionalFormatting>
  <conditionalFormatting sqref="E26:E46 K29:K46">
    <cfRule type="expression" dxfId="55" priority="6">
      <formula>OR(E26="Input …",E26="Output …")</formula>
    </cfRule>
  </conditionalFormatting>
  <conditionalFormatting sqref="K7:L46">
    <cfRule type="expression" dxfId="54" priority="4">
      <formula>LEN($K7)&gt;0</formula>
    </cfRule>
  </conditionalFormatting>
  <conditionalFormatting sqref="E7:F46">
    <cfRule type="expression" dxfId="53" priority="3">
      <formula>LEN($E7)&gt;0</formula>
    </cfRule>
  </conditionalFormatting>
  <conditionalFormatting sqref="J7:J46">
    <cfRule type="expression" dxfId="52" priority="2">
      <formula>LEN($K7)&gt;0</formula>
    </cfRule>
  </conditionalFormatting>
  <conditionalFormatting sqref="D7:D46">
    <cfRule type="expression" dxfId="51" priority="1">
      <formula>LEN($E7)&gt;0</formula>
    </cfRule>
  </conditionalFormatting>
  <dataValidations disablePrompts="1" xWindow="944" yWindow="445" count="32">
    <dataValidation allowBlank="1" showInputMessage="1" showErrorMessage="1" promptTitle="The higher Score the better Rank" prompt="Based on ad relevance, CTR, and landing page experience. Quality score can affect where your ad ranks." sqref="E24" xr:uid="{40EAD03C-5ACE-47E1-9E78-12352B759BC1}"/>
    <dataValidation allowBlank="1" showInputMessage="1" showErrorMessage="1" prompt="On average between 300 and 800 ($) for a monthly fee." sqref="E8" xr:uid="{ABF51051-403B-44DD-BD7B-57D9EBC98F19}"/>
    <dataValidation type="whole" allowBlank="1" showInputMessage="1" showErrorMessage="1" errorTitle="Value!" error="Value must be between 1 and 10" prompt="Optional" sqref="F24" xr:uid="{4BAE1229-7558-4D4B-B606-509F52E69DA6}">
      <formula1>1</formula1>
      <formula2>10</formula2>
    </dataValidation>
    <dataValidation allowBlank="1" showInputMessage="1" showErrorMessage="1" promptTitle="ROAS - expectations" prompt="&lt;100% - bad_x000a_100% - 400% - not so well_x000a_&gt;400% - well invested money" sqref="K25" xr:uid="{A11CC167-EA1A-4964-9353-13A9027FCCF4}"/>
    <dataValidation allowBlank="1" showInputMessage="1" showErrorMessage="1" promptTitle="ROI - expectations" prompt="&lt;0% - lost investment_x000a_&gt;0% - not loosing_x000a_&gt;350% - good marketing campaign _x000a_" sqref="K24" xr:uid="{A2D92E73-E2A9-4950-B976-A3ACBDBDCF3D}"/>
    <dataValidation allowBlank="1" showInputMessage="1" showErrorMessage="1" prompt="Optional" sqref="F23 F8:F9" xr:uid="{74E35DBE-7336-4891-8C10-1A7F29949EFA}"/>
    <dataValidation allowBlank="1" showInputMessage="1" showErrorMessage="1" promptTitle="Conversion Rate " sqref="F17" xr:uid="{69542E7E-2658-45FD-AB47-D3F9B0B04585}"/>
    <dataValidation allowBlank="1" showInputMessage="1" showErrorMessage="1" promptTitle="CTR =" sqref="K14 E14" xr:uid="{F8105C3F-3E54-4156-9567-3C438A6DD1AD}"/>
    <dataValidation allowBlank="1" showInputMessage="1" showErrorMessage="1" prompt="GSN - Google Search Network" sqref="K10" xr:uid="{13A4E529-186A-4C0F-A982-552820C39308}"/>
    <dataValidation allowBlank="1" showInputMessage="1" showErrorMessage="1" prompt="GDN - Google Display Network" sqref="K11" xr:uid="{F5D8021A-15F9-4425-8F41-45361094DC13}"/>
    <dataValidation allowBlank="1" showInputMessage="1" showErrorMessage="1" prompt="The general average (CPC) on Google Ads is $1 to $2 for the Google Search Network and less than $1 for the Google Display Network" sqref="K12" xr:uid="{D7EF0647-9CAE-4C3E-A46A-C42CBC1342BA}"/>
    <dataValidation allowBlank="1" showInputMessage="1" showErrorMessage="1" prompt="Conversion Rate higher than 13% is possible but unlike on average." sqref="K15" xr:uid="{6ADA9A20-486F-4512-829F-39F61FC03E3B}"/>
    <dataValidation allowBlank="1" showInputMessage="1" showErrorMessage="1" prompt="Sales / Clicks" sqref="L19" xr:uid="{94FD0A03-778D-4951-8D40-61A506A349C0}"/>
    <dataValidation allowBlank="1" showInputMessage="1" showErrorMessage="1" prompt="High lifetime value of a customer can show you if it's worth to have a higher CPC even if it doesn't seem when compare to average close value." sqref="E23" xr:uid="{A44B9F06-DE98-4C68-9A98-7202A8AB7E39}"/>
    <dataValidation allowBlank="1" showInputMessage="1" showErrorMessage="1" prompt="Revenue per email" sqref="E22" xr:uid="{B43FC71B-1471-4425-84F2-691255F03EA1}"/>
    <dataValidation allowBlank="1" showInputMessage="1" showErrorMessage="1" prompt="(1000 * Total Cost ) / Impressions #" sqref="L7" xr:uid="{3AF91631-B226-46FB-AB10-65290CB89B49}"/>
    <dataValidation allowBlank="1" showInputMessage="1" showErrorMessage="1" prompt="Total Clicks on the Ad link" sqref="K8" xr:uid="{9E47FBF0-FC10-4740-9725-9724C39F3143}"/>
    <dataValidation allowBlank="1" showInputMessage="1" showErrorMessage="1" prompt="Total cost / Average Order Value" sqref="L27" xr:uid="{5B6487EA-D133-4601-9A68-EA0E345C67A4}"/>
    <dataValidation allowBlank="1" showInputMessage="1" showErrorMessage="1" prompt="Total cost / Buyers" sqref="L26" xr:uid="{1978FB0F-92D9-4D4B-A0B1-FEB93115AC29}"/>
    <dataValidation allowBlank="1" showInputMessage="1" showErrorMessage="1" prompt="Projected Sales / Total cost" sqref="L25" xr:uid="{DBEC9FE7-6B84-41EB-B791-E9FAE77FAA05}"/>
    <dataValidation allowBlank="1" showInputMessage="1" showErrorMessage="1" prompt="(Projected Sales - Total cost) / Total cost" sqref="L24" xr:uid="{7F51031F-363B-4C4F-B2FC-CC942AB99DCE}"/>
    <dataValidation allowBlank="1" showInputMessage="1" showErrorMessage="1" prompt="Fill Sales or Sales Rate. The other will be calculated._x000a_If you leave both empty, conversions will be taken as sales." sqref="E19" xr:uid="{1B517C08-5D59-496B-A76B-A1371DEAD856}"/>
    <dataValidation allowBlank="1" showInputMessage="1" showErrorMessage="1" prompt="Fill Conversions or Conversion Rate. The other will be calculated." sqref="E16" xr:uid="{1E3AB86C-A483-41A3-9E9F-EA62CAB30089}"/>
    <dataValidation allowBlank="1" showInputMessage="1" showErrorMessage="1" prompt="Total cost / Clicks" sqref="L12" xr:uid="{C93804AB-DEA1-4C05-B351-18A9BCAD9D9E}"/>
    <dataValidation allowBlank="1" showInputMessage="1" showErrorMessage="1" prompt="Sales Rate higher than 13% is possible but unlike on average." sqref="K19" xr:uid="{570DA7A1-B2F7-4BA2-A64A-8A5402824421}"/>
    <dataValidation allowBlank="1" showInputMessage="1" showErrorMessage="1" prompt="Sales rate * Clicks" sqref="L18" xr:uid="{70FB3269-7F4A-4B3B-93E2-8047F96232F6}"/>
    <dataValidation allowBlank="1" showInputMessage="1" showErrorMessage="1" prompt="Total cost / Sales #" sqref="L20" xr:uid="{F2BC054C-4D34-43C0-90D7-BF891E3508E4}"/>
    <dataValidation allowBlank="1" showInputMessage="1" showErrorMessage="1" prompt="Buyers * Average Order Value" sqref="L21" xr:uid="{88A83C5A-BB65-4594-9CAB-3ACBE0AC610E}"/>
    <dataValidation allowBlank="1" showInputMessage="1" showErrorMessage="1" prompt="Buyers * LTV" sqref="L22" xr:uid="{B961B769-C95C-4990-A80A-8DEBA9C13D94}"/>
    <dataValidation allowBlank="1" showInputMessage="1" showErrorMessage="1" prompt="(%) Conversions / Clicks" sqref="L15" xr:uid="{6F34DD34-9CF2-4935-8001-4E442A6841F8}"/>
    <dataValidation allowBlank="1" showInputMessage="1" showErrorMessage="1" prompt="Total cost / Conversions" sqref="L16" xr:uid="{9E0CE60C-AE81-4191-92F7-E58A016E573E}"/>
    <dataValidation allowBlank="1" showInputMessage="1" showErrorMessage="1" prompt="CPA can mean action, aquisition or conversion - in here is treated as cost per conversion." sqref="K16" xr:uid="{2AD67BDE-03E7-4784-8D9B-60A1E95D1673}"/>
  </dataValidations>
  <printOptions horizontalCentered="1"/>
  <pageMargins left="0.31496062992125984" right="0.31496062992125984" top="0.31496062992125984" bottom="0.31496062992125984" header="0.31496062992125984" footer="0.31496062992125984"/>
  <pageSetup scale="6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2" id="{D61ED7D1-0CA6-49CC-B81E-559C50B704AF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3.5</xm:f>
              </x14:cfvo>
            </x14:iconSet>
          </x14:cfRule>
          <xm:sqref>L24</xm:sqref>
        </x14:conditionalFormatting>
        <x14:conditionalFormatting xmlns:xm="http://schemas.microsoft.com/office/excel/2006/main">
          <x14:cfRule type="iconSet" priority="10" id="{74925828-7C50-411A-A756-EC4815466F03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4</xm:f>
              </x14:cfvo>
            </x14:iconSet>
          </x14:cfRule>
          <xm:sqref>L25</xm:sqref>
        </x14:conditionalFormatting>
        <x14:conditionalFormatting xmlns:xm="http://schemas.microsoft.com/office/excel/2006/main">
          <x14:cfRule type="iconSet" priority="9" id="{75917E02-D5B1-424E-AE5D-E9186A131E70}">
            <x14:iconSet iconSet="3Triangles">
              <x14:cfvo type="percent">
                <xm:f>0</xm:f>
              </x14:cfvo>
              <x14:cfvo type="num">
                <xm:f>5</xm:f>
              </x14:cfvo>
              <x14:cfvo type="num" gte="0">
                <xm:f>5</xm:f>
              </x14:cfvo>
            </x14:iconSet>
          </x14:cfRule>
          <xm:sqref>F24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2EE63-40BF-4C8B-B263-2B698B0396BC}">
  <sheetPr codeName="Sheet10">
    <pageSetUpPr fitToPage="1"/>
  </sheetPr>
  <dimension ref="B1:O49"/>
  <sheetViews>
    <sheetView showGridLines="0" showRowColHeaders="0" workbookViewId="0">
      <pane ySplit="5" topLeftCell="A6" activePane="bottomLeft" state="frozen"/>
      <selection activeCell="A6" sqref="A6"/>
      <selection pane="bottomLeft" activeCell="A6" sqref="A6"/>
    </sheetView>
  </sheetViews>
  <sheetFormatPr defaultRowHeight="20.100000000000001" customHeight="1" x14ac:dyDescent="0.25"/>
  <cols>
    <col min="1" max="1" width="3.7109375" style="16" customWidth="1"/>
    <col min="2" max="2" width="12.7109375" style="16" customWidth="1"/>
    <col min="3" max="4" width="1.7109375" style="23" customWidth="1"/>
    <col min="5" max="5" width="35.7109375" style="23" customWidth="1"/>
    <col min="6" max="6" width="12.7109375" style="23" customWidth="1"/>
    <col min="7" max="7" width="1.7109375" style="23" customWidth="1"/>
    <col min="8" max="8" width="30.7109375" style="28" customWidth="1"/>
    <col min="9" max="9" width="3.7109375" style="23" customWidth="1"/>
    <col min="10" max="10" width="1.7109375" style="23" customWidth="1"/>
    <col min="11" max="11" width="35.7109375" style="23" customWidth="1"/>
    <col min="12" max="12" width="12.7109375" style="7" customWidth="1"/>
    <col min="13" max="13" width="1.7109375" style="23" customWidth="1"/>
    <col min="14" max="14" width="30.7109375" style="27" customWidth="1"/>
    <col min="15" max="15" width="1.7109375" style="16" customWidth="1"/>
    <col min="16" max="16384" width="9.140625" style="16"/>
  </cols>
  <sheetData>
    <row r="1" spans="2:15" s="1" customFormat="1" ht="6.75" customHeight="1" x14ac:dyDescent="0.25">
      <c r="C1" s="2"/>
      <c r="F1" s="3"/>
    </row>
    <row r="2" spans="2:15" s="137" customFormat="1" ht="20.100000000000001" customHeight="1" x14ac:dyDescent="0.25">
      <c r="B2" s="149"/>
      <c r="C2" s="150" t="s">
        <v>150</v>
      </c>
      <c r="D2" s="151"/>
      <c r="E2" s="152"/>
      <c r="F2" s="152"/>
      <c r="G2" s="152"/>
      <c r="H2" s="152"/>
      <c r="I2" s="152"/>
      <c r="J2" s="153"/>
      <c r="K2" s="152"/>
      <c r="L2" s="152"/>
      <c r="M2" s="152"/>
      <c r="N2" s="152"/>
      <c r="O2" s="152"/>
    </row>
    <row r="3" spans="2:15" s="138" customFormat="1" ht="24" customHeight="1" x14ac:dyDescent="0.25">
      <c r="B3" s="45"/>
      <c r="C3" s="145" t="s">
        <v>128</v>
      </c>
      <c r="D3" s="146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</row>
    <row r="4" spans="2:15" ht="9.9499999999999993" customHeight="1" x14ac:dyDescent="0.25">
      <c r="B4" s="42"/>
      <c r="C4" s="18"/>
      <c r="D4" s="18"/>
      <c r="E4" s="18"/>
      <c r="F4" s="18"/>
      <c r="G4" s="18"/>
      <c r="H4" s="52"/>
      <c r="I4" s="53"/>
      <c r="J4" s="18"/>
      <c r="K4" s="18"/>
      <c r="L4" s="18"/>
      <c r="M4" s="18"/>
      <c r="N4" s="52"/>
      <c r="O4" s="175"/>
    </row>
    <row r="5" spans="2:15" ht="30" customHeight="1" x14ac:dyDescent="0.25">
      <c r="B5" s="42"/>
      <c r="C5" s="54"/>
      <c r="D5" s="55"/>
      <c r="E5" s="105" t="s">
        <v>15</v>
      </c>
      <c r="F5" s="105"/>
      <c r="G5" s="47"/>
      <c r="H5" s="107" t="s">
        <v>63</v>
      </c>
      <c r="I5" s="49"/>
      <c r="J5" s="50"/>
      <c r="K5" s="106" t="s">
        <v>20</v>
      </c>
      <c r="L5" s="106"/>
      <c r="M5" s="48"/>
      <c r="N5" s="107" t="s">
        <v>63</v>
      </c>
      <c r="O5" s="176"/>
    </row>
    <row r="6" spans="2:15" ht="9.9499999999999993" customHeight="1" x14ac:dyDescent="0.25">
      <c r="B6" s="161"/>
      <c r="C6" s="67"/>
      <c r="D6" s="67"/>
      <c r="E6" s="67"/>
      <c r="F6" s="67"/>
      <c r="G6" s="67"/>
      <c r="H6" s="59"/>
      <c r="I6" s="73"/>
      <c r="J6" s="67"/>
      <c r="K6" s="67"/>
      <c r="L6" s="67"/>
      <c r="M6" s="67"/>
      <c r="N6" s="59"/>
      <c r="O6" s="165"/>
    </row>
    <row r="7" spans="2:15" ht="20.100000000000001" customHeight="1" x14ac:dyDescent="0.25">
      <c r="B7" s="161"/>
      <c r="C7" s="67"/>
      <c r="D7" s="67"/>
      <c r="E7" s="205" t="str">
        <f>"Ad spend; monthly (" &amp; currency &amp; ")"</f>
        <v>Ad spend; monthly ($)</v>
      </c>
      <c r="F7" s="74">
        <v>1200</v>
      </c>
      <c r="G7" s="67"/>
      <c r="H7" s="60" t="str">
        <f>IF(ISNUMBER(F7),"","← Don't leave it empty.")</f>
        <v/>
      </c>
      <c r="I7" s="73"/>
      <c r="J7" s="67"/>
      <c r="K7" s="205" t="str">
        <f>"Cost per 1000 impressions (CPM) (" &amp; currency &amp; ")"</f>
        <v>Cost per 1000 impressions (CPM) ($)</v>
      </c>
      <c r="L7" s="76">
        <f>IFERROR(SUM(FbCost)/(F11/1000),"")</f>
        <v>48</v>
      </c>
      <c r="M7" s="67"/>
      <c r="N7" s="59"/>
      <c r="O7" s="165"/>
    </row>
    <row r="8" spans="2:15" ht="20.100000000000001" customHeight="1" x14ac:dyDescent="0.25">
      <c r="B8" s="161"/>
      <c r="C8" s="67"/>
      <c r="D8" s="67"/>
      <c r="E8" s="205" t="str">
        <f>"PPC Management Tools; monthly (" &amp; currency &amp; ")"</f>
        <v>PPC Management Tools; monthly ($)</v>
      </c>
      <c r="F8" s="74"/>
      <c r="G8" s="67"/>
      <c r="H8" s="60"/>
      <c r="I8" s="73"/>
      <c r="J8" s="67"/>
      <c r="K8" s="75" t="s">
        <v>16</v>
      </c>
      <c r="L8" s="77">
        <f>IFERROR(IF(ISNUMBER(F12),F12,F11*F13),"")</f>
        <v>500</v>
      </c>
      <c r="M8" s="67"/>
      <c r="N8" s="59"/>
      <c r="O8" s="165"/>
    </row>
    <row r="9" spans="2:15" ht="20.100000000000001" customHeight="1" x14ac:dyDescent="0.25">
      <c r="B9" s="161"/>
      <c r="C9" s="67"/>
      <c r="D9" s="67"/>
      <c r="E9" s="205" t="str">
        <f>"Other Facebook Ads tools; monthly (" &amp; currency &amp; ")"</f>
        <v>Other Facebook Ads tools; monthly ($)</v>
      </c>
      <c r="F9" s="74"/>
      <c r="G9" s="67"/>
      <c r="H9" s="60"/>
      <c r="I9" s="73"/>
      <c r="J9" s="67"/>
      <c r="K9" s="75" t="s">
        <v>36</v>
      </c>
      <c r="L9" s="78">
        <f>IFERROR(IF(ISNUMBER(F13),F13,F12/F11),"")</f>
        <v>0.02</v>
      </c>
      <c r="M9" s="67"/>
      <c r="N9" s="60" t="str">
        <f>IF(L9&gt;2.5%,"Your CTR seems too high.","")</f>
        <v/>
      </c>
      <c r="O9" s="165"/>
    </row>
    <row r="10" spans="2:15" ht="20.100000000000001" customHeight="1" x14ac:dyDescent="0.25">
      <c r="B10" s="161"/>
      <c r="C10" s="67"/>
      <c r="D10" s="67"/>
      <c r="E10" s="208"/>
      <c r="F10" s="209"/>
      <c r="G10" s="67"/>
      <c r="H10" s="60"/>
      <c r="I10" s="73"/>
      <c r="J10" s="67"/>
      <c r="K10" s="205" t="str">
        <f>"Cost per click (CPC) (" &amp; currency &amp; ")"</f>
        <v>Cost per click (CPC) ($)</v>
      </c>
      <c r="L10" s="76">
        <f>IFERROR(SUM(FbCost)/L8,"")</f>
        <v>2.4</v>
      </c>
      <c r="M10" s="67"/>
      <c r="N10" s="60" t="str">
        <f>IF(L10&gt;4,"Your CPC seems too high.","")</f>
        <v/>
      </c>
      <c r="O10" s="165"/>
    </row>
    <row r="11" spans="2:15" ht="20.100000000000001" customHeight="1" x14ac:dyDescent="0.25">
      <c r="B11" s="161"/>
      <c r="C11" s="67"/>
      <c r="D11" s="67"/>
      <c r="E11" s="75" t="s">
        <v>23</v>
      </c>
      <c r="F11" s="79">
        <v>25000</v>
      </c>
      <c r="G11" s="67"/>
      <c r="H11" s="60" t="str">
        <f>IF(ISNUMBER(F11),"","← Don't leave it empty.")</f>
        <v/>
      </c>
      <c r="I11" s="73"/>
      <c r="J11" s="67"/>
      <c r="K11" s="75"/>
      <c r="L11" s="86"/>
      <c r="M11" s="67"/>
      <c r="N11" s="59"/>
      <c r="O11" s="165"/>
    </row>
    <row r="12" spans="2:15" ht="20.100000000000001" customHeight="1" x14ac:dyDescent="0.25">
      <c r="B12" s="161"/>
      <c r="C12" s="67"/>
      <c r="D12" s="67"/>
      <c r="E12" s="75" t="s">
        <v>16</v>
      </c>
      <c r="F12" s="79">
        <v>500</v>
      </c>
      <c r="G12" s="67"/>
      <c r="H12" s="60" t="str">
        <f>IF(OR(AND(ISNUMBER(F12),ISNUMBER(F13)=FALSE),AND(ISNUMBER(F12)=FALSE,ISNUMBER(F13))),"","← Fill out only Clicks (#) or CTR.")</f>
        <v/>
      </c>
      <c r="I12" s="73"/>
      <c r="J12" s="67"/>
      <c r="K12" s="75" t="s">
        <v>40</v>
      </c>
      <c r="L12" s="77">
        <f>IFERROR(SUM(F15:F19),"")</f>
        <v>3380</v>
      </c>
      <c r="M12" s="67"/>
      <c r="N12" s="59"/>
      <c r="O12" s="165"/>
    </row>
    <row r="13" spans="2:15" ht="20.100000000000001" customHeight="1" x14ac:dyDescent="0.25">
      <c r="B13" s="161"/>
      <c r="C13" s="67"/>
      <c r="D13" s="67"/>
      <c r="E13" s="75" t="s">
        <v>36</v>
      </c>
      <c r="F13" s="80"/>
      <c r="G13" s="67"/>
      <c r="H13" s="60" t="str">
        <f>IF(OR(AND(ISNUMBER(F12),ISNUMBER(F13)=FALSE),AND(ISNUMBER(F12)=FALSE,ISNUMBER(F13))),"","← Fill out only Clicks (#) or CTR.")</f>
        <v/>
      </c>
      <c r="I13" s="73"/>
      <c r="J13" s="67"/>
      <c r="K13" s="75" t="s">
        <v>29</v>
      </c>
      <c r="L13" s="78">
        <f>IFERROR(L12/F11,"")</f>
        <v>0.13519999999999999</v>
      </c>
      <c r="M13" s="67"/>
      <c r="N13" s="59"/>
      <c r="O13" s="165"/>
    </row>
    <row r="14" spans="2:15" ht="20.100000000000001" customHeight="1" x14ac:dyDescent="0.25">
      <c r="B14" s="161"/>
      <c r="C14" s="67"/>
      <c r="D14" s="67"/>
      <c r="E14" s="208"/>
      <c r="F14" s="210"/>
      <c r="G14" s="67"/>
      <c r="H14" s="60"/>
      <c r="I14" s="73"/>
      <c r="J14" s="67"/>
      <c r="K14" s="205" t="str">
        <f>"CPE (Cost per Engagement) (" &amp; currency &amp; ")"</f>
        <v>CPE (Cost per Engagement) ($)</v>
      </c>
      <c r="L14" s="76">
        <f>IFERROR(SUM(FbCost)/L12,"")</f>
        <v>0.35502958579881655</v>
      </c>
      <c r="M14" s="67"/>
      <c r="N14" s="59"/>
      <c r="O14" s="165"/>
    </row>
    <row r="15" spans="2:15" ht="20.100000000000001" customHeight="1" x14ac:dyDescent="0.25">
      <c r="B15" s="161"/>
      <c r="C15" s="67"/>
      <c r="D15" s="67"/>
      <c r="E15" s="75" t="s">
        <v>28</v>
      </c>
      <c r="F15" s="79">
        <v>3000</v>
      </c>
      <c r="G15" s="67"/>
      <c r="H15" s="60"/>
      <c r="I15" s="73"/>
      <c r="J15" s="67"/>
      <c r="K15" s="205" t="str">
        <f>"Cost per reaction (" &amp; currency &amp; ")"</f>
        <v>Cost per reaction ($)</v>
      </c>
      <c r="L15" s="76">
        <f>IFERROR(SUM(FbCost)/F15,"")</f>
        <v>0.4</v>
      </c>
      <c r="M15" s="67"/>
      <c r="N15" s="59"/>
      <c r="O15" s="165"/>
    </row>
    <row r="16" spans="2:15" ht="20.100000000000001" customHeight="1" x14ac:dyDescent="0.25">
      <c r="B16" s="161"/>
      <c r="C16" s="67"/>
      <c r="D16" s="67"/>
      <c r="E16" s="75" t="s">
        <v>24</v>
      </c>
      <c r="F16" s="79">
        <v>300</v>
      </c>
      <c r="G16" s="67"/>
      <c r="H16" s="60"/>
      <c r="I16" s="73"/>
      <c r="J16" s="67"/>
      <c r="K16" s="205" t="str">
        <f>"Cost per follow (" &amp; currency &amp; ")"</f>
        <v>Cost per follow ($)</v>
      </c>
      <c r="L16" s="76" t="str">
        <f>IFERROR(SUM(FbCost)/#REF!,"")</f>
        <v/>
      </c>
      <c r="M16" s="67"/>
      <c r="N16" s="59"/>
      <c r="O16" s="165"/>
    </row>
    <row r="17" spans="2:15" ht="20.100000000000001" customHeight="1" x14ac:dyDescent="0.25">
      <c r="B17" s="161"/>
      <c r="C17" s="67"/>
      <c r="D17" s="67"/>
      <c r="E17" s="75" t="s">
        <v>25</v>
      </c>
      <c r="F17" s="79">
        <v>80</v>
      </c>
      <c r="G17" s="67"/>
      <c r="H17" s="60"/>
      <c r="I17" s="73"/>
      <c r="J17" s="67"/>
      <c r="K17" s="205" t="str">
        <f>"Cost per video watched (" &amp; currency &amp; ")"</f>
        <v>Cost per video watched ($)</v>
      </c>
      <c r="L17" s="76" t="str">
        <f>IFERROR(SUM(FbCost)/F18,"")</f>
        <v/>
      </c>
      <c r="M17" s="67"/>
      <c r="N17" s="59"/>
      <c r="O17" s="165"/>
    </row>
    <row r="18" spans="2:15" ht="20.100000000000001" customHeight="1" x14ac:dyDescent="0.25">
      <c r="B18" s="161"/>
      <c r="C18" s="67"/>
      <c r="D18" s="67"/>
      <c r="E18" s="75" t="s">
        <v>26</v>
      </c>
      <c r="F18" s="79"/>
      <c r="G18" s="67"/>
      <c r="H18" s="60"/>
      <c r="I18" s="73"/>
      <c r="J18" s="67"/>
      <c r="K18" s="205" t="str">
        <f>"Cost per share (" &amp; currency &amp; ")"</f>
        <v>Cost per share ($)</v>
      </c>
      <c r="L18" s="76">
        <f>IFERROR(SUM(FbCost)/F16,"")</f>
        <v>4</v>
      </c>
      <c r="M18" s="67"/>
      <c r="N18" s="59"/>
      <c r="O18" s="165"/>
    </row>
    <row r="19" spans="2:15" ht="20.100000000000001" customHeight="1" x14ac:dyDescent="0.25">
      <c r="B19" s="161"/>
      <c r="C19" s="67"/>
      <c r="D19" s="67"/>
      <c r="E19" s="75" t="s">
        <v>27</v>
      </c>
      <c r="F19" s="79"/>
      <c r="G19" s="67"/>
      <c r="H19" s="60"/>
      <c r="I19" s="73"/>
      <c r="J19" s="67"/>
      <c r="K19" s="75"/>
      <c r="L19" s="86"/>
      <c r="M19" s="67"/>
      <c r="N19" s="59"/>
      <c r="O19" s="165"/>
    </row>
    <row r="20" spans="2:15" ht="20.100000000000001" customHeight="1" x14ac:dyDescent="0.25">
      <c r="B20" s="161"/>
      <c r="C20" s="67"/>
      <c r="D20" s="67"/>
      <c r="E20" s="208"/>
      <c r="F20" s="212"/>
      <c r="G20" s="67"/>
      <c r="H20" s="60"/>
      <c r="I20" s="73"/>
      <c r="J20" s="67"/>
      <c r="K20" s="75" t="s">
        <v>78</v>
      </c>
      <c r="L20" s="77">
        <f>IFERROR(IF(ISNUMBER(F22),F22,F21*F23/(1+F23)),"")</f>
        <v>25</v>
      </c>
      <c r="M20" s="67"/>
      <c r="N20" s="59"/>
      <c r="O20" s="165"/>
    </row>
    <row r="21" spans="2:15" ht="20.100000000000001" customHeight="1" x14ac:dyDescent="0.25">
      <c r="B21" s="161"/>
      <c r="C21" s="67"/>
      <c r="D21" s="67"/>
      <c r="E21" s="75" t="s">
        <v>64</v>
      </c>
      <c r="F21" s="79">
        <v>2500</v>
      </c>
      <c r="G21" s="67"/>
      <c r="H21" s="60"/>
      <c r="I21" s="73"/>
      <c r="J21" s="67"/>
      <c r="K21" s="75" t="s">
        <v>89</v>
      </c>
      <c r="L21" s="78">
        <f>IFERROR(IF(ISNUMBER(F23),F23,L20/(F21-L20)),"")</f>
        <v>1.0101010101010102E-2</v>
      </c>
      <c r="M21" s="67"/>
      <c r="N21" s="59"/>
      <c r="O21" s="165"/>
    </row>
    <row r="22" spans="2:15" ht="20.100000000000001" customHeight="1" x14ac:dyDescent="0.25">
      <c r="B22" s="161"/>
      <c r="C22" s="67"/>
      <c r="D22" s="67"/>
      <c r="E22" s="75" t="s">
        <v>78</v>
      </c>
      <c r="F22" s="79">
        <v>25</v>
      </c>
      <c r="G22" s="67"/>
      <c r="H22" s="60" t="str">
        <f>IF(OR(AND(ISNUMBER(F22),ISNUMBER(F23)=FALSE),AND(ISNUMBER(F22)=FALSE,ISNUMBER(F23))),"","← Fill out only one: New Followers (#) or FGR.")</f>
        <v/>
      </c>
      <c r="I22" s="73"/>
      <c r="J22" s="67"/>
      <c r="K22" s="205" t="str">
        <f>"Cost per follower (" &amp; currency &amp; ")"</f>
        <v>Cost per follower ($)</v>
      </c>
      <c r="L22" s="76">
        <f>IFERROR(IFERROR(SUM(FbCost)/L20,""),"")</f>
        <v>48</v>
      </c>
      <c r="M22" s="67"/>
      <c r="N22" s="59"/>
      <c r="O22" s="165"/>
    </row>
    <row r="23" spans="2:15" ht="20.100000000000001" customHeight="1" x14ac:dyDescent="0.25">
      <c r="B23" s="161"/>
      <c r="C23" s="67"/>
      <c r="D23" s="67"/>
      <c r="E23" s="75" t="s">
        <v>89</v>
      </c>
      <c r="F23" s="80"/>
      <c r="G23" s="67"/>
      <c r="H23" s="60" t="str">
        <f>IF(OR(AND(ISNUMBER(F22),ISNUMBER(F23)=FALSE),AND(ISNUMBER(F22)=FALSE,ISNUMBER(F23))),"","← Fill out only one: New Followers (#) or FGR.")</f>
        <v/>
      </c>
      <c r="I23" s="73"/>
      <c r="J23" s="67"/>
      <c r="K23" s="75"/>
      <c r="L23" s="86"/>
      <c r="M23" s="67"/>
      <c r="N23" s="59"/>
      <c r="O23" s="165"/>
    </row>
    <row r="24" spans="2:15" ht="20.100000000000001" customHeight="1" x14ac:dyDescent="0.25">
      <c r="B24" s="161"/>
      <c r="C24" s="67"/>
      <c r="D24" s="67"/>
      <c r="E24" s="208"/>
      <c r="F24" s="213"/>
      <c r="G24" s="67"/>
      <c r="H24" s="60"/>
      <c r="I24" s="73"/>
      <c r="J24" s="67"/>
      <c r="K24" s="75" t="s">
        <v>59</v>
      </c>
      <c r="L24" s="82">
        <f>IFERROR(IF(ISNUMBER(F25),F25,F26*L8),"")</f>
        <v>50</v>
      </c>
      <c r="M24" s="67"/>
      <c r="N24" s="59"/>
      <c r="O24" s="165"/>
    </row>
    <row r="25" spans="2:15" ht="20.100000000000001" customHeight="1" x14ac:dyDescent="0.25">
      <c r="B25" s="161"/>
      <c r="C25" s="67"/>
      <c r="D25" s="81"/>
      <c r="E25" s="75" t="s">
        <v>59</v>
      </c>
      <c r="F25" s="79">
        <v>50</v>
      </c>
      <c r="G25" s="67"/>
      <c r="H25" s="60" t="str">
        <f>IF(OR(AND(ISNUMBER(F25),ISNUMBER(F26)=FALSE),AND(ISNUMBER(F25)=FALSE,ISNUMBER(F26))),"","← Fill out only one: Conversion (#) or CR.")</f>
        <v/>
      </c>
      <c r="I25" s="73"/>
      <c r="J25" s="67"/>
      <c r="K25" s="75" t="s">
        <v>11</v>
      </c>
      <c r="L25" s="78">
        <f>IFERROR(IF(ISNUMBER(F26),F26,L24/L8),"")</f>
        <v>0.1</v>
      </c>
      <c r="M25" s="67"/>
      <c r="N25" s="59"/>
      <c r="O25" s="165"/>
    </row>
    <row r="26" spans="2:15" ht="20.100000000000001" customHeight="1" x14ac:dyDescent="0.25">
      <c r="B26" s="161"/>
      <c r="C26" s="67"/>
      <c r="D26" s="81"/>
      <c r="E26" s="75" t="s">
        <v>11</v>
      </c>
      <c r="F26" s="80"/>
      <c r="G26" s="67"/>
      <c r="H26" s="60" t="str">
        <f>IF(OR(AND(ISNUMBER(F25),ISNUMBER(F26)=FALSE),AND(ISNUMBER(F25)=FALSE,ISNUMBER(F26))),"","← Fill out only one: Conversion (#) or CR.")</f>
        <v/>
      </c>
      <c r="I26" s="73"/>
      <c r="J26" s="67"/>
      <c r="K26" s="205" t="str">
        <f>"Cost per conversion (" &amp; currency &amp; ")"</f>
        <v>Cost per conversion ($)</v>
      </c>
      <c r="L26" s="76">
        <f>IFERROR(SUM(FbCost)/L24,"")</f>
        <v>24</v>
      </c>
      <c r="M26" s="67"/>
      <c r="N26" s="59"/>
      <c r="O26" s="165"/>
    </row>
    <row r="27" spans="2:15" ht="20.100000000000001" customHeight="1" x14ac:dyDescent="0.25">
      <c r="B27" s="161"/>
      <c r="C27" s="67"/>
      <c r="D27" s="81"/>
      <c r="E27" s="208"/>
      <c r="F27" s="213"/>
      <c r="G27" s="67"/>
      <c r="H27" s="60"/>
      <c r="I27" s="73"/>
      <c r="J27" s="67"/>
      <c r="K27" s="75"/>
      <c r="L27" s="85"/>
      <c r="M27" s="67"/>
      <c r="N27" s="59"/>
      <c r="O27" s="165"/>
    </row>
    <row r="28" spans="2:15" ht="20.100000000000001" customHeight="1" x14ac:dyDescent="0.25">
      <c r="B28" s="161"/>
      <c r="C28" s="67"/>
      <c r="D28" s="81"/>
      <c r="E28" s="75" t="s">
        <v>60</v>
      </c>
      <c r="F28" s="91">
        <v>40</v>
      </c>
      <c r="G28" s="67"/>
      <c r="H28" s="60" t="str">
        <f>IF(OR(AND(ISNUMBER(F28),ISNUMBER(F29)=FALSE),AND(ISNUMBER(F28)=FALSE,ISNUMBER(F29))),"","← Fill out only one: Sales (#) or CloseRate.")</f>
        <v/>
      </c>
      <c r="I28" s="73"/>
      <c r="J28" s="67"/>
      <c r="K28" s="75" t="s">
        <v>101</v>
      </c>
      <c r="L28" s="77">
        <f>IFERROR(IF(ISNUMBER(F28),F28,IF(ISNUMBER(F29),F29*L8,"")),"")</f>
        <v>40</v>
      </c>
      <c r="M28" s="67"/>
      <c r="N28" s="60" t="str">
        <f>IF(AND(ISNUMBER(F28)=FALSE,ISNUMBER(F29)=FALSE),"If Sales info empty left Close # = Conversion #.","")</f>
        <v/>
      </c>
      <c r="O28" s="165"/>
    </row>
    <row r="29" spans="2:15" ht="20.100000000000001" customHeight="1" x14ac:dyDescent="0.25">
      <c r="B29" s="161"/>
      <c r="C29" s="67"/>
      <c r="D29" s="81"/>
      <c r="E29" s="75" t="s">
        <v>18</v>
      </c>
      <c r="F29" s="80"/>
      <c r="G29" s="67"/>
      <c r="H29" s="60" t="str">
        <f>IF(OR(AND(ISNUMBER(F28),ISNUMBER(F29)=FALSE),AND(ISNUMBER(F28)=FALSE,ISNUMBER(F29))),"","← Fill out only one: Sales (#) or CloseRate.")</f>
        <v/>
      </c>
      <c r="I29" s="73"/>
      <c r="J29" s="67"/>
      <c r="K29" s="75" t="s">
        <v>18</v>
      </c>
      <c r="L29" s="78">
        <f>IFERROR(IF(ISNUMBER(F29),F29, IF(ISNUMBER(F28), F28/L8,"")),"")</f>
        <v>0.08</v>
      </c>
      <c r="M29" s="67"/>
      <c r="N29" s="59"/>
      <c r="O29" s="165"/>
    </row>
    <row r="30" spans="2:15" ht="20.100000000000001" customHeight="1" x14ac:dyDescent="0.25">
      <c r="B30" s="161"/>
      <c r="C30" s="67"/>
      <c r="D30" s="81"/>
      <c r="E30" s="208"/>
      <c r="F30" s="213"/>
      <c r="G30" s="67"/>
      <c r="H30" s="60"/>
      <c r="I30" s="73"/>
      <c r="J30" s="67"/>
      <c r="K30" s="205" t="str">
        <f>"Cost per sale (" &amp; currency &amp; ")"</f>
        <v>Cost per sale ($)</v>
      </c>
      <c r="L30" s="76">
        <f>IFERROR(SUM(FbCost)/L28,"")</f>
        <v>30</v>
      </c>
      <c r="M30" s="67"/>
      <c r="N30" s="59"/>
      <c r="O30" s="165"/>
    </row>
    <row r="31" spans="2:15" ht="20.100000000000001" customHeight="1" x14ac:dyDescent="0.25">
      <c r="B31" s="161"/>
      <c r="C31" s="67"/>
      <c r="D31" s="81"/>
      <c r="E31" s="205" t="str">
        <f>"Average Order Value (" &amp; currency &amp; ")"</f>
        <v>Average Order Value ($)</v>
      </c>
      <c r="F31" s="74">
        <v>55</v>
      </c>
      <c r="G31" s="67"/>
      <c r="H31" s="60" t="str">
        <f>IF(ISNUMBER(F31),"","← Don't leave it empty.")</f>
        <v/>
      </c>
      <c r="I31" s="73"/>
      <c r="J31" s="67"/>
      <c r="K31" s="205" t="str">
        <f>"Projected Sales (" &amp; currency &amp; ")"</f>
        <v>Projected Sales ($)</v>
      </c>
      <c r="L31" s="76">
        <f>IFERROR(L28*F31,"")</f>
        <v>2200</v>
      </c>
      <c r="M31" s="67"/>
      <c r="N31" s="59"/>
      <c r="O31" s="165"/>
    </row>
    <row r="32" spans="2:15" ht="20.100000000000001" customHeight="1" x14ac:dyDescent="0.25">
      <c r="B32" s="161"/>
      <c r="C32" s="67"/>
      <c r="D32" s="81"/>
      <c r="E32" s="205" t="str">
        <f>"Average Lifetime value (LTV) (" &amp; currency &amp; ")"</f>
        <v>Average Lifetime value (LTV) ($)</v>
      </c>
      <c r="F32" s="74"/>
      <c r="G32" s="67"/>
      <c r="H32" s="60"/>
      <c r="I32" s="73"/>
      <c r="J32" s="67"/>
      <c r="K32" s="205" t="str">
        <f>"Total LTV of gained customers  (" &amp; currency &amp; ")"</f>
        <v>Total LTV of gained customers  ($)</v>
      </c>
      <c r="L32" s="76">
        <f>IFERROR(L28*F32,"")</f>
        <v>0</v>
      </c>
      <c r="M32" s="67"/>
      <c r="N32" s="60" t="str">
        <f>IF(ISNUMBER(L32),"Not included in ROI results.","")</f>
        <v>Not included in ROI results.</v>
      </c>
      <c r="O32" s="165"/>
    </row>
    <row r="33" spans="2:15" ht="20.100000000000001" customHeight="1" x14ac:dyDescent="0.25">
      <c r="B33" s="161"/>
      <c r="C33" s="67"/>
      <c r="D33" s="81"/>
      <c r="E33" s="75" t="s">
        <v>156</v>
      </c>
      <c r="F33" s="79"/>
      <c r="G33" s="67"/>
      <c r="H33" s="60" t="str">
        <f xml:space="preserve"> IF(ISNUMBER(F33),IF(AND(F33&gt;=5,F33&lt;8)," Your campaign result seems pretty well!",IF(F33&lt;5," Think about optimizing your campaign!"," Your campaign result seems great!")),"")</f>
        <v/>
      </c>
      <c r="I33" s="73"/>
      <c r="J33" s="67"/>
      <c r="K33" s="75"/>
      <c r="L33" s="86"/>
      <c r="M33" s="67"/>
      <c r="N33" s="59"/>
      <c r="O33" s="165"/>
    </row>
    <row r="34" spans="2:15" ht="20.100000000000001" customHeight="1" x14ac:dyDescent="0.25">
      <c r="B34" s="161"/>
      <c r="C34" s="81"/>
      <c r="D34" s="81"/>
      <c r="E34" s="208"/>
      <c r="F34" s="211"/>
      <c r="G34" s="81"/>
      <c r="H34" s="68"/>
      <c r="I34" s="73"/>
      <c r="J34" s="67"/>
      <c r="K34" s="75" t="s">
        <v>22</v>
      </c>
      <c r="L34" s="78">
        <f>IFERROR((L31-SUM(FbCost))/SUM(FbCost),"")</f>
        <v>0.83333333333333337</v>
      </c>
      <c r="M34" s="67"/>
      <c r="N34" s="59"/>
      <c r="O34" s="165"/>
    </row>
    <row r="35" spans="2:15" ht="20.100000000000001" customHeight="1" x14ac:dyDescent="0.25">
      <c r="B35" s="161"/>
      <c r="C35" s="81"/>
      <c r="D35" s="81"/>
      <c r="E35" s="206" t="s">
        <v>148</v>
      </c>
      <c r="F35" s="64"/>
      <c r="G35" s="81"/>
      <c r="H35" s="68"/>
      <c r="I35" s="73"/>
      <c r="J35" s="67"/>
      <c r="K35" s="75" t="s">
        <v>21</v>
      </c>
      <c r="L35" s="78">
        <f>IFERROR(L31/SUM(FbCost),"")</f>
        <v>1.8333333333333333</v>
      </c>
      <c r="M35" s="67"/>
      <c r="N35" s="60" t="str">
        <f>IF(LEN(L35)&gt;0,IF(L31/SUM(FbCost)&gt;1,"Per each 1" &amp; currency &amp; " spend, you earn " &amp; ROUND(L31/SUM(FbCost),2) &amp; currency,"Your results are below investment."),"")</f>
        <v>Per each 1$ spend, you earn 1,83$</v>
      </c>
      <c r="O35" s="165"/>
    </row>
    <row r="36" spans="2:15" ht="20.100000000000001" customHeight="1" x14ac:dyDescent="0.25">
      <c r="B36" s="161"/>
      <c r="C36" s="81"/>
      <c r="D36" s="81"/>
      <c r="E36" s="206" t="s">
        <v>148</v>
      </c>
      <c r="F36" s="64"/>
      <c r="G36" s="81"/>
      <c r="H36" s="68"/>
      <c r="I36" s="73"/>
      <c r="J36" s="67"/>
      <c r="K36" s="205" t="str">
        <f>"Break even sale value (" &amp; currency &amp; ")"</f>
        <v>Break even sale value ($)</v>
      </c>
      <c r="L36" s="76">
        <f>IFERROR(SUM(FbCost)/L28,"")</f>
        <v>30</v>
      </c>
      <c r="M36" s="67"/>
      <c r="N36" s="60" t="str">
        <f>IF(ISNUMBER(L36),"Minimum sale value for positive ROI","")</f>
        <v>Minimum sale value for positive ROI</v>
      </c>
      <c r="O36" s="165"/>
    </row>
    <row r="37" spans="2:15" ht="20.100000000000001" customHeight="1" x14ac:dyDescent="0.25">
      <c r="B37" s="161"/>
      <c r="C37" s="81"/>
      <c r="D37" s="81"/>
      <c r="E37" s="206" t="s">
        <v>148</v>
      </c>
      <c r="F37" s="64"/>
      <c r="G37" s="81"/>
      <c r="H37" s="68"/>
      <c r="I37" s="73"/>
      <c r="J37" s="67"/>
      <c r="K37" s="75" t="s">
        <v>9</v>
      </c>
      <c r="L37" s="77">
        <f>IFERROR(SUM(FbCost)/F31,"")</f>
        <v>21.818181818181817</v>
      </c>
      <c r="M37" s="67"/>
      <c r="N37" s="60" t="str">
        <f>IF(ISNUMBER(L37),"Minimum buyers # for positive ROI","")</f>
        <v>Minimum buyers # for positive ROI</v>
      </c>
      <c r="O37" s="165"/>
    </row>
    <row r="38" spans="2:15" ht="20.100000000000001" customHeight="1" x14ac:dyDescent="0.25">
      <c r="B38" s="161"/>
      <c r="C38" s="81"/>
      <c r="D38" s="81"/>
      <c r="E38" s="206" t="s">
        <v>148</v>
      </c>
      <c r="F38" s="64"/>
      <c r="G38" s="81"/>
      <c r="H38" s="68"/>
      <c r="I38" s="73"/>
      <c r="J38" s="67"/>
      <c r="K38" s="83"/>
      <c r="L38" s="64"/>
      <c r="M38" s="64"/>
      <c r="N38" s="61"/>
      <c r="O38" s="165"/>
    </row>
    <row r="39" spans="2:15" ht="20.100000000000001" customHeight="1" x14ac:dyDescent="0.25">
      <c r="B39" s="161"/>
      <c r="C39" s="81"/>
      <c r="D39" s="81"/>
      <c r="E39" s="206" t="s">
        <v>148</v>
      </c>
      <c r="F39" s="64"/>
      <c r="G39" s="81"/>
      <c r="H39" s="68"/>
      <c r="I39" s="73"/>
      <c r="J39" s="67"/>
      <c r="K39" s="206" t="s">
        <v>147</v>
      </c>
      <c r="L39" s="64"/>
      <c r="M39" s="64"/>
      <c r="N39" s="61"/>
      <c r="O39" s="165"/>
    </row>
    <row r="40" spans="2:15" ht="20.100000000000001" customHeight="1" x14ac:dyDescent="0.25">
      <c r="B40" s="161"/>
      <c r="C40" s="81"/>
      <c r="D40" s="81"/>
      <c r="E40" s="206" t="s">
        <v>148</v>
      </c>
      <c r="F40" s="64"/>
      <c r="G40" s="81"/>
      <c r="H40" s="68"/>
      <c r="I40" s="73"/>
      <c r="J40" s="67"/>
      <c r="K40" s="206" t="s">
        <v>147</v>
      </c>
      <c r="L40" s="64"/>
      <c r="M40" s="64"/>
      <c r="N40" s="61"/>
      <c r="O40" s="165"/>
    </row>
    <row r="41" spans="2:15" ht="20.100000000000001" customHeight="1" x14ac:dyDescent="0.25">
      <c r="B41" s="161"/>
      <c r="C41" s="81"/>
      <c r="D41" s="81"/>
      <c r="E41" s="206" t="s">
        <v>148</v>
      </c>
      <c r="F41" s="64"/>
      <c r="G41" s="81"/>
      <c r="H41" s="68"/>
      <c r="I41" s="73"/>
      <c r="J41" s="67"/>
      <c r="K41" s="206" t="s">
        <v>147</v>
      </c>
      <c r="L41" s="64"/>
      <c r="M41" s="64"/>
      <c r="N41" s="64"/>
      <c r="O41" s="177"/>
    </row>
    <row r="42" spans="2:15" ht="20.100000000000001" customHeight="1" x14ac:dyDescent="0.25">
      <c r="B42" s="161"/>
      <c r="C42" s="81"/>
      <c r="D42" s="81"/>
      <c r="E42" s="206" t="s">
        <v>148</v>
      </c>
      <c r="F42" s="64"/>
      <c r="G42" s="81"/>
      <c r="H42" s="68"/>
      <c r="I42" s="73"/>
      <c r="J42" s="67"/>
      <c r="K42" s="206" t="s">
        <v>147</v>
      </c>
      <c r="L42" s="64"/>
      <c r="M42" s="64"/>
      <c r="N42" s="64"/>
      <c r="O42" s="177"/>
    </row>
    <row r="43" spans="2:15" ht="20.100000000000001" customHeight="1" x14ac:dyDescent="0.25">
      <c r="B43" s="161"/>
      <c r="C43" s="81"/>
      <c r="D43" s="81"/>
      <c r="E43" s="206" t="s">
        <v>148</v>
      </c>
      <c r="F43" s="64"/>
      <c r="G43" s="81"/>
      <c r="H43" s="68"/>
      <c r="I43" s="73"/>
      <c r="J43" s="67"/>
      <c r="K43" s="206" t="s">
        <v>147</v>
      </c>
      <c r="L43" s="64"/>
      <c r="M43" s="64"/>
      <c r="N43" s="64"/>
      <c r="O43" s="177"/>
    </row>
    <row r="44" spans="2:15" ht="20.100000000000001" customHeight="1" x14ac:dyDescent="0.25">
      <c r="B44" s="161"/>
      <c r="C44" s="81"/>
      <c r="D44" s="81"/>
      <c r="E44" s="206" t="s">
        <v>148</v>
      </c>
      <c r="F44" s="64"/>
      <c r="G44" s="81"/>
      <c r="H44" s="68"/>
      <c r="I44" s="73"/>
      <c r="J44" s="67"/>
      <c r="K44" s="206" t="s">
        <v>147</v>
      </c>
      <c r="L44" s="64"/>
      <c r="M44" s="64"/>
      <c r="N44" s="64"/>
      <c r="O44" s="177"/>
    </row>
    <row r="45" spans="2:15" ht="20.100000000000001" customHeight="1" x14ac:dyDescent="0.25">
      <c r="B45" s="161"/>
      <c r="C45" s="81"/>
      <c r="D45" s="81"/>
      <c r="E45" s="206" t="s">
        <v>148</v>
      </c>
      <c r="F45" s="64"/>
      <c r="G45" s="81"/>
      <c r="H45" s="68"/>
      <c r="I45" s="73"/>
      <c r="J45" s="67"/>
      <c r="K45" s="206" t="s">
        <v>147</v>
      </c>
      <c r="L45" s="64"/>
      <c r="M45" s="64"/>
      <c r="N45" s="64"/>
      <c r="O45" s="177"/>
    </row>
    <row r="46" spans="2:15" ht="20.100000000000001" customHeight="1" x14ac:dyDescent="0.25">
      <c r="B46" s="161"/>
      <c r="C46" s="81"/>
      <c r="D46" s="81"/>
      <c r="E46" s="206" t="s">
        <v>148</v>
      </c>
      <c r="F46" s="64"/>
      <c r="G46" s="81"/>
      <c r="H46" s="68"/>
      <c r="I46" s="73"/>
      <c r="J46" s="67"/>
      <c r="K46" s="206" t="s">
        <v>147</v>
      </c>
      <c r="L46" s="64"/>
      <c r="M46" s="64"/>
      <c r="N46" s="64"/>
      <c r="O46" s="177"/>
    </row>
    <row r="47" spans="2:15" ht="9.9499999999999993" customHeight="1" x14ac:dyDescent="0.25">
      <c r="B47" s="162"/>
      <c r="C47" s="168"/>
      <c r="D47" s="168"/>
      <c r="E47" s="169"/>
      <c r="F47" s="168"/>
      <c r="G47" s="168"/>
      <c r="H47" s="170"/>
      <c r="I47" s="171"/>
      <c r="J47" s="172"/>
      <c r="K47" s="185"/>
      <c r="L47" s="172"/>
      <c r="M47" s="172"/>
      <c r="N47" s="173"/>
      <c r="O47" s="181"/>
    </row>
    <row r="48" spans="2:15" ht="6.95" customHeight="1" x14ac:dyDescent="0.25">
      <c r="B48" s="23"/>
      <c r="H48" s="19"/>
      <c r="K48" s="16"/>
      <c r="N48" s="24"/>
      <c r="O48" s="23"/>
    </row>
    <row r="49" spans="2:15" ht="23.1" customHeight="1" x14ac:dyDescent="0.25">
      <c r="B49" s="121"/>
      <c r="C49" s="122"/>
      <c r="D49" s="123"/>
      <c r="E49" s="124"/>
      <c r="F49" s="124"/>
      <c r="G49" s="121"/>
      <c r="H49" s="124"/>
      <c r="I49" s="124"/>
      <c r="J49" s="124"/>
      <c r="K49" s="124"/>
      <c r="L49" s="132"/>
      <c r="M49" s="124"/>
      <c r="N49" s="124"/>
      <c r="O49" s="124"/>
    </row>
  </sheetData>
  <sheetProtection algorithmName="SHA-512" hashValue="DxuxCk6qKAs12nbFPdkWle7mOXunyFa/fpo9seCiwiNOe1lza7+bn+oOXNzGmHVWtIHQO/HLbGgJZnNJyyfDHg==" saltValue="AzafXh14HSC7MPt1Ce0ZBg==" spinCount="100000" sheet="1" objects="1" scenarios="1"/>
  <conditionalFormatting sqref="K39:K46 E35:E46">
    <cfRule type="expression" dxfId="50" priority="8">
      <formula>OR(E35="Input …",E35="Output …")</formula>
    </cfRule>
  </conditionalFormatting>
  <conditionalFormatting sqref="F7:F46">
    <cfRule type="expression" dxfId="49" priority="6">
      <formula>LEN($E7)&gt;0</formula>
    </cfRule>
  </conditionalFormatting>
  <conditionalFormatting sqref="E7:F46">
    <cfRule type="expression" dxfId="48" priority="5">
      <formula>LEN($E7)&gt;0</formula>
    </cfRule>
  </conditionalFormatting>
  <conditionalFormatting sqref="L7:L46">
    <cfRule type="expression" dxfId="47" priority="4">
      <formula>LEN($K7)&gt;0</formula>
    </cfRule>
  </conditionalFormatting>
  <conditionalFormatting sqref="K7:L46">
    <cfRule type="expression" dxfId="46" priority="3">
      <formula>LEN($K7)&gt;0</formula>
    </cfRule>
  </conditionalFormatting>
  <conditionalFormatting sqref="J7:J46">
    <cfRule type="expression" dxfId="45" priority="2">
      <formula>LEN($K7)&gt;0</formula>
    </cfRule>
  </conditionalFormatting>
  <conditionalFormatting sqref="D7:D46">
    <cfRule type="expression" dxfId="44" priority="1">
      <formula>LEN($E7)&gt;0</formula>
    </cfRule>
  </conditionalFormatting>
  <dataValidations count="40">
    <dataValidation type="whole" allowBlank="1" showInputMessage="1" showErrorMessage="1" errorTitle="Value!" error="Value must be between 1 and 10" prompt="Optional" sqref="F33" xr:uid="{CC2F0B32-E3B9-40DA-9BCF-C6C920A30BC2}">
      <formula1>1</formula1>
      <formula2>10</formula2>
    </dataValidation>
    <dataValidation allowBlank="1" showInputMessage="1" showErrorMessage="1" prompt="On average between 300 and 800 ($) for a monthly fee." sqref="E8" xr:uid="{8BC0BB6A-68F0-45B0-B3A5-45CD8EFBAAB5}"/>
    <dataValidation allowBlank="1" showInputMessage="1" showErrorMessage="1" promptTitle="Score Importance" prompt="Do you have well adjusted target audience? The higher score the better campaign results." sqref="E33" xr:uid="{B2AD590E-77D1-4418-A352-D2FA0FF50E19}"/>
    <dataValidation allowBlank="1" showInputMessage="1" showErrorMessage="1" promptTitle="Sale Rate" prompt="- Number of sales out of all ad interactions." sqref="K29" xr:uid="{8162DD18-1A16-4DE9-8BF8-537F1057E0CA}"/>
    <dataValidation allowBlank="1" showInputMessage="1" showErrorMessage="1" prompt="If you leave it empty it will be calculated as Clicks/Impressions" sqref="E13" xr:uid="{A9A771A2-0B9C-4038-B61B-9AAAE3BBFC03}"/>
    <dataValidation allowBlank="1" showInputMessage="1" showErrorMessage="1" promptTitle="ROAS - expectations" prompt="&lt;100% - bad_x000a_100% - 400% - not so well_x000a_&gt;400% - well invested money" sqref="K35" xr:uid="{1F02751C-59EB-4480-A420-47A6F38AE905}"/>
    <dataValidation allowBlank="1" showInputMessage="1" showErrorMessage="1" promptTitle="ROI - expectations" prompt="&lt;0% - lost investment_x000a_&gt;0% - not loosing_x000a_&gt;350% - good marketing campaign _x000a_" sqref="K34" xr:uid="{74E1E69F-6033-475D-853A-16238D1BE52C}"/>
    <dataValidation allowBlank="1" showInputMessage="1" showErrorMessage="1" prompt="High lifetime value of a customer can show you if it's worth to have a higher CPC even if it doesn't seem when compare to average close value." sqref="E32" xr:uid="{F718880B-0345-4B7B-BC3C-1C59321DCF34}"/>
    <dataValidation allowBlank="1" showInputMessage="1" showErrorMessage="1" prompt="Optional" sqref="F32 F8:F9" xr:uid="{2AEC48CE-4677-41ED-8155-9E7D8383916A}"/>
    <dataValidation allowBlank="1" showInputMessage="1" showErrorMessage="1" prompt="(1000 * Total Cost ) divided by Impressions #" sqref="L7" xr:uid="{65046DF6-9418-4FE7-9AF5-5FCAAA22810E}"/>
    <dataValidation allowBlank="1" showInputMessage="1" showErrorMessage="1" prompt="Total cost / Average Order Value" sqref="L37" xr:uid="{AE273565-901C-41E1-8700-691C8E93AC10}"/>
    <dataValidation allowBlank="1" showInputMessage="1" showErrorMessage="1" prompt="Total cost / Buyers" sqref="L36" xr:uid="{26B09DB5-44C1-490D-84F7-8D63D0D86F72}"/>
    <dataValidation allowBlank="1" showInputMessage="1" showErrorMessage="1" prompt="Projected Sales / Total cost" sqref="L35" xr:uid="{D4F65D69-3B62-44A3-9F0D-D481A9F22B5A}"/>
    <dataValidation allowBlank="1" showInputMessage="1" showErrorMessage="1" prompt="(Projected Sales - Total cost) / Total cost" sqref="L34" xr:uid="{B705A78F-C754-42BA-A923-1C3CB0344238}"/>
    <dataValidation allowBlank="1" showInputMessage="1" showErrorMessage="1" prompt="CTR * Impressions" sqref="L8" xr:uid="{4B86972E-3374-4EF5-9CEF-52994EB0D483}"/>
    <dataValidation allowBlank="1" showInputMessage="1" showErrorMessage="1" prompt="Average CTR = 0,9%_x000a_Between 0,45% and 1,6%" sqref="K9" xr:uid="{BF4C388D-7928-425B-B6E9-E8FAAB8DE0EE}"/>
    <dataValidation allowBlank="1" showInputMessage="1" showErrorMessage="1" prompt="Clicks / Impressions" sqref="L9" xr:uid="{46A5C44E-AF58-42D6-A7DC-F09447EBABB9}"/>
    <dataValidation allowBlank="1" showInputMessage="1" showErrorMessage="1" prompt="Average CPC = 1,7$_x000a_Between 0,5 and 4$" sqref="K10" xr:uid="{BC1ADDAE-BDA9-4F8E-806C-35E798CC4789}"/>
    <dataValidation allowBlank="1" showInputMessage="1" showErrorMessage="1" prompt="Total cost / Clicks" sqref="L10" xr:uid="{BAED209C-5DC1-4FB5-BCAF-D362F1B72341}"/>
    <dataValidation allowBlank="1" showInputMessage="1" showErrorMessage="1" prompt="Reactions + Shares + Comments + Watched + Other " sqref="L12" xr:uid="{4EDD30E4-CFE3-48EA-9062-3DB8C72721C0}"/>
    <dataValidation allowBlank="1" showInputMessage="1" showErrorMessage="1" prompt="Engagements / Impressions" sqref="L13" xr:uid="{A5E78B85-F4DB-4F57-9B66-EE8D536D8BF2}"/>
    <dataValidation allowBlank="1" showInputMessage="1" showErrorMessage="1" prompt="Total cost / Engagements" sqref="L14" xr:uid="{ADEC9A9E-2A17-4B6C-A664-FB4C988A2C26}"/>
    <dataValidation allowBlank="1" showInputMessage="1" showErrorMessage="1" prompt="Total cost / Reactions" sqref="L15" xr:uid="{27B49E45-F934-4BCE-9FFC-0FDA1529888B}"/>
    <dataValidation allowBlank="1" showInputMessage="1" showErrorMessage="1" prompt="Total cost / New Followers" sqref="L16" xr:uid="{DDFFBB85-AAD8-4FE7-82AC-1A13568136D8}"/>
    <dataValidation allowBlank="1" showInputMessage="1" showErrorMessage="1" prompt="Total cost / Watched #" sqref="L17" xr:uid="{DB3A68CD-C51B-46B8-B1D0-8460FD11F1A9}"/>
    <dataValidation allowBlank="1" showInputMessage="1" showErrorMessage="1" prompt="Total cost / Shares" sqref="L18" xr:uid="{2EE80556-7869-4902-A5D7-08D9D264F83F}"/>
    <dataValidation allowBlank="1" showInputMessage="1" showErrorMessage="1" prompt="New followers / (Total followers - New followers)" sqref="L21" xr:uid="{9DA9261D-0F7D-4C11-96A3-6608AC487BC6}"/>
    <dataValidation allowBlank="1" showInputMessage="1" showErrorMessage="1" prompt="Conversion rate * Clicks " sqref="L24" xr:uid="{712932BA-B6EC-4225-B5E6-B7F4ABF87546}"/>
    <dataValidation allowBlank="1" showInputMessage="1" showErrorMessage="1" prompt="Conversions / Clicks" sqref="L25" xr:uid="{E3C4213C-3441-470E-9C05-155E82593734}"/>
    <dataValidation allowBlank="1" showInputMessage="1" showErrorMessage="1" prompt="Fill Conversions or Conversion Rate. The other will be calculated." sqref="E25" xr:uid="{38ECCE64-5034-465D-9A21-A9CD2B372508}"/>
    <dataValidation allowBlank="1" showInputMessage="1" showErrorMessage="1" prompt="Fill New Followers or Growth Rate. The other will be calculated." sqref="E22" xr:uid="{2820C49C-D72A-40C4-91ED-53EC0D6CD730}"/>
    <dataValidation allowBlank="1" showInputMessage="1" showErrorMessage="1" prompt="Fill Sales or Sales Rate. The other will be calculated." sqref="E28" xr:uid="{9D5361F6-4EBB-4321-A77E-0FE1EE96F6A6}"/>
    <dataValidation allowBlank="1" showInputMessage="1" showErrorMessage="1" prompt="Total cost / New followers" sqref="L22" xr:uid="{4B2C8B44-E002-407F-A83B-71D163A9E1FA}"/>
    <dataValidation allowBlank="1" showInputMessage="1" showErrorMessage="1" prompt="Total cost / Conversions" sqref="L26" xr:uid="{0791BF4E-6D63-4F61-B6C9-756EFC470D57}"/>
    <dataValidation allowBlank="1" showInputMessage="1" showErrorMessage="1" prompt="Sales rate * Clicks" sqref="L28" xr:uid="{3EDADE0D-C366-4A41-B84A-1CC726C89AE4}"/>
    <dataValidation allowBlank="1" showInputMessage="1" showErrorMessage="1" prompt="Sales / Clicks" sqref="L29" xr:uid="{3F491FC1-343C-42F0-8158-5908F25D7068}"/>
    <dataValidation allowBlank="1" showInputMessage="1" showErrorMessage="1" prompt="Total cost / Sales" sqref="L30" xr:uid="{AF172A71-0178-4ACE-8F13-9582E538CECC}"/>
    <dataValidation allowBlank="1" showInputMessage="1" showErrorMessage="1" prompt="Sales * Average Order Value" sqref="L31" xr:uid="{A4CE91EB-5EDC-48CE-BE84-47A71AF02C08}"/>
    <dataValidation allowBlank="1" showInputMessage="1" showErrorMessage="1" prompt="Sales * LTV" sqref="L32" xr:uid="{67854E20-FE24-4E9F-B1AF-8CB61ADF1A58}"/>
    <dataValidation allowBlank="1" showInputMessage="1" showErrorMessage="1" prompt="Average $7.19 per 1000 impressions" sqref="K7" xr:uid="{AC5BFA4B-42DE-4074-869A-27020CBBF1D6}"/>
  </dataValidations>
  <printOptions horizontalCentered="1"/>
  <pageMargins left="0.31496062992125984" right="0.31496062992125984" top="0.31496062992125984" bottom="0.31496062992125984" header="0.31496062992125984" footer="0.31496062992125984"/>
  <pageSetup scale="6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5" id="{3511AD5D-122F-4682-8221-CD3F3FE08079}">
            <x14:iconSet iconSet="3Triangles">
              <x14:cfvo type="percent">
                <xm:f>0</xm:f>
              </x14:cfvo>
              <x14:cfvo type="num">
                <xm:f>5</xm:f>
              </x14:cfvo>
              <x14:cfvo type="num" gte="0">
                <xm:f>5</xm:f>
              </x14:cfvo>
            </x14:iconSet>
          </x14:cfRule>
          <xm:sqref>F33</xm:sqref>
        </x14:conditionalFormatting>
        <x14:conditionalFormatting xmlns:xm="http://schemas.microsoft.com/office/excel/2006/main">
          <x14:cfRule type="iconSet" priority="13" id="{03E6BFFA-798C-4B9F-AA4E-AB9037F96152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3.5</xm:f>
              </x14:cfvo>
            </x14:iconSet>
          </x14:cfRule>
          <xm:sqref>L34</xm:sqref>
        </x14:conditionalFormatting>
        <x14:conditionalFormatting xmlns:xm="http://schemas.microsoft.com/office/excel/2006/main">
          <x14:cfRule type="iconSet" priority="12" id="{077E7EE5-81D0-48F7-9918-D55420453332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4</xm:f>
              </x14:cfvo>
            </x14:iconSet>
          </x14:cfRule>
          <xm:sqref>L35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130A-34E1-43F7-A5E3-80220485153A}">
  <sheetPr codeName="Sheet11">
    <pageSetUpPr fitToPage="1"/>
  </sheetPr>
  <dimension ref="B1:O49"/>
  <sheetViews>
    <sheetView showGridLines="0" showRowColHeaders="0" workbookViewId="0">
      <pane ySplit="5" topLeftCell="A6" activePane="bottomLeft" state="frozen"/>
      <selection activeCell="A6" sqref="A6"/>
      <selection pane="bottomLeft" activeCell="A6" sqref="A6"/>
    </sheetView>
  </sheetViews>
  <sheetFormatPr defaultRowHeight="20.100000000000001" customHeight="1" x14ac:dyDescent="0.25"/>
  <cols>
    <col min="1" max="1" width="3.7109375" style="16" customWidth="1"/>
    <col min="2" max="2" width="12.7109375" style="16" customWidth="1"/>
    <col min="3" max="4" width="1.7109375" style="16" customWidth="1"/>
    <col min="5" max="5" width="35.7109375" style="16" customWidth="1"/>
    <col min="6" max="6" width="12.7109375" style="16" customWidth="1"/>
    <col min="7" max="7" width="1.7109375" style="16" customWidth="1"/>
    <col min="8" max="8" width="30.7109375" style="63" customWidth="1"/>
    <col min="9" max="9" width="3.7109375" style="16" customWidth="1"/>
    <col min="10" max="10" width="1.7109375" style="16" customWidth="1"/>
    <col min="11" max="11" width="35.7109375" style="16" customWidth="1"/>
    <col min="12" max="12" width="12.7109375" style="26" customWidth="1"/>
    <col min="13" max="13" width="1.7109375" style="16" customWidth="1"/>
    <col min="14" max="14" width="30.7109375" style="63" customWidth="1"/>
    <col min="15" max="15" width="1.7109375" style="16" customWidth="1"/>
    <col min="16" max="16" width="9.140625" style="16"/>
    <col min="17" max="17" width="8.42578125" style="16" bestFit="1" customWidth="1"/>
    <col min="18" max="16384" width="9.140625" style="16"/>
  </cols>
  <sheetData>
    <row r="1" spans="2:15" s="1" customFormat="1" ht="6.75" customHeight="1" x14ac:dyDescent="0.25">
      <c r="C1" s="2"/>
      <c r="F1" s="3"/>
      <c r="H1" s="57"/>
      <c r="N1" s="57"/>
    </row>
    <row r="2" spans="2:15" s="137" customFormat="1" ht="20.100000000000001" customHeight="1" x14ac:dyDescent="0.25">
      <c r="B2" s="149"/>
      <c r="C2" s="150" t="s">
        <v>150</v>
      </c>
      <c r="D2" s="151"/>
      <c r="E2" s="152"/>
      <c r="F2" s="152"/>
      <c r="G2" s="152"/>
      <c r="H2" s="152"/>
      <c r="I2" s="152"/>
      <c r="J2" s="153"/>
      <c r="K2" s="152"/>
      <c r="L2" s="152"/>
      <c r="M2" s="152"/>
      <c r="N2" s="152"/>
      <c r="O2" s="152"/>
    </row>
    <row r="3" spans="2:15" s="138" customFormat="1" ht="24" customHeight="1" x14ac:dyDescent="0.25">
      <c r="B3" s="45"/>
      <c r="C3" s="145" t="s">
        <v>129</v>
      </c>
      <c r="D3" s="146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</row>
    <row r="4" spans="2:15" ht="9.9499999999999993" customHeight="1" x14ac:dyDescent="0.25">
      <c r="B4" s="42"/>
      <c r="C4" s="18"/>
      <c r="D4" s="18"/>
      <c r="E4" s="18"/>
      <c r="F4" s="18"/>
      <c r="G4" s="18"/>
      <c r="H4" s="58"/>
      <c r="I4" s="53"/>
      <c r="J4" s="18"/>
      <c r="K4" s="18"/>
      <c r="L4" s="18"/>
      <c r="M4" s="18"/>
      <c r="N4" s="58"/>
      <c r="O4" s="175"/>
    </row>
    <row r="5" spans="2:15" ht="30" customHeight="1" x14ac:dyDescent="0.25">
      <c r="B5" s="42"/>
      <c r="C5" s="54"/>
      <c r="D5" s="55"/>
      <c r="E5" s="105" t="s">
        <v>15</v>
      </c>
      <c r="F5" s="105"/>
      <c r="G5" s="47"/>
      <c r="H5" s="107" t="s">
        <v>63</v>
      </c>
      <c r="I5" s="49"/>
      <c r="J5" s="50"/>
      <c r="K5" s="106" t="s">
        <v>20</v>
      </c>
      <c r="L5" s="106"/>
      <c r="M5" s="48"/>
      <c r="N5" s="107" t="s">
        <v>63</v>
      </c>
      <c r="O5" s="176"/>
    </row>
    <row r="6" spans="2:15" ht="9.9499999999999993" customHeight="1" x14ac:dyDescent="0.25">
      <c r="B6" s="161"/>
      <c r="C6" s="67"/>
      <c r="D6" s="67"/>
      <c r="E6" s="67"/>
      <c r="F6" s="67"/>
      <c r="G6" s="67"/>
      <c r="H6" s="59"/>
      <c r="I6" s="73"/>
      <c r="J6" s="67"/>
      <c r="K6" s="67"/>
      <c r="L6" s="67"/>
      <c r="M6" s="67"/>
      <c r="N6" s="59"/>
      <c r="O6" s="165"/>
    </row>
    <row r="7" spans="2:15" ht="20.100000000000001" customHeight="1" x14ac:dyDescent="0.25">
      <c r="B7" s="161"/>
      <c r="C7" s="67"/>
      <c r="D7" s="67"/>
      <c r="E7" s="205" t="str">
        <f>"Main Campaign cost (" &amp; currency &amp; ")"</f>
        <v>Main Campaign cost ($)</v>
      </c>
      <c r="F7" s="74">
        <v>1200</v>
      </c>
      <c r="G7" s="67"/>
      <c r="H7" s="60" t="str">
        <f>IF(ISNUMBER(F7),"","← Don't leave it empty.")</f>
        <v/>
      </c>
      <c r="I7" s="73"/>
      <c r="J7" s="67"/>
      <c r="K7" s="205" t="str">
        <f>"Cost per 1000 emails (CPM) (" &amp; currency &amp; ")"</f>
        <v>Cost per 1000 emails (CPM) ($)</v>
      </c>
      <c r="L7" s="76">
        <f>IFERROR(SUM(EmailCost)/(F11/1000),"")</f>
        <v>70</v>
      </c>
      <c r="M7" s="67"/>
      <c r="N7" s="59"/>
      <c r="O7" s="165"/>
    </row>
    <row r="8" spans="2:15" ht="20.100000000000001" customHeight="1" x14ac:dyDescent="0.25">
      <c r="B8" s="161"/>
      <c r="C8" s="67"/>
      <c r="D8" s="67"/>
      <c r="E8" s="205" t="str">
        <f>"Email management tools costs (" &amp; currency &amp; ")"</f>
        <v>Email management tools costs ($)</v>
      </c>
      <c r="F8" s="84">
        <v>200</v>
      </c>
      <c r="G8" s="67"/>
      <c r="H8" s="60"/>
      <c r="I8" s="73"/>
      <c r="J8" s="67"/>
      <c r="K8" s="75" t="s">
        <v>16</v>
      </c>
      <c r="L8" s="77">
        <f>IFERROR(IF(ISNUMBER(F13),F13*F11,0),"")</f>
        <v>1000</v>
      </c>
      <c r="M8" s="67"/>
      <c r="N8" s="59"/>
      <c r="O8" s="165"/>
    </row>
    <row r="9" spans="2:15" ht="20.100000000000001" customHeight="1" x14ac:dyDescent="0.25">
      <c r="B9" s="161"/>
      <c r="C9" s="67"/>
      <c r="D9" s="67"/>
      <c r="E9" s="205" t="str">
        <f>"Other costs (" &amp; currency &amp; ")"</f>
        <v>Other costs ($)</v>
      </c>
      <c r="F9" s="84"/>
      <c r="G9" s="67"/>
      <c r="H9" s="60"/>
      <c r="I9" s="73"/>
      <c r="J9" s="67"/>
      <c r="K9" s="205" t="str">
        <f>"Cost per click (CPC) (" &amp; currency &amp; ")"</f>
        <v>Cost per click (CPC) ($)</v>
      </c>
      <c r="L9" s="76">
        <f>IFERROR(SUM(EmailCost)/L8,"")</f>
        <v>1.4</v>
      </c>
      <c r="M9" s="67"/>
      <c r="N9" s="59"/>
      <c r="O9" s="165"/>
    </row>
    <row r="10" spans="2:15" ht="20.100000000000001" customHeight="1" x14ac:dyDescent="0.25">
      <c r="B10" s="161"/>
      <c r="C10" s="67"/>
      <c r="D10" s="67"/>
      <c r="E10" s="208"/>
      <c r="F10" s="214"/>
      <c r="G10" s="67"/>
      <c r="H10" s="60"/>
      <c r="I10" s="73"/>
      <c r="J10" s="67"/>
      <c r="K10" s="75"/>
      <c r="L10" s="86"/>
      <c r="M10" s="67"/>
      <c r="N10" s="59"/>
      <c r="O10" s="165"/>
    </row>
    <row r="11" spans="2:15" ht="20.100000000000001" customHeight="1" x14ac:dyDescent="0.25">
      <c r="B11" s="161"/>
      <c r="C11" s="67"/>
      <c r="D11" s="67"/>
      <c r="E11" s="75" t="s">
        <v>12</v>
      </c>
      <c r="F11" s="87">
        <v>20000</v>
      </c>
      <c r="G11" s="67"/>
      <c r="H11" s="60" t="str">
        <f>IF(ISNUMBER(F11),"","← Don't leave it empty.")</f>
        <v/>
      </c>
      <c r="I11" s="73"/>
      <c r="J11" s="67"/>
      <c r="K11" s="75" t="s">
        <v>80</v>
      </c>
      <c r="L11" s="77">
        <f>IFERROR(IF(ISNUMBER(F21),F21*F11,IF(ISNUMBER(F22+F23),(F22+F23)*F11,"")),"")</f>
        <v>300</v>
      </c>
      <c r="M11" s="67"/>
      <c r="N11" s="59"/>
      <c r="O11" s="165"/>
    </row>
    <row r="12" spans="2:15" ht="20.100000000000001" customHeight="1" x14ac:dyDescent="0.25">
      <c r="B12" s="161"/>
      <c r="C12" s="67"/>
      <c r="D12" s="67"/>
      <c r="E12" s="75" t="s">
        <v>82</v>
      </c>
      <c r="F12" s="88">
        <v>0.24</v>
      </c>
      <c r="G12" s="67"/>
      <c r="H12" s="60" t="str">
        <f>IF(ISNUMBER(F12),"","← Don't leave it empty.")</f>
        <v/>
      </c>
      <c r="I12" s="73"/>
      <c r="J12" s="67"/>
      <c r="K12" s="75" t="s">
        <v>35</v>
      </c>
      <c r="L12" s="77">
        <f>IFERROR(IF(ISNUMBER(F11),F11-L11,""),"")</f>
        <v>19700</v>
      </c>
      <c r="M12" s="67"/>
      <c r="N12" s="59"/>
      <c r="O12" s="165"/>
    </row>
    <row r="13" spans="2:15" ht="20.100000000000001" customHeight="1" x14ac:dyDescent="0.25">
      <c r="B13" s="161"/>
      <c r="C13" s="67"/>
      <c r="D13" s="67"/>
      <c r="E13" s="75" t="s">
        <v>83</v>
      </c>
      <c r="F13" s="88">
        <v>0.05</v>
      </c>
      <c r="G13" s="67"/>
      <c r="H13" s="60" t="str">
        <f>IF(ISNUMBER(F13),"","← Don't leave it empty.")</f>
        <v/>
      </c>
      <c r="I13" s="73"/>
      <c r="J13" s="67"/>
      <c r="K13" s="75" t="s">
        <v>157</v>
      </c>
      <c r="L13" s="77">
        <f>IFERROR(IF(AND(ISNUMBER(F12), ISNUMBER(F11)),F11*F12,""),"")</f>
        <v>4800</v>
      </c>
      <c r="M13" s="67"/>
      <c r="N13" s="59"/>
      <c r="O13" s="165"/>
    </row>
    <row r="14" spans="2:15" ht="20.100000000000001" customHeight="1" x14ac:dyDescent="0.25">
      <c r="B14" s="161"/>
      <c r="C14" s="67"/>
      <c r="D14" s="67"/>
      <c r="E14" s="75" t="s">
        <v>138</v>
      </c>
      <c r="F14" s="88">
        <v>0.22</v>
      </c>
      <c r="G14" s="67"/>
      <c r="H14" s="60" t="str">
        <f>IF(LEN(F14)&gt;0,IF(F14&gt;F12*1.2,"This value is "&amp; ROUND( (F14/F12-1)*100,1) &amp; "% higher than average",IF(F14&lt;F12*0.8,"This value is "&amp; ROUND( (1- F14/F12)*100,1)   &amp;"% lower than average","")),"")</f>
        <v/>
      </c>
      <c r="I14" s="73"/>
      <c r="J14" s="67"/>
      <c r="K14" s="75" t="s">
        <v>87</v>
      </c>
      <c r="L14" s="77">
        <f>IFERROR(IF(AND(ISNUMBER(F24),ISNUMBER(F11)), F24*F11,""),"")</f>
        <v>10</v>
      </c>
      <c r="M14" s="67"/>
      <c r="N14" s="59"/>
      <c r="O14" s="165"/>
    </row>
    <row r="15" spans="2:15" ht="20.100000000000001" customHeight="1" x14ac:dyDescent="0.25">
      <c r="B15" s="161"/>
      <c r="C15" s="67"/>
      <c r="D15" s="67"/>
      <c r="E15" s="75" t="s">
        <v>139</v>
      </c>
      <c r="F15" s="88">
        <v>0.06</v>
      </c>
      <c r="G15" s="67"/>
      <c r="H15" s="60" t="str">
        <f>IF(LEN(F15)&gt;0,IF(F15&gt;F13*1.2,"This value is "&amp; ROUND( (F15/F13-1)*100,1) &amp; "% higher than average",IF(F15&lt;F13*0.8,"This value is "&amp; ROUND( (1- F15/F13)*100,1)   &amp;"% lower than average","")),"")</f>
        <v/>
      </c>
      <c r="I15" s="73"/>
      <c r="J15" s="67"/>
      <c r="K15" s="75" t="s">
        <v>86</v>
      </c>
      <c r="L15" s="77">
        <f>IFERROR(IF(AND(ISNUMBER(F25),ISNUMBER(F11)),F25*F11,""),"")</f>
        <v>100</v>
      </c>
      <c r="M15" s="67"/>
      <c r="N15" s="59"/>
      <c r="O15" s="165"/>
    </row>
    <row r="16" spans="2:15" ht="20.100000000000001" customHeight="1" x14ac:dyDescent="0.25">
      <c r="B16" s="161"/>
      <c r="C16" s="67"/>
      <c r="D16" s="67"/>
      <c r="E16" s="206" t="s">
        <v>134</v>
      </c>
      <c r="F16" s="88">
        <v>0.26</v>
      </c>
      <c r="G16" s="67"/>
      <c r="H16" s="60" t="str">
        <f>IF(LEN(F16)&gt;0,IF(F16&gt;F12*1.2,"This value is "&amp; ROUND((F16/F12-1)*100,1) &amp; "% higher than average",IF(F16&lt;F12*0.8,"This value is "&amp; ROUND( (1- F16/F12)*100,1)   &amp;"% lower than average","")),"")</f>
        <v/>
      </c>
      <c r="I16" s="73"/>
      <c r="J16" s="67"/>
      <c r="K16" s="205" t="str">
        <f>"Cost per forward (" &amp; currency &amp; ")"</f>
        <v>Cost per forward ($)</v>
      </c>
      <c r="L16" s="76">
        <f>IFERROR(SUM(EmailCost)/L15,"")</f>
        <v>14</v>
      </c>
      <c r="M16" s="67"/>
      <c r="N16" s="59"/>
      <c r="O16" s="165"/>
    </row>
    <row r="17" spans="2:15" ht="20.100000000000001" customHeight="1" x14ac:dyDescent="0.25">
      <c r="B17" s="161"/>
      <c r="C17" s="67"/>
      <c r="D17" s="67"/>
      <c r="E17" s="206" t="s">
        <v>135</v>
      </c>
      <c r="F17" s="88">
        <v>0.2</v>
      </c>
      <c r="G17" s="67"/>
      <c r="H17" s="60" t="str">
        <f>IF(LEN(F17)&gt;0,IF(F17&gt;F12*1.2,"This value is "&amp; ROUND( (F17/F12-1)*100,1) &amp; "% higher than average",IF(F17&lt;F12*0.8,"This value is "&amp; ROUND( (1- F17/F12)*100,1)   &amp;"% lower than average","")),"")</f>
        <v/>
      </c>
      <c r="I17" s="73"/>
      <c r="J17" s="67"/>
      <c r="K17" s="75" t="s">
        <v>85</v>
      </c>
      <c r="L17" s="77">
        <f>IFERROR(IF(AND(ISNUMBER(F26),ISNUMBER(F11)),F26*F11,""),"")</f>
        <v>200</v>
      </c>
      <c r="M17" s="67"/>
      <c r="N17" s="59"/>
      <c r="O17" s="165"/>
    </row>
    <row r="18" spans="2:15" ht="20.100000000000001" customHeight="1" x14ac:dyDescent="0.25">
      <c r="B18" s="161"/>
      <c r="C18" s="67"/>
      <c r="D18" s="67"/>
      <c r="E18" s="206" t="s">
        <v>136</v>
      </c>
      <c r="F18" s="88">
        <v>6.3E-2</v>
      </c>
      <c r="G18" s="67"/>
      <c r="H18" s="60" t="str">
        <f>IF(LEN(F18)&gt;0,IF(F18&gt;F13*1.2,"This value is "&amp; ROUND((F18/F13-1)*100,1) &amp; "% higher than average",IF(F18&lt;F13*0.8,"This value is "&amp; ROUND( (1- F18/F13)*100,1)  &amp;"% lower than average","")),"")</f>
        <v>This value is 26% higher than average</v>
      </c>
      <c r="I18" s="73"/>
      <c r="J18" s="67"/>
      <c r="K18" s="205" t="str">
        <f>"Cost per share (" &amp; currency &amp; ")"</f>
        <v>Cost per share ($)</v>
      </c>
      <c r="L18" s="76">
        <f>IFERROR(SUM(EmailCost)/L17,"")</f>
        <v>7</v>
      </c>
      <c r="M18" s="67"/>
      <c r="N18" s="59"/>
      <c r="O18" s="165"/>
    </row>
    <row r="19" spans="2:15" ht="20.100000000000001" customHeight="1" x14ac:dyDescent="0.25">
      <c r="B19" s="161"/>
      <c r="C19" s="67"/>
      <c r="D19" s="67"/>
      <c r="E19" s="206" t="s">
        <v>137</v>
      </c>
      <c r="F19" s="88">
        <v>3.6499999999999998E-2</v>
      </c>
      <c r="G19" s="67"/>
      <c r="H19" s="60" t="str">
        <f>IF(LEN(F19)&gt;0,IF(F19&gt;F13*1.2,"This value is "&amp; ROUND( (F19/F13-1)*100,1) &amp; "% higher than average",IF(F19&lt;F13*0.8,"This value is "&amp; ROUND( (1- F19/F13)*100,1)   &amp;"% lower than average","")),"")</f>
        <v>This value is 27% lower than average</v>
      </c>
      <c r="I19" s="73"/>
      <c r="J19" s="67"/>
      <c r="K19" s="75"/>
      <c r="L19" s="86"/>
      <c r="M19" s="67"/>
      <c r="N19" s="59"/>
      <c r="O19" s="165"/>
    </row>
    <row r="20" spans="2:15" ht="20.100000000000001" customHeight="1" x14ac:dyDescent="0.25">
      <c r="B20" s="161"/>
      <c r="C20" s="67"/>
      <c r="D20" s="67"/>
      <c r="E20" s="208"/>
      <c r="F20" s="215"/>
      <c r="G20" s="67"/>
      <c r="H20" s="60"/>
      <c r="I20" s="73"/>
      <c r="J20" s="67"/>
      <c r="K20" s="75" t="s">
        <v>84</v>
      </c>
      <c r="L20" s="77">
        <f>IFERROR(IF(ISNUMBER(F28),F28*F11,""),"")</f>
        <v>40</v>
      </c>
      <c r="M20" s="67"/>
      <c r="N20" s="59"/>
      <c r="O20" s="165"/>
    </row>
    <row r="21" spans="2:15" ht="20.100000000000001" customHeight="1" x14ac:dyDescent="0.25">
      <c r="B21" s="161"/>
      <c r="C21" s="67"/>
      <c r="D21" s="67"/>
      <c r="E21" s="75" t="s">
        <v>61</v>
      </c>
      <c r="F21" s="88">
        <v>1.4999999999999999E-2</v>
      </c>
      <c r="G21" s="67"/>
      <c r="H21" s="60"/>
      <c r="I21" s="73"/>
      <c r="J21" s="67"/>
      <c r="K21" s="75" t="s">
        <v>31</v>
      </c>
      <c r="L21" s="78">
        <f>IFERROR(IF(ISNUMBER(F30),F30, IF(ISNUMBER(F29),(F29-L20)/F11,"")),"")</f>
        <v>0.01</v>
      </c>
      <c r="M21" s="67"/>
      <c r="N21" s="59"/>
      <c r="O21" s="165"/>
    </row>
    <row r="22" spans="2:15" ht="20.100000000000001" customHeight="1" x14ac:dyDescent="0.25">
      <c r="B22" s="161"/>
      <c r="C22" s="67"/>
      <c r="D22" s="67"/>
      <c r="E22" s="75" t="s">
        <v>151</v>
      </c>
      <c r="F22" s="88"/>
      <c r="G22" s="67"/>
      <c r="H22" s="60"/>
      <c r="I22" s="73"/>
      <c r="J22" s="67"/>
      <c r="K22" s="75" t="s">
        <v>79</v>
      </c>
      <c r="L22" s="77">
        <f>IFERROR(IF(ISNUMBER(F29),F29,(L21*F11)+L20),"")</f>
        <v>240</v>
      </c>
      <c r="M22" s="67"/>
      <c r="N22" s="59"/>
      <c r="O22" s="165"/>
    </row>
    <row r="23" spans="2:15" ht="20.100000000000001" customHeight="1" x14ac:dyDescent="0.25">
      <c r="B23" s="161"/>
      <c r="C23" s="67"/>
      <c r="D23" s="67"/>
      <c r="E23" s="75" t="s">
        <v>62</v>
      </c>
      <c r="F23" s="88"/>
      <c r="G23" s="67"/>
      <c r="H23" s="60"/>
      <c r="I23" s="73"/>
      <c r="J23" s="67"/>
      <c r="K23" s="205" t="str">
        <f>"Cost per subscrypton (" &amp; currency &amp; ")"</f>
        <v>Cost per subscrypton ($)</v>
      </c>
      <c r="L23" s="76">
        <f>IFERROR(SUM(EmailCost)/L22,"")</f>
        <v>5.833333333333333</v>
      </c>
      <c r="M23" s="67"/>
      <c r="N23" s="59"/>
      <c r="O23" s="165"/>
    </row>
    <row r="24" spans="2:15" ht="20.100000000000001" customHeight="1" x14ac:dyDescent="0.25">
      <c r="B24" s="161"/>
      <c r="C24" s="67"/>
      <c r="D24" s="67"/>
      <c r="E24" s="75" t="s">
        <v>32</v>
      </c>
      <c r="F24" s="88">
        <v>5.0000000000000001E-4</v>
      </c>
      <c r="G24" s="67"/>
      <c r="H24" s="60" t="str">
        <f>IF(F24&gt;1%,"High rate can be harmful for your campaign.","")</f>
        <v/>
      </c>
      <c r="I24" s="73"/>
      <c r="J24" s="67"/>
      <c r="K24" s="75"/>
      <c r="L24" s="85"/>
      <c r="M24" s="67"/>
      <c r="N24" s="59"/>
      <c r="O24" s="165"/>
    </row>
    <row r="25" spans="2:15" ht="20.100000000000001" customHeight="1" x14ac:dyDescent="0.25">
      <c r="B25" s="161"/>
      <c r="C25" s="67"/>
      <c r="D25" s="81"/>
      <c r="E25" s="75" t="s">
        <v>33</v>
      </c>
      <c r="F25" s="88">
        <v>5.0000000000000001E-3</v>
      </c>
      <c r="G25" s="67"/>
      <c r="H25" s="60"/>
      <c r="I25" s="73"/>
      <c r="J25" s="67"/>
      <c r="K25" s="75" t="s">
        <v>59</v>
      </c>
      <c r="L25" s="101">
        <f>IFERROR(IF(ISNUMBER(F31),F31*F11,""),"")</f>
        <v>600</v>
      </c>
      <c r="M25" s="67"/>
      <c r="N25" s="59"/>
      <c r="O25" s="165"/>
    </row>
    <row r="26" spans="2:15" ht="20.100000000000001" customHeight="1" x14ac:dyDescent="0.25">
      <c r="B26" s="161"/>
      <c r="C26" s="67"/>
      <c r="D26" s="81"/>
      <c r="E26" s="75" t="s">
        <v>34</v>
      </c>
      <c r="F26" s="88">
        <v>0.01</v>
      </c>
      <c r="G26" s="67"/>
      <c r="H26" s="60"/>
      <c r="I26" s="73"/>
      <c r="J26" s="67"/>
      <c r="K26" s="205" t="str">
        <f>"Cost per conversion (CPA) (" &amp; currency &amp; ")"</f>
        <v>Cost per conversion (CPA) ($)</v>
      </c>
      <c r="L26" s="76">
        <f>IFERROR(SUM(EmailCost)/L25,"")</f>
        <v>2.3333333333333335</v>
      </c>
      <c r="M26" s="67"/>
      <c r="N26" s="59"/>
      <c r="O26" s="165"/>
    </row>
    <row r="27" spans="2:15" ht="20.100000000000001" customHeight="1" x14ac:dyDescent="0.25">
      <c r="B27" s="161"/>
      <c r="C27" s="67"/>
      <c r="D27" s="81"/>
      <c r="E27" s="208"/>
      <c r="F27" s="215"/>
      <c r="G27" s="67"/>
      <c r="H27" s="60"/>
      <c r="I27" s="73"/>
      <c r="J27" s="67"/>
      <c r="K27" s="75"/>
      <c r="L27" s="86"/>
      <c r="M27" s="67"/>
      <c r="N27" s="59"/>
      <c r="O27" s="165"/>
    </row>
    <row r="28" spans="2:15" ht="20.100000000000001" customHeight="1" x14ac:dyDescent="0.25">
      <c r="B28" s="161"/>
      <c r="C28" s="67"/>
      <c r="D28" s="81"/>
      <c r="E28" s="75" t="s">
        <v>30</v>
      </c>
      <c r="F28" s="88">
        <v>2E-3</v>
      </c>
      <c r="G28" s="67"/>
      <c r="H28" s="60" t="str">
        <f>IF(ISNUMBER(F28),"","← Important to calculate growgth rate.")</f>
        <v/>
      </c>
      <c r="I28" s="73"/>
      <c r="J28" s="67"/>
      <c r="K28" s="75" t="s">
        <v>101</v>
      </c>
      <c r="L28" s="82">
        <f>IFERROR(F32*F11,"")</f>
        <v>200</v>
      </c>
      <c r="M28" s="67"/>
      <c r="N28" s="59"/>
      <c r="O28" s="165"/>
    </row>
    <row r="29" spans="2:15" ht="20.100000000000001" customHeight="1" x14ac:dyDescent="0.25">
      <c r="B29" s="161"/>
      <c r="C29" s="67"/>
      <c r="D29" s="81"/>
      <c r="E29" s="75" t="s">
        <v>79</v>
      </c>
      <c r="F29" s="87"/>
      <c r="G29" s="67"/>
      <c r="H29" s="60" t="str">
        <f>IF(OR(AND(ISNUMBER(F30),ISNUMBER(F29)=FALSE),AND(ISNUMBER(F30)=FALSE,ISNUMBER(F29))),"","← Fill out only one: GR or Subscribers (#).")</f>
        <v/>
      </c>
      <c r="I29" s="73"/>
      <c r="J29" s="67"/>
      <c r="K29" s="205" t="str">
        <f>"Cost per sale (" &amp; currency &amp; ")"</f>
        <v>Cost per sale ($)</v>
      </c>
      <c r="L29" s="76">
        <f>IFERROR(SUM(EmailCost)/L28,"")</f>
        <v>7</v>
      </c>
      <c r="M29" s="67"/>
      <c r="N29" s="59"/>
      <c r="O29" s="165"/>
    </row>
    <row r="30" spans="2:15" ht="20.100000000000001" customHeight="1" x14ac:dyDescent="0.25">
      <c r="B30" s="161"/>
      <c r="C30" s="67"/>
      <c r="D30" s="81"/>
      <c r="E30" s="75" t="s">
        <v>31</v>
      </c>
      <c r="F30" s="88">
        <v>0.01</v>
      </c>
      <c r="G30" s="67"/>
      <c r="H30" s="60" t="str">
        <f>IF(OR(AND(ISNUMBER(F30),ISNUMBER(F29)=FALSE),AND(ISNUMBER(F30)=FALSE,ISNUMBER(F29))),"","← Fill out only one: GR or Subscribers (#).")</f>
        <v/>
      </c>
      <c r="I30" s="73"/>
      <c r="J30" s="67"/>
      <c r="K30" s="205" t="str">
        <f>"Projected Sales (" &amp; currency &amp; ")"</f>
        <v>Projected Sales ($)</v>
      </c>
      <c r="L30" s="76">
        <f>IFERROR(L28*F34,"")</f>
        <v>3000</v>
      </c>
      <c r="M30" s="67"/>
      <c r="N30" s="59"/>
      <c r="O30" s="165"/>
    </row>
    <row r="31" spans="2:15" ht="20.100000000000001" customHeight="1" x14ac:dyDescent="0.25">
      <c r="B31" s="161"/>
      <c r="C31" s="67"/>
      <c r="D31" s="81"/>
      <c r="E31" s="75" t="s">
        <v>11</v>
      </c>
      <c r="F31" s="88">
        <v>0.03</v>
      </c>
      <c r="G31" s="67"/>
      <c r="H31" s="60"/>
      <c r="I31" s="73"/>
      <c r="J31" s="67"/>
      <c r="K31" s="205" t="str">
        <f>"Total LTV of gained customers  (" &amp; currency &amp; ")"</f>
        <v>Total LTV of gained customers  ($)</v>
      </c>
      <c r="L31" s="76">
        <f>IFERROR(L28*F35,"")</f>
        <v>16000</v>
      </c>
      <c r="M31" s="67"/>
      <c r="N31" s="60" t="str">
        <f>IF(ISNUMBER(L31),"Not included in ROI results.","")</f>
        <v>Not included in ROI results.</v>
      </c>
      <c r="O31" s="165"/>
    </row>
    <row r="32" spans="2:15" ht="20.100000000000001" customHeight="1" x14ac:dyDescent="0.25">
      <c r="B32" s="161"/>
      <c r="C32" s="67"/>
      <c r="D32" s="81"/>
      <c r="E32" s="75" t="s">
        <v>10</v>
      </c>
      <c r="F32" s="88">
        <v>0.01</v>
      </c>
      <c r="G32" s="67"/>
      <c r="H32" s="60" t="str">
        <f>IF(ISNUMBER(F32),"","← Don't leave it empty.")</f>
        <v/>
      </c>
      <c r="I32" s="73"/>
      <c r="J32" s="67"/>
      <c r="K32" s="75"/>
      <c r="L32" s="86"/>
      <c r="M32" s="67"/>
      <c r="N32" s="59"/>
      <c r="O32" s="165"/>
    </row>
    <row r="33" spans="2:15" ht="20.100000000000001" customHeight="1" x14ac:dyDescent="0.25">
      <c r="B33" s="161"/>
      <c r="C33" s="67"/>
      <c r="D33" s="81"/>
      <c r="E33" s="208"/>
      <c r="F33" s="215"/>
      <c r="G33" s="67"/>
      <c r="H33" s="60"/>
      <c r="I33" s="73"/>
      <c r="J33" s="67"/>
      <c r="K33" s="75" t="s">
        <v>22</v>
      </c>
      <c r="L33" s="78">
        <f>IFERROR((L30-SUM(EmailCost))/SUM(EmailCost),"")</f>
        <v>1.1428571428571428</v>
      </c>
      <c r="M33" s="67"/>
      <c r="N33" s="59"/>
      <c r="O33" s="165"/>
    </row>
    <row r="34" spans="2:15" ht="20.100000000000001" customHeight="1" x14ac:dyDescent="0.25">
      <c r="B34" s="161"/>
      <c r="C34" s="67"/>
      <c r="D34" s="81"/>
      <c r="E34" s="205" t="str">
        <f>"Average Order Value (" &amp; currency &amp; ")"</f>
        <v>Average Order Value ($)</v>
      </c>
      <c r="F34" s="84">
        <v>15</v>
      </c>
      <c r="G34" s="67"/>
      <c r="H34" s="60" t="str">
        <f>IF(ISNUMBER(F34),"","← Don't leave it empty.")</f>
        <v/>
      </c>
      <c r="I34" s="73"/>
      <c r="J34" s="67"/>
      <c r="K34" s="75" t="s">
        <v>21</v>
      </c>
      <c r="L34" s="78">
        <f>IFERROR((L30)/SUM(EmailCost),"")</f>
        <v>2.1428571428571428</v>
      </c>
      <c r="M34" s="67"/>
      <c r="N34" s="60" t="str">
        <f>IF(LEN(L34)&gt;0,IF((L30)/SUM(EmailCost)&gt;1,"Per each 1" &amp; currency &amp; " spend, you earn " &amp; ROUND((L30)/SUM(EmailCost),2) &amp; currency,"Your results are below investment."),"")</f>
        <v>Per each 1$ spend, you earn 2,14$</v>
      </c>
      <c r="O34" s="165"/>
    </row>
    <row r="35" spans="2:15" ht="20.100000000000001" customHeight="1" x14ac:dyDescent="0.25">
      <c r="B35" s="161"/>
      <c r="C35" s="67"/>
      <c r="D35" s="81"/>
      <c r="E35" s="205" t="str">
        <f>"Average Lifetime value (LTV) (" &amp; currency &amp; ")"</f>
        <v>Average Lifetime value (LTV) ($)</v>
      </c>
      <c r="F35" s="84">
        <v>80</v>
      </c>
      <c r="G35" s="67"/>
      <c r="H35" s="60"/>
      <c r="I35" s="73"/>
      <c r="J35" s="67"/>
      <c r="K35" s="205" t="str">
        <f>"Break even sale value (" &amp; currency &amp; ")"</f>
        <v>Break even sale value ($)</v>
      </c>
      <c r="L35" s="76">
        <f>IFERROR(SUM(EmailCost)/L28,"")</f>
        <v>7</v>
      </c>
      <c r="M35" s="67"/>
      <c r="N35" s="60" t="str">
        <f>IF(ISNUMBER(L35),"Minimum sale value for positive ROI","")</f>
        <v>Minimum sale value for positive ROI</v>
      </c>
      <c r="O35" s="165"/>
    </row>
    <row r="36" spans="2:15" ht="20.100000000000001" customHeight="1" x14ac:dyDescent="0.25">
      <c r="B36" s="161"/>
      <c r="C36" s="67"/>
      <c r="D36" s="81"/>
      <c r="E36" s="216"/>
      <c r="F36" s="217"/>
      <c r="G36" s="64"/>
      <c r="H36" s="61"/>
      <c r="I36" s="73"/>
      <c r="J36" s="67"/>
      <c r="K36" s="75" t="s">
        <v>9</v>
      </c>
      <c r="L36" s="77">
        <f>IFERROR(SUM(EmailCost)/F34,"")</f>
        <v>93.333333333333329</v>
      </c>
      <c r="M36" s="67"/>
      <c r="N36" s="60" t="str">
        <f>IF(ISNUMBER(L36),"Minimum buyers # for positive ROI","")</f>
        <v>Minimum buyers # for positive ROI</v>
      </c>
      <c r="O36" s="165"/>
    </row>
    <row r="37" spans="2:15" ht="20.100000000000001" customHeight="1" x14ac:dyDescent="0.25">
      <c r="B37" s="161"/>
      <c r="C37" s="67"/>
      <c r="D37" s="81"/>
      <c r="E37" s="206" t="s">
        <v>148</v>
      </c>
      <c r="F37" s="90"/>
      <c r="G37" s="64"/>
      <c r="H37" s="61"/>
      <c r="I37" s="73"/>
      <c r="J37" s="67"/>
      <c r="K37" s="83"/>
      <c r="L37" s="64"/>
      <c r="M37" s="64"/>
      <c r="N37" s="61"/>
      <c r="O37" s="165"/>
    </row>
    <row r="38" spans="2:15" ht="20.100000000000001" customHeight="1" x14ac:dyDescent="0.25">
      <c r="B38" s="161"/>
      <c r="C38" s="67"/>
      <c r="D38" s="81"/>
      <c r="E38" s="206" t="s">
        <v>148</v>
      </c>
      <c r="F38" s="90"/>
      <c r="G38" s="64"/>
      <c r="H38" s="61"/>
      <c r="I38" s="73"/>
      <c r="J38" s="67"/>
      <c r="K38" s="206" t="s">
        <v>147</v>
      </c>
      <c r="L38" s="64"/>
      <c r="M38" s="64"/>
      <c r="N38" s="61"/>
      <c r="O38" s="165"/>
    </row>
    <row r="39" spans="2:15" ht="20.100000000000001" customHeight="1" x14ac:dyDescent="0.25">
      <c r="B39" s="161"/>
      <c r="C39" s="67"/>
      <c r="D39" s="81"/>
      <c r="E39" s="206" t="s">
        <v>148</v>
      </c>
      <c r="F39" s="90"/>
      <c r="G39" s="64"/>
      <c r="H39" s="61"/>
      <c r="I39" s="73"/>
      <c r="J39" s="67"/>
      <c r="K39" s="206" t="s">
        <v>147</v>
      </c>
      <c r="L39" s="64"/>
      <c r="M39" s="64"/>
      <c r="N39" s="61"/>
      <c r="O39" s="177"/>
    </row>
    <row r="40" spans="2:15" ht="20.100000000000001" customHeight="1" x14ac:dyDescent="0.25">
      <c r="B40" s="161"/>
      <c r="C40" s="67"/>
      <c r="D40" s="81"/>
      <c r="E40" s="206" t="s">
        <v>148</v>
      </c>
      <c r="F40" s="90"/>
      <c r="G40" s="64"/>
      <c r="H40" s="61"/>
      <c r="I40" s="73"/>
      <c r="J40" s="67"/>
      <c r="K40" s="206" t="s">
        <v>147</v>
      </c>
      <c r="L40" s="64"/>
      <c r="M40" s="64"/>
      <c r="N40" s="61"/>
      <c r="O40" s="177"/>
    </row>
    <row r="41" spans="2:15" ht="20.100000000000001" customHeight="1" x14ac:dyDescent="0.25">
      <c r="B41" s="161"/>
      <c r="C41" s="67"/>
      <c r="D41" s="81"/>
      <c r="E41" s="206" t="s">
        <v>148</v>
      </c>
      <c r="F41" s="90"/>
      <c r="G41" s="64"/>
      <c r="H41" s="61"/>
      <c r="I41" s="73"/>
      <c r="J41" s="67"/>
      <c r="K41" s="206" t="s">
        <v>147</v>
      </c>
      <c r="L41" s="64"/>
      <c r="M41" s="64"/>
      <c r="N41" s="61"/>
      <c r="O41" s="177"/>
    </row>
    <row r="42" spans="2:15" ht="20.100000000000001" customHeight="1" x14ac:dyDescent="0.25">
      <c r="B42" s="161"/>
      <c r="C42" s="67"/>
      <c r="D42" s="81"/>
      <c r="E42" s="206" t="s">
        <v>148</v>
      </c>
      <c r="F42" s="90"/>
      <c r="G42" s="64"/>
      <c r="H42" s="61"/>
      <c r="I42" s="73"/>
      <c r="J42" s="67"/>
      <c r="K42" s="206" t="s">
        <v>147</v>
      </c>
      <c r="L42" s="64"/>
      <c r="M42" s="64"/>
      <c r="N42" s="61"/>
      <c r="O42" s="177"/>
    </row>
    <row r="43" spans="2:15" ht="20.100000000000001" customHeight="1" x14ac:dyDescent="0.25">
      <c r="B43" s="161"/>
      <c r="C43" s="67"/>
      <c r="D43" s="81"/>
      <c r="E43" s="206" t="s">
        <v>148</v>
      </c>
      <c r="F43" s="90"/>
      <c r="G43" s="64"/>
      <c r="H43" s="61"/>
      <c r="I43" s="73"/>
      <c r="J43" s="67"/>
      <c r="K43" s="206" t="s">
        <v>147</v>
      </c>
      <c r="L43" s="64"/>
      <c r="M43" s="64"/>
      <c r="N43" s="61"/>
      <c r="O43" s="177"/>
    </row>
    <row r="44" spans="2:15" ht="20.100000000000001" customHeight="1" x14ac:dyDescent="0.25">
      <c r="B44" s="161"/>
      <c r="C44" s="67"/>
      <c r="D44" s="81"/>
      <c r="E44" s="206" t="s">
        <v>148</v>
      </c>
      <c r="F44" s="90"/>
      <c r="G44" s="64"/>
      <c r="H44" s="61"/>
      <c r="I44" s="73"/>
      <c r="J44" s="67"/>
      <c r="K44" s="206" t="s">
        <v>147</v>
      </c>
      <c r="L44" s="64"/>
      <c r="M44" s="64"/>
      <c r="N44" s="61"/>
      <c r="O44" s="177"/>
    </row>
    <row r="45" spans="2:15" ht="20.100000000000001" customHeight="1" x14ac:dyDescent="0.25">
      <c r="B45" s="161"/>
      <c r="C45" s="67"/>
      <c r="D45" s="81"/>
      <c r="E45" s="206" t="s">
        <v>148</v>
      </c>
      <c r="F45" s="90"/>
      <c r="G45" s="64"/>
      <c r="H45" s="61"/>
      <c r="I45" s="73"/>
      <c r="J45" s="67"/>
      <c r="K45" s="206" t="s">
        <v>147</v>
      </c>
      <c r="L45" s="64"/>
      <c r="M45" s="64"/>
      <c r="N45" s="61"/>
      <c r="O45" s="177"/>
    </row>
    <row r="46" spans="2:15" ht="20.100000000000001" customHeight="1" x14ac:dyDescent="0.25">
      <c r="B46" s="161"/>
      <c r="C46" s="67"/>
      <c r="D46" s="81"/>
      <c r="E46" s="206" t="s">
        <v>148</v>
      </c>
      <c r="F46" s="90"/>
      <c r="G46" s="64"/>
      <c r="H46" s="61"/>
      <c r="I46" s="73"/>
      <c r="J46" s="67"/>
      <c r="K46" s="206" t="s">
        <v>147</v>
      </c>
      <c r="L46" s="64"/>
      <c r="M46" s="64"/>
      <c r="N46" s="61"/>
      <c r="O46" s="177"/>
    </row>
    <row r="47" spans="2:15" ht="9.9499999999999993" customHeight="1" x14ac:dyDescent="0.25">
      <c r="B47" s="162"/>
      <c r="C47" s="178"/>
      <c r="D47" s="172"/>
      <c r="E47" s="172"/>
      <c r="F47" s="172"/>
      <c r="G47" s="172"/>
      <c r="H47" s="173"/>
      <c r="I47" s="171"/>
      <c r="J47" s="172"/>
      <c r="K47" s="185"/>
      <c r="L47" s="172"/>
      <c r="M47" s="172"/>
      <c r="N47" s="173"/>
      <c r="O47" s="181"/>
    </row>
    <row r="48" spans="2:15" ht="6.95" customHeight="1" x14ac:dyDescent="0.25">
      <c r="B48" s="23"/>
      <c r="C48" s="23"/>
      <c r="D48" s="23"/>
      <c r="E48" s="23"/>
      <c r="F48" s="23"/>
      <c r="G48" s="23"/>
      <c r="H48" s="62"/>
      <c r="I48" s="23"/>
      <c r="J48" s="23"/>
      <c r="L48" s="7"/>
      <c r="M48" s="23"/>
      <c r="N48" s="65"/>
      <c r="O48" s="23"/>
    </row>
    <row r="49" spans="2:15" ht="23.1" customHeight="1" x14ac:dyDescent="0.25">
      <c r="B49" s="121"/>
      <c r="C49" s="122"/>
      <c r="D49" s="123"/>
      <c r="E49" s="124"/>
      <c r="F49" s="124"/>
      <c r="G49" s="121"/>
      <c r="H49" s="134"/>
      <c r="I49" s="124"/>
      <c r="J49" s="124"/>
      <c r="K49" s="124"/>
      <c r="L49" s="132"/>
      <c r="M49" s="124"/>
      <c r="N49" s="134"/>
      <c r="O49" s="124"/>
    </row>
  </sheetData>
  <sheetProtection algorithmName="SHA-512" hashValue="nV3ZVsBreXVCvSaYJA8vOmK3pWcO7OscmrpSM28jzF8Th26HSve5SyUhfOW9coXvQsYpxDWDD0a44LSDzqMc0A==" saltValue="NjvzWtVt6/eDZGwd3YRsNA==" spinCount="100000" sheet="1" objects="1" scenarios="1"/>
  <conditionalFormatting sqref="E37:E46 K38:K46">
    <cfRule type="expression" dxfId="43" priority="17">
      <formula>OR(E37="Input …",E37="Output …")</formula>
    </cfRule>
  </conditionalFormatting>
  <conditionalFormatting sqref="F7:F46">
    <cfRule type="expression" dxfId="42" priority="13">
      <formula>LEN($E7)&gt;0</formula>
    </cfRule>
  </conditionalFormatting>
  <conditionalFormatting sqref="E7:F46">
    <cfRule type="expression" dxfId="41" priority="12">
      <formula>LEN($E7)&gt;0</formula>
    </cfRule>
  </conditionalFormatting>
  <conditionalFormatting sqref="L7:L46">
    <cfRule type="expression" dxfId="40" priority="4">
      <formula>LEN($K7)&gt;0</formula>
    </cfRule>
  </conditionalFormatting>
  <conditionalFormatting sqref="K7:L46">
    <cfRule type="expression" dxfId="39" priority="3">
      <formula>LEN($K7)&gt;0</formula>
    </cfRule>
  </conditionalFormatting>
  <conditionalFormatting sqref="J7:J46">
    <cfRule type="expression" dxfId="38" priority="2">
      <formula>LEN($K7)&gt;0</formula>
    </cfRule>
  </conditionalFormatting>
  <conditionalFormatting sqref="D7:D46">
    <cfRule type="expression" dxfId="37" priority="1">
      <formula>LEN($E7)&gt;0</formula>
    </cfRule>
  </conditionalFormatting>
  <dataValidations count="45">
    <dataValidation allowBlank="1" showInputMessage="1" showErrorMessage="1" promptTitle="ROI - expectations" prompt="&lt;0% - lost investment_x000a_&gt;0% - not loosing_x000a_&gt;350% - good marketing campaign _x000a_" sqref="K33" xr:uid="{A1588282-7BAA-4727-8BB3-1E50FA60CE41}"/>
    <dataValidation allowBlank="1" showInputMessage="1" showErrorMessage="1" promptTitle="ROAS - expectations" prompt="&lt;100% - bad_x000a_100% - 400% - not so well_x000a_&gt;400% - well invested money" sqref="K34" xr:uid="{DEDAF25C-1C33-47C4-BE2A-FCB21C5EB92B}"/>
    <dataValidation allowBlank="1" showInputMessage="1" showErrorMessage="1" prompt="High lifetime value of a customer can show you if it's worth to have a higher CPC even if it doesn't seem when compare to average close value." sqref="E35" xr:uid="{F29F2941-19A6-4097-BCF1-F1F7ECE88173}"/>
    <dataValidation allowBlank="1" showInputMessage="1" showErrorMessage="1" prompt="Conversions number divided by all sent emails." sqref="F31" xr:uid="{99552ADB-4DAF-4036-B029-1227208ACDDC}"/>
    <dataValidation allowBlank="1" showInputMessage="1" showErrorMessage="1" prompt="For example labor cost." sqref="E9" xr:uid="{C5B5397B-FAE5-4045-9443-07984BC14C8D}"/>
    <dataValidation allowBlank="1" showInputMessage="1" showErrorMessage="1" prompt="Total number of bounced emails" sqref="K11" xr:uid="{5986EE85-6715-4FAD-B5F2-F8027B1BB69C}"/>
    <dataValidation allowBlank="1" showInputMessage="1" showErrorMessage="1" prompt="(%) Number of oppened emails divided by all sent emails." sqref="F12" xr:uid="{C7107B63-BCF7-4FE0-AEFE-EB711DE32BF2}"/>
    <dataValidation allowBlank="1" showInputMessage="1" showErrorMessage="1" prompt="(%) Number of clicked link in emails divided by all sent emails." sqref="F13" xr:uid="{375452BD-2473-4D55-BCE2-A14791C7D0E3}"/>
    <dataValidation allowBlank="1" showInputMessage="1" showErrorMessage="1" errorTitle="Value!" error="Value must be between 1 and 10" prompt="(%) Number of not delivered emails divided by all sent emails." sqref="F21" xr:uid="{65413B3B-A30B-4350-8A91-FF95CE12887E}"/>
    <dataValidation allowBlank="1" showInputMessage="1" showErrorMessage="1" promptTitle="For example" prompt="- Automatic reply_x000a_- Temporarily unreachable_x000a_- Avg 0,6% (0,13 - 1,28%)" sqref="E22" xr:uid="{70C6B3BA-312D-48F2-B86F-9FBFD7B88F73}"/>
    <dataValidation allowBlank="1" showInputMessage="1" showErrorMessage="1" promptTitle="For example" prompt="- Wrong email adress_x000a_- Avg 0,4% (0,07- 0,86%)" sqref="E23" xr:uid="{2A2BDDCA-F0E3-42F2-859E-44E05D96A924}"/>
    <dataValidation allowBlank="1" showInputMessage="1" showErrorMessage="1" prompt="Revenue per email" sqref="E34" xr:uid="{979BB0F3-689D-418D-9C54-3CB0A4440DAD}"/>
    <dataValidation allowBlank="1" showInputMessage="1" showErrorMessage="1" promptTitle="Open Rate" prompt="Average 21,4%_x000a_Between 15 and 29%" sqref="E12" xr:uid="{42C10954-4893-4FDC-B9BA-A3F5C33DE547}"/>
    <dataValidation allowBlank="1" showInputMessage="1" showErrorMessage="1" promptTitle="CTR" prompt="Average 2,6%_x000a_Between 1,3 and 5,02%" sqref="E13" xr:uid="{4DC20737-90C3-492E-861F-8BE3745A143A}"/>
    <dataValidation allowBlank="1" showInputMessage="1" showErrorMessage="1" promptTitle="Total Bounce rate" prompt="Average 1%_x000a_Between 0,2 and 2,2%" sqref="E21" xr:uid="{39BA5244-F4CA-43EE-839A-432D8F72A9FA}"/>
    <dataValidation allowBlank="1" showInputMessage="1" showErrorMessage="1" prompt="Average 0,26%_x000a_Between 0,1 and 0,4%" sqref="E28" xr:uid="{3A15D620-F126-4870-80D6-6DD175FB1831}"/>
    <dataValidation allowBlank="1" showInputMessage="1" showErrorMessage="1" prompt="Be careful to not pass beyond 1%" sqref="E24" xr:uid="{EC799EEB-8F59-46CA-B638-19EB652C0518}"/>
    <dataValidation allowBlank="1" showInputMessage="1" showErrorMessage="1" prompt="Optional" sqref="F14:F19 F35 F8:F9" xr:uid="{A500BC70-27A0-4144-848D-A3CCB9400B93}"/>
    <dataValidation allowBlank="1" showInputMessage="1" showErrorMessage="1" prompt="You can compare results by domain, to see if there might be some problem with delivery depending on domain." sqref="E16 E18" xr:uid="{6AA4B9DE-AD31-4267-93BA-A6F912D05167}"/>
    <dataValidation allowBlank="1" showInputMessage="1" showErrorMessage="1" errorTitle="Value!" error="Value must be between 1 and 10" sqref="F28:F30 F24" xr:uid="{DE570D4E-0C79-430C-8D3B-FB4BDE972A87}"/>
    <dataValidation allowBlank="1" showInputMessage="1" showErrorMessage="1" prompt="Sharing on social media platforms." sqref="E26" xr:uid="{072F4A25-6A86-4898-8D47-3FBE258254E8}"/>
    <dataValidation allowBlank="1" showInputMessage="1" showErrorMessage="1" errorTitle="Value!" error="Value must be between 1 and 10" prompt="Optional" sqref="F25:F26 F22:F23" xr:uid="{FC7D9051-8D05-4AFC-B3E7-8109DC7CBB13}"/>
    <dataValidation allowBlank="1" showInputMessage="1" showErrorMessage="1" prompt="Fill New Subscribers or List Growght Rate. The other will be calculated." sqref="E29" xr:uid="{287DED41-3965-4F70-9C8F-9D15C7F68E95}"/>
    <dataValidation allowBlank="1" showInputMessage="1" showErrorMessage="1" prompt="(1000 * Total Cost ) divided by Sent emails #" sqref="L7" xr:uid="{74833B64-64EB-490A-985C-6D37F61836FF}"/>
    <dataValidation allowBlank="1" showInputMessage="1" showErrorMessage="1" prompt="Total Clicks on the Ad link" sqref="K8" xr:uid="{D2BE47A8-8475-4902-B3DF-097B7113C50A}"/>
    <dataValidation allowBlank="1" showInputMessage="1" showErrorMessage="1" prompt="Total cost / Average Order Value" sqref="L36" xr:uid="{2F6CE0EE-B921-4429-8C8A-C7231C94C4C6}"/>
    <dataValidation allowBlank="1" showInputMessage="1" showErrorMessage="1" prompt="Total cost / Buyers" sqref="L35 L29" xr:uid="{38A7C02B-3E5A-47D1-8D76-EC548890528E}"/>
    <dataValidation allowBlank="1" showInputMessage="1" showErrorMessage="1" prompt="Projected Sales / Total cost" sqref="L34" xr:uid="{BFB09A36-6032-41A9-B78B-05E9D7AFAE62}"/>
    <dataValidation allowBlank="1" showInputMessage="1" showErrorMessage="1" prompt="(Projected Sales - Total cost) / Total cost" sqref="L33" xr:uid="{E2A0C679-5B08-457B-B59F-AE7D5B24D1F2}"/>
    <dataValidation allowBlank="1" showInputMessage="1" showErrorMessage="1" prompt="(New subscribers - unsubscribe number) / Total number of email addresses" sqref="L21" xr:uid="{BDC786D8-8552-4E30-920A-FAC3C17A7EA7}"/>
    <dataValidation allowBlank="1" showInputMessage="1" showErrorMessage="1" prompt="Total cost / New subscribers" sqref="L23" xr:uid="{CE33D22F-3C56-4BA1-892E-773F1D74E045}"/>
    <dataValidation allowBlank="1" showInputMessage="1" showErrorMessage="1" prompt="Conversion rate * Sent Emails" sqref="L25" xr:uid="{4D4EA8FF-912C-4A02-9789-4A9BF9008096}"/>
    <dataValidation allowBlank="1" showInputMessage="1" showErrorMessage="1" prompt="Total cost / Conversions" sqref="L26" xr:uid="{731B2DB9-EF7F-40F4-9363-AB4B680BFDAF}"/>
    <dataValidation allowBlank="1" showInputMessage="1" showErrorMessage="1" prompt="Sales rate * Sent Emails" sqref="L28" xr:uid="{0651E94D-D7F3-45AD-AC3D-E26ACC6BC2DE}"/>
    <dataValidation allowBlank="1" showInputMessage="1" showErrorMessage="1" prompt="Buyers * Average Order Value" sqref="L30" xr:uid="{788D8583-0E62-4E65-B011-DF7DDD3AFEDA}"/>
    <dataValidation allowBlank="1" showInputMessage="1" showErrorMessage="1" prompt="Buyers * LTV" sqref="L31" xr:uid="{0AB46B51-731A-4C9D-94E7-855F3504AE48}"/>
    <dataValidation allowBlank="1" showInputMessage="1" showErrorMessage="1" prompt="Total cost / Clicks" sqref="L9" xr:uid="{7B4C0D27-D941-4289-B05F-C53E79124F48}"/>
    <dataValidation allowBlank="1" showInputMessage="1" showErrorMessage="1" prompt="Bounce rate * Sent emails" sqref="L11" xr:uid="{92C2334B-9459-4691-937F-DC53D94CA2B0}"/>
    <dataValidation allowBlank="1" showInputMessage="1" showErrorMessage="1" prompt="Sent Emails - Not delivered" sqref="L12" xr:uid="{9B9828F1-0A84-4398-8DF4-3E7260754AE6}"/>
    <dataValidation allowBlank="1" showInputMessage="1" showErrorMessage="1" prompt="Forward rate * Sent emails" sqref="L15" xr:uid="{531B40D9-BB36-49AB-BCFF-ECDF5BC673B2}"/>
    <dataValidation allowBlank="1" showInputMessage="1" showErrorMessage="1" prompt="Total cost / Forwards #" sqref="L16" xr:uid="{16CA3CEC-45B5-4EFB-AFCD-02DDCA8F1936}"/>
    <dataValidation allowBlank="1" showInputMessage="1" showErrorMessage="1" prompt="Share rate * Emails sent" sqref="L17" xr:uid="{A8893710-CFC2-4264-9A4C-F9D6C67512D6}"/>
    <dataValidation allowBlank="1" showInputMessage="1" showErrorMessage="1" prompt="Total cost / Emails sent" sqref="L18" xr:uid="{B3097819-987E-48C3-BC8B-0F86A000DC95}"/>
    <dataValidation allowBlank="1" showInputMessage="1" showErrorMessage="1" prompt="Unsusbscribe rate * Sent emails" sqref="L20" xr:uid="{1F6BC4B9-D66C-4622-88CB-A1F47E44F927}"/>
    <dataValidation allowBlank="1" showInputMessage="1" showErrorMessage="1" prompt="Sales number divided by all sent emails." sqref="F32" xr:uid="{83541E1D-837C-4D5C-9E33-7068A0C30D26}"/>
  </dataValidations>
  <printOptions horizontalCentered="1"/>
  <pageMargins left="0.31496062992125984" right="0.31496062992125984" top="0.31496062992125984" bottom="0.31496062992125984" header="0.31496062992125984" footer="0.31496062992125984"/>
  <pageSetup scale="6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2" id="{CE1BFF61-7365-41D1-AD0B-33121BC6B810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3.5</xm:f>
              </x14:cfvo>
            </x14:iconSet>
          </x14:cfRule>
          <xm:sqref>L33</xm:sqref>
        </x14:conditionalFormatting>
        <x14:conditionalFormatting xmlns:xm="http://schemas.microsoft.com/office/excel/2006/main">
          <x14:cfRule type="iconSet" priority="19" id="{EA722FC6-18EB-4162-9902-E159DEC4D2EB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4</xm:f>
              </x14:cfvo>
            </x14:iconSet>
          </x14:cfRule>
          <xm:sqref>L34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83D18-32E8-4F1B-A903-D9476FBAAFAB}">
  <sheetPr codeName="Sheet12">
    <pageSetUpPr fitToPage="1"/>
  </sheetPr>
  <dimension ref="B1:O49"/>
  <sheetViews>
    <sheetView showGridLines="0" showRowColHeaders="0" workbookViewId="0">
      <pane ySplit="5" topLeftCell="A6" activePane="bottomLeft" state="frozen"/>
      <selection activeCell="A6" sqref="A6"/>
      <selection pane="bottomLeft" activeCell="A6" sqref="A6"/>
    </sheetView>
  </sheetViews>
  <sheetFormatPr defaultRowHeight="20.100000000000001" customHeight="1" x14ac:dyDescent="0.25"/>
  <cols>
    <col min="1" max="1" width="3.7109375" style="16" customWidth="1"/>
    <col min="2" max="2" width="12.7109375" style="16" customWidth="1"/>
    <col min="3" max="4" width="1.7109375" style="16" customWidth="1"/>
    <col min="5" max="5" width="35.7109375" style="16" customWidth="1"/>
    <col min="6" max="6" width="12.7109375" style="16" customWidth="1"/>
    <col min="7" max="7" width="1.7109375" style="16" customWidth="1"/>
    <col min="8" max="8" width="30.7109375" style="26" customWidth="1"/>
    <col min="9" max="9" width="3.7109375" style="16" customWidth="1"/>
    <col min="10" max="10" width="1.7109375" style="16" customWidth="1"/>
    <col min="11" max="11" width="35.7109375" style="16" customWidth="1"/>
    <col min="12" max="12" width="12.7109375" style="16" customWidth="1"/>
    <col min="13" max="13" width="1.7109375" style="22" customWidth="1"/>
    <col min="14" max="14" width="30.7109375" style="16" customWidth="1"/>
    <col min="15" max="15" width="1.7109375" style="16" customWidth="1"/>
    <col min="16" max="16384" width="9.140625" style="16"/>
  </cols>
  <sheetData>
    <row r="1" spans="2:15" s="1" customFormat="1" ht="6.75" customHeight="1" x14ac:dyDescent="0.25">
      <c r="F1" s="3"/>
      <c r="M1" s="17"/>
    </row>
    <row r="2" spans="2:15" s="137" customFormat="1" ht="20.100000000000001" customHeight="1" x14ac:dyDescent="0.25">
      <c r="B2" s="149"/>
      <c r="C2" s="150" t="s">
        <v>150</v>
      </c>
      <c r="D2" s="151"/>
      <c r="E2" s="152"/>
      <c r="F2" s="152"/>
      <c r="G2" s="152"/>
      <c r="H2" s="152"/>
      <c r="I2" s="152"/>
      <c r="J2" s="153"/>
      <c r="K2" s="152"/>
      <c r="L2" s="152"/>
      <c r="M2" s="152"/>
      <c r="N2" s="152"/>
      <c r="O2" s="152"/>
    </row>
    <row r="3" spans="2:15" s="138" customFormat="1" ht="24" customHeight="1" x14ac:dyDescent="0.25">
      <c r="B3" s="45"/>
      <c r="C3" s="145" t="s">
        <v>130</v>
      </c>
      <c r="D3" s="146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</row>
    <row r="4" spans="2:15" ht="9.9499999999999993" customHeight="1" x14ac:dyDescent="0.25">
      <c r="B4" s="42"/>
      <c r="C4" s="18"/>
      <c r="D4" s="18"/>
      <c r="E4" s="18"/>
      <c r="F4" s="18"/>
      <c r="G4" s="18"/>
      <c r="H4" s="52"/>
      <c r="I4" s="53"/>
      <c r="J4" s="18"/>
      <c r="K4" s="18"/>
      <c r="L4" s="18"/>
      <c r="M4" s="18"/>
      <c r="N4" s="52"/>
      <c r="O4" s="175"/>
    </row>
    <row r="5" spans="2:15" ht="30" customHeight="1" x14ac:dyDescent="0.25">
      <c r="B5" s="42"/>
      <c r="C5" s="56"/>
      <c r="D5" s="55"/>
      <c r="E5" s="105" t="s">
        <v>15</v>
      </c>
      <c r="F5" s="105"/>
      <c r="G5" s="47"/>
      <c r="H5" s="107" t="s">
        <v>63</v>
      </c>
      <c r="I5" s="49"/>
      <c r="J5" s="50"/>
      <c r="K5" s="106" t="s">
        <v>20</v>
      </c>
      <c r="L5" s="106"/>
      <c r="M5" s="48"/>
      <c r="N5" s="107" t="s">
        <v>63</v>
      </c>
      <c r="O5" s="176"/>
    </row>
    <row r="6" spans="2:15" ht="9.9499999999999993" customHeight="1" x14ac:dyDescent="0.25">
      <c r="B6" s="161"/>
      <c r="C6" s="67"/>
      <c r="D6" s="67"/>
      <c r="E6" s="67"/>
      <c r="F6" s="67"/>
      <c r="G6" s="67"/>
      <c r="H6" s="59"/>
      <c r="I6" s="73"/>
      <c r="J6" s="67"/>
      <c r="K6" s="67"/>
      <c r="L6" s="67"/>
      <c r="M6" s="67"/>
      <c r="N6" s="59"/>
      <c r="O6" s="165"/>
    </row>
    <row r="7" spans="2:15" ht="20.100000000000001" customHeight="1" x14ac:dyDescent="0.25">
      <c r="B7" s="161"/>
      <c r="C7" s="67"/>
      <c r="D7" s="67"/>
      <c r="E7" s="205" t="str">
        <f>"Ad spend; monthly (" &amp; currency &amp; ")"</f>
        <v>Ad spend; monthly ($)</v>
      </c>
      <c r="F7" s="74">
        <v>1100</v>
      </c>
      <c r="G7" s="67"/>
      <c r="H7" s="60" t="str">
        <f>IF(ISNUMBER(F7),"","← Don't leave it empty.")</f>
        <v/>
      </c>
      <c r="I7" s="73"/>
      <c r="J7" s="67"/>
      <c r="K7" s="205" t="str">
        <f>"Cost per 1000 impressions (CPM) (" &amp; currency &amp; ")"</f>
        <v>Cost per 1000 impressions (CPM) ($)</v>
      </c>
      <c r="L7" s="76">
        <f>IFERROR(SUM(InstagramCost)*1000/F12,"")</f>
        <v>15</v>
      </c>
      <c r="M7" s="67"/>
      <c r="N7" s="59"/>
      <c r="O7" s="165"/>
    </row>
    <row r="8" spans="2:15" ht="20.100000000000001" customHeight="1" x14ac:dyDescent="0.25">
      <c r="B8" s="161"/>
      <c r="C8" s="67"/>
      <c r="D8" s="67"/>
      <c r="E8" s="205" t="str">
        <f>"Ad creation cost (" &amp; currency &amp; ")"</f>
        <v>Ad creation cost ($)</v>
      </c>
      <c r="F8" s="74"/>
      <c r="G8" s="67"/>
      <c r="H8" s="60"/>
      <c r="I8" s="73"/>
      <c r="J8" s="67"/>
      <c r="K8" s="75" t="s">
        <v>44</v>
      </c>
      <c r="L8" s="78">
        <f>IFERROR(F13/F35,"")</f>
        <v>0.44207317073170732</v>
      </c>
      <c r="M8" s="67"/>
      <c r="N8" s="59"/>
      <c r="O8" s="165"/>
    </row>
    <row r="9" spans="2:15" ht="20.100000000000001" customHeight="1" x14ac:dyDescent="0.25">
      <c r="B9" s="161"/>
      <c r="C9" s="67"/>
      <c r="D9" s="67"/>
      <c r="E9" s="205" t="str">
        <f>"Other Instagram Ads tools; monthly (" &amp; currency &amp; ")"</f>
        <v>Other Instagram Ads tools; monthly ($)</v>
      </c>
      <c r="F9" s="74">
        <v>150</v>
      </c>
      <c r="G9" s="67"/>
      <c r="H9" s="60"/>
      <c r="I9" s="73"/>
      <c r="J9" s="67"/>
      <c r="K9" s="75" t="s">
        <v>36</v>
      </c>
      <c r="L9" s="78">
        <f>IFERROR(F15/F12,"")</f>
        <v>5.8900000000000001E-2</v>
      </c>
      <c r="M9" s="67"/>
      <c r="N9" s="59"/>
      <c r="O9" s="165"/>
    </row>
    <row r="10" spans="2:15" ht="20.100000000000001" customHeight="1" x14ac:dyDescent="0.25">
      <c r="B10" s="161"/>
      <c r="C10" s="67"/>
      <c r="D10" s="67"/>
      <c r="E10" s="205" t="str">
        <f>"Content cration cost (" &amp; currency &amp; ")"</f>
        <v>Content cration cost ($)</v>
      </c>
      <c r="F10" s="74">
        <v>250</v>
      </c>
      <c r="G10" s="67"/>
      <c r="H10" s="60"/>
      <c r="I10" s="73"/>
      <c r="J10" s="67"/>
      <c r="K10" s="205" t="str">
        <f>"Cost per click (CPC) (" &amp; currency &amp; ")"</f>
        <v>Cost per click (CPC) ($)</v>
      </c>
      <c r="L10" s="76">
        <f>IFERROR(SUM(InstagramCost)/F15,"")</f>
        <v>0.25466893039049238</v>
      </c>
      <c r="M10" s="67"/>
      <c r="N10" s="59"/>
      <c r="O10" s="165"/>
    </row>
    <row r="11" spans="2:15" ht="20.100000000000001" customHeight="1" x14ac:dyDescent="0.25">
      <c r="B11" s="161"/>
      <c r="C11" s="67"/>
      <c r="D11" s="67"/>
      <c r="E11" s="75"/>
      <c r="F11" s="79"/>
      <c r="G11" s="67"/>
      <c r="H11" s="60"/>
      <c r="I11" s="73"/>
      <c r="J11" s="67"/>
      <c r="K11" s="75"/>
      <c r="L11" s="76"/>
      <c r="M11" s="67"/>
      <c r="N11" s="59"/>
      <c r="O11" s="165"/>
    </row>
    <row r="12" spans="2:15" ht="20.100000000000001" customHeight="1" x14ac:dyDescent="0.25">
      <c r="B12" s="161"/>
      <c r="C12" s="67"/>
      <c r="D12" s="67"/>
      <c r="E12" s="75" t="s">
        <v>23</v>
      </c>
      <c r="F12" s="79">
        <v>100000</v>
      </c>
      <c r="G12" s="67"/>
      <c r="H12" s="60" t="str">
        <f>IF(ISNUMBER(F12),"","← Don't leave it empty.")</f>
        <v/>
      </c>
      <c r="I12" s="73"/>
      <c r="J12" s="67"/>
      <c r="K12" s="75" t="s">
        <v>91</v>
      </c>
      <c r="L12" s="78">
        <f>IFERROR(F16/F35,"")</f>
        <v>3.8109756097560975E-2</v>
      </c>
      <c r="M12" s="67"/>
      <c r="N12" s="59"/>
      <c r="O12" s="165"/>
    </row>
    <row r="13" spans="2:15" ht="20.100000000000001" customHeight="1" x14ac:dyDescent="0.25">
      <c r="B13" s="161"/>
      <c r="C13" s="67"/>
      <c r="D13" s="67"/>
      <c r="E13" s="75" t="s">
        <v>41</v>
      </c>
      <c r="F13" s="79">
        <v>29000</v>
      </c>
      <c r="G13" s="67"/>
      <c r="H13" s="60"/>
      <c r="I13" s="73"/>
      <c r="J13" s="67"/>
      <c r="K13" s="75" t="s">
        <v>47</v>
      </c>
      <c r="L13" s="78">
        <f>IFERROR(F17/F35,"")</f>
        <v>1.4024390243902438E-3</v>
      </c>
      <c r="M13" s="67"/>
      <c r="N13" s="59"/>
      <c r="O13" s="165"/>
    </row>
    <row r="14" spans="2:15" ht="20.100000000000001" customHeight="1" x14ac:dyDescent="0.25">
      <c r="B14" s="161"/>
      <c r="C14" s="67"/>
      <c r="D14" s="67"/>
      <c r="E14" s="75" t="s">
        <v>120</v>
      </c>
      <c r="F14" s="79">
        <v>1300</v>
      </c>
      <c r="G14" s="67"/>
      <c r="H14" s="60"/>
      <c r="I14" s="73"/>
      <c r="J14" s="67"/>
      <c r="K14" s="75" t="s">
        <v>49</v>
      </c>
      <c r="L14" s="78">
        <f>IFERROR(F18/F35,"")</f>
        <v>6.8597560975609752E-4</v>
      </c>
      <c r="M14" s="67"/>
      <c r="N14" s="59"/>
      <c r="O14" s="165"/>
    </row>
    <row r="15" spans="2:15" ht="20.100000000000001" customHeight="1" x14ac:dyDescent="0.25">
      <c r="B15" s="161"/>
      <c r="C15" s="67"/>
      <c r="D15" s="67"/>
      <c r="E15" s="75" t="s">
        <v>90</v>
      </c>
      <c r="F15" s="64">
        <v>5890</v>
      </c>
      <c r="G15" s="67"/>
      <c r="H15" s="60" t="str">
        <f>IF(ISNUMBER(F15),"","← Don't leave it empty.")</f>
        <v/>
      </c>
      <c r="I15" s="73"/>
      <c r="J15" s="67"/>
      <c r="K15" s="75" t="s">
        <v>51</v>
      </c>
      <c r="L15" s="78">
        <f>IFERROR(F19/F35,"")</f>
        <v>9.6036585365853657E-3</v>
      </c>
      <c r="M15" s="67"/>
      <c r="N15" s="59"/>
      <c r="O15" s="165"/>
    </row>
    <row r="16" spans="2:15" ht="20.100000000000001" customHeight="1" x14ac:dyDescent="0.25">
      <c r="B16" s="161"/>
      <c r="C16" s="67"/>
      <c r="D16" s="67"/>
      <c r="E16" s="75" t="s">
        <v>67</v>
      </c>
      <c r="F16" s="79">
        <v>2500</v>
      </c>
      <c r="G16" s="67"/>
      <c r="H16" s="68"/>
      <c r="I16" s="73"/>
      <c r="J16" s="67"/>
      <c r="K16" s="75"/>
      <c r="L16" s="78"/>
      <c r="M16" s="67"/>
      <c r="N16" s="59"/>
      <c r="O16" s="165"/>
    </row>
    <row r="17" spans="2:15" ht="20.100000000000001" customHeight="1" x14ac:dyDescent="0.25">
      <c r="B17" s="161"/>
      <c r="C17" s="67"/>
      <c r="D17" s="67"/>
      <c r="E17" s="206" t="s">
        <v>46</v>
      </c>
      <c r="F17" s="79">
        <v>92</v>
      </c>
      <c r="G17" s="67"/>
      <c r="H17" s="68"/>
      <c r="I17" s="73"/>
      <c r="J17" s="67"/>
      <c r="K17" s="75" t="s">
        <v>110</v>
      </c>
      <c r="L17" s="77">
        <f>IFERROR(SUM(F24:F28),"")</f>
        <v>4185</v>
      </c>
      <c r="M17" s="67"/>
      <c r="N17" s="59"/>
      <c r="O17" s="165"/>
    </row>
    <row r="18" spans="2:15" ht="20.100000000000001" customHeight="1" x14ac:dyDescent="0.25">
      <c r="B18" s="161"/>
      <c r="C18" s="67"/>
      <c r="D18" s="67"/>
      <c r="E18" s="206" t="s">
        <v>48</v>
      </c>
      <c r="F18" s="79">
        <v>45</v>
      </c>
      <c r="G18" s="67"/>
      <c r="H18" s="68"/>
      <c r="I18" s="73"/>
      <c r="J18" s="67"/>
      <c r="K18" s="75" t="s">
        <v>29</v>
      </c>
      <c r="L18" s="78">
        <f>IFERROR(L17/F35,"")</f>
        <v>6.3795731707317074E-2</v>
      </c>
      <c r="M18" s="67"/>
      <c r="N18" s="59"/>
      <c r="O18" s="165"/>
    </row>
    <row r="19" spans="2:15" ht="20.100000000000001" customHeight="1" x14ac:dyDescent="0.25">
      <c r="B19" s="161"/>
      <c r="C19" s="67"/>
      <c r="D19" s="67"/>
      <c r="E19" s="206" t="s">
        <v>50</v>
      </c>
      <c r="F19" s="79">
        <v>630</v>
      </c>
      <c r="G19" s="67"/>
      <c r="H19" s="68"/>
      <c r="I19" s="73"/>
      <c r="J19" s="67"/>
      <c r="K19" s="205" t="str">
        <f>"CPE (Cost per Engagement) (" &amp; currency &amp; ")"</f>
        <v>CPE (Cost per Engagement) ($)</v>
      </c>
      <c r="L19" s="76">
        <f>IFERROR(SUM(InstagramCost)/L17,"")</f>
        <v>0.35842293906810035</v>
      </c>
      <c r="M19" s="67"/>
      <c r="N19" s="59"/>
      <c r="O19" s="165"/>
    </row>
    <row r="20" spans="2:15" ht="20.100000000000001" customHeight="1" x14ac:dyDescent="0.25">
      <c r="B20" s="161"/>
      <c r="C20" s="67"/>
      <c r="D20" s="67"/>
      <c r="E20" s="75"/>
      <c r="F20" s="81"/>
      <c r="G20" s="67"/>
      <c r="H20" s="60"/>
      <c r="I20" s="73"/>
      <c r="J20" s="67"/>
      <c r="K20" s="205" t="str">
        <f>"Cost per follow (" &amp; currency &amp; ")"</f>
        <v>Cost per follow ($)</v>
      </c>
      <c r="L20" s="76">
        <f>IFERROR(SUM(InstagramCost)/F36,"")</f>
        <v>1</v>
      </c>
      <c r="M20" s="67"/>
      <c r="N20" s="59"/>
      <c r="O20" s="165"/>
    </row>
    <row r="21" spans="2:15" ht="20.100000000000001" customHeight="1" x14ac:dyDescent="0.25">
      <c r="B21" s="161"/>
      <c r="C21" s="67"/>
      <c r="D21" s="67"/>
      <c r="E21" s="206" t="s">
        <v>45</v>
      </c>
      <c r="F21" s="79">
        <v>234</v>
      </c>
      <c r="G21" s="67"/>
      <c r="H21" s="60"/>
      <c r="I21" s="73"/>
      <c r="J21" s="67"/>
      <c r="K21" s="75" t="s">
        <v>69</v>
      </c>
      <c r="L21" s="76">
        <f>IFERROR(L17/F35,"")</f>
        <v>6.3795731707317074E-2</v>
      </c>
      <c r="M21" s="67"/>
      <c r="N21" s="59"/>
      <c r="O21" s="165"/>
    </row>
    <row r="22" spans="2:15" ht="20.100000000000001" customHeight="1" x14ac:dyDescent="0.25">
      <c r="B22" s="161"/>
      <c r="C22" s="67"/>
      <c r="D22" s="67"/>
      <c r="E22" s="206" t="s">
        <v>54</v>
      </c>
      <c r="F22" s="79">
        <v>321</v>
      </c>
      <c r="G22" s="67"/>
      <c r="H22" s="60"/>
      <c r="I22" s="73"/>
      <c r="J22" s="67"/>
      <c r="K22" s="75" t="s">
        <v>53</v>
      </c>
      <c r="L22" s="78" t="str">
        <f>IFERROR(IF(ISNUMBER(F23),F23/F35,""),"")</f>
        <v/>
      </c>
      <c r="M22" s="67"/>
      <c r="N22" s="59"/>
      <c r="O22" s="165"/>
    </row>
    <row r="23" spans="2:15" ht="20.100000000000001" customHeight="1" x14ac:dyDescent="0.25">
      <c r="B23" s="161"/>
      <c r="C23" s="67"/>
      <c r="D23" s="67"/>
      <c r="E23" s="206" t="s">
        <v>52</v>
      </c>
      <c r="F23" s="79"/>
      <c r="G23" s="67"/>
      <c r="H23" s="60"/>
      <c r="I23" s="73"/>
      <c r="J23" s="67"/>
      <c r="K23" s="205" t="str">
        <f>"Cost per video watched (" &amp; currency &amp; ")"</f>
        <v>Cost per video watched ($)</v>
      </c>
      <c r="L23" s="76" t="str">
        <f>IFERROR(SUM(InstagramCost)/F23,"")</f>
        <v/>
      </c>
      <c r="M23" s="67"/>
      <c r="N23" s="59"/>
      <c r="O23" s="165"/>
    </row>
    <row r="24" spans="2:15" ht="20.100000000000001" customHeight="1" x14ac:dyDescent="0.25">
      <c r="B24" s="161"/>
      <c r="C24" s="67"/>
      <c r="D24" s="67"/>
      <c r="E24" s="75" t="s">
        <v>37</v>
      </c>
      <c r="F24" s="79">
        <v>2500</v>
      </c>
      <c r="G24" s="67"/>
      <c r="H24" s="60"/>
      <c r="I24" s="73"/>
      <c r="J24" s="67"/>
      <c r="K24" s="75"/>
      <c r="L24" s="76"/>
      <c r="M24" s="67"/>
      <c r="N24" s="59"/>
      <c r="O24" s="165"/>
    </row>
    <row r="25" spans="2:15" ht="20.100000000000001" customHeight="1" x14ac:dyDescent="0.25">
      <c r="B25" s="161"/>
      <c r="C25" s="67"/>
      <c r="D25" s="81"/>
      <c r="E25" s="75" t="s">
        <v>25</v>
      </c>
      <c r="F25" s="79">
        <v>1300</v>
      </c>
      <c r="G25" s="67"/>
      <c r="H25" s="60"/>
      <c r="I25" s="73"/>
      <c r="J25" s="67"/>
      <c r="K25" s="75" t="s">
        <v>121</v>
      </c>
      <c r="L25" s="78">
        <f>IFERROR(F33/F14,"")</f>
        <v>6.5384615384615388E-2</v>
      </c>
      <c r="M25" s="67"/>
      <c r="N25" s="59"/>
      <c r="O25" s="165"/>
    </row>
    <row r="26" spans="2:15" ht="20.100000000000001" customHeight="1" x14ac:dyDescent="0.25">
      <c r="B26" s="161"/>
      <c r="C26" s="67"/>
      <c r="D26" s="81"/>
      <c r="E26" s="75" t="s">
        <v>38</v>
      </c>
      <c r="F26" s="79">
        <v>120</v>
      </c>
      <c r="G26" s="67"/>
      <c r="H26" s="60"/>
      <c r="I26" s="73"/>
      <c r="J26" s="67"/>
      <c r="K26" s="75" t="s">
        <v>70</v>
      </c>
      <c r="L26" s="78">
        <f>IFERROR(100%-L25,"")</f>
        <v>0.93461538461538463</v>
      </c>
      <c r="M26" s="67"/>
      <c r="N26" s="59"/>
      <c r="O26" s="165"/>
    </row>
    <row r="27" spans="2:15" ht="20.100000000000001" customHeight="1" x14ac:dyDescent="0.25">
      <c r="B27" s="161"/>
      <c r="C27" s="67"/>
      <c r="D27" s="81"/>
      <c r="E27" s="75" t="s">
        <v>56</v>
      </c>
      <c r="F27" s="79">
        <v>250</v>
      </c>
      <c r="G27" s="67"/>
      <c r="H27" s="60"/>
      <c r="I27" s="73"/>
      <c r="J27" s="67"/>
      <c r="K27" s="75" t="s">
        <v>58</v>
      </c>
      <c r="L27" s="78">
        <f>IFERROR(SUM(F28:F31)/F14,"")</f>
        <v>0.40923076923076923</v>
      </c>
      <c r="M27" s="67"/>
      <c r="N27" s="60" t="str">
        <f>IF(SUM(F28:F33)&gt;F14,"Warning: Story reaction #  &gt; Story Reach #","")</f>
        <v/>
      </c>
      <c r="O27" s="165"/>
    </row>
    <row r="28" spans="2:15" ht="20.100000000000001" customHeight="1" x14ac:dyDescent="0.25">
      <c r="B28" s="161"/>
      <c r="C28" s="67"/>
      <c r="D28" s="81"/>
      <c r="E28" s="75" t="s">
        <v>39</v>
      </c>
      <c r="F28" s="79">
        <v>15</v>
      </c>
      <c r="G28" s="67"/>
      <c r="H28" s="60"/>
      <c r="I28" s="73"/>
      <c r="J28" s="67"/>
      <c r="K28" s="75" t="s">
        <v>57</v>
      </c>
      <c r="L28" s="77">
        <f>IFERROR(SUM(F31:F33),"")</f>
        <v>220</v>
      </c>
      <c r="M28" s="67"/>
      <c r="N28" s="59"/>
      <c r="O28" s="165"/>
    </row>
    <row r="29" spans="2:15" ht="20.100000000000001" customHeight="1" x14ac:dyDescent="0.25">
      <c r="B29" s="161"/>
      <c r="C29" s="67"/>
      <c r="D29" s="81"/>
      <c r="E29" s="206" t="s">
        <v>68</v>
      </c>
      <c r="F29" s="79">
        <v>387</v>
      </c>
      <c r="G29" s="67"/>
      <c r="H29" s="60"/>
      <c r="I29" s="73"/>
      <c r="J29" s="67"/>
      <c r="K29" s="75"/>
      <c r="L29" s="78"/>
      <c r="M29" s="67"/>
      <c r="N29" s="59"/>
      <c r="O29" s="165"/>
    </row>
    <row r="30" spans="2:15" ht="20.100000000000001" customHeight="1" x14ac:dyDescent="0.25">
      <c r="B30" s="161"/>
      <c r="C30" s="67"/>
      <c r="D30" s="81"/>
      <c r="E30" s="75" t="s">
        <v>158</v>
      </c>
      <c r="F30" s="79">
        <v>30</v>
      </c>
      <c r="G30" s="67"/>
      <c r="H30" s="60"/>
      <c r="I30" s="73"/>
      <c r="J30" s="67"/>
      <c r="K30" s="75" t="s">
        <v>89</v>
      </c>
      <c r="L30" s="78">
        <f>IFERROR(F36/(F35-F36),"")</f>
        <v>2.3400936037441498E-2</v>
      </c>
      <c r="M30" s="67"/>
      <c r="N30" s="59"/>
      <c r="O30" s="165"/>
    </row>
    <row r="31" spans="2:15" ht="20.100000000000001" customHeight="1" x14ac:dyDescent="0.25">
      <c r="B31" s="161"/>
      <c r="C31" s="67"/>
      <c r="D31" s="81"/>
      <c r="E31" s="75" t="s">
        <v>42</v>
      </c>
      <c r="F31" s="79">
        <v>100</v>
      </c>
      <c r="G31" s="67"/>
      <c r="H31" s="60"/>
      <c r="I31" s="73"/>
      <c r="J31" s="67"/>
      <c r="K31" s="75" t="s">
        <v>59</v>
      </c>
      <c r="L31" s="77">
        <f>IFERROR(F38*F15,"")</f>
        <v>200.26000000000002</v>
      </c>
      <c r="M31" s="67"/>
      <c r="N31" s="59"/>
      <c r="O31" s="165"/>
    </row>
    <row r="32" spans="2:15" ht="20.100000000000001" customHeight="1" x14ac:dyDescent="0.25">
      <c r="B32" s="161"/>
      <c r="C32" s="67"/>
      <c r="D32" s="81"/>
      <c r="E32" s="75" t="s">
        <v>55</v>
      </c>
      <c r="F32" s="79">
        <v>35</v>
      </c>
      <c r="G32" s="67"/>
      <c r="H32" s="60"/>
      <c r="I32" s="73"/>
      <c r="J32" s="67"/>
      <c r="K32" s="205" t="str">
        <f>"Cost per conversion (" &amp; currency &amp; ")"</f>
        <v>Cost per conversion ($)</v>
      </c>
      <c r="L32" s="76">
        <f>IFERROR(SUM(InstagramCost)/L31,"")</f>
        <v>7.4902626585438918</v>
      </c>
      <c r="M32" s="67"/>
      <c r="N32" s="59"/>
      <c r="O32" s="165"/>
    </row>
    <row r="33" spans="2:15" ht="20.100000000000001" customHeight="1" x14ac:dyDescent="0.25">
      <c r="B33" s="161"/>
      <c r="C33" s="67"/>
      <c r="D33" s="81"/>
      <c r="E33" s="206" t="s">
        <v>43</v>
      </c>
      <c r="F33" s="79">
        <v>85</v>
      </c>
      <c r="G33" s="67"/>
      <c r="H33" s="60"/>
      <c r="I33" s="73"/>
      <c r="J33" s="67"/>
      <c r="K33" s="205"/>
      <c r="L33" s="76"/>
      <c r="M33" s="67"/>
      <c r="N33" s="59"/>
      <c r="O33" s="165"/>
    </row>
    <row r="34" spans="2:15" ht="20.100000000000001" customHeight="1" x14ac:dyDescent="0.25">
      <c r="B34" s="161"/>
      <c r="C34" s="67"/>
      <c r="D34" s="81"/>
      <c r="E34" s="206"/>
      <c r="F34" s="79"/>
      <c r="G34" s="67"/>
      <c r="H34" s="60"/>
      <c r="I34" s="73"/>
      <c r="J34" s="67"/>
      <c r="K34" s="75" t="s">
        <v>101</v>
      </c>
      <c r="L34" s="82">
        <f>IFERROR(IF(ISNUMBER(F39),F39*F15,""),"")</f>
        <v>141.36000000000001</v>
      </c>
      <c r="M34" s="67"/>
      <c r="N34" s="59"/>
      <c r="O34" s="165"/>
    </row>
    <row r="35" spans="2:15" ht="20.100000000000001" customHeight="1" x14ac:dyDescent="0.25">
      <c r="B35" s="161"/>
      <c r="C35" s="67"/>
      <c r="D35" s="81"/>
      <c r="E35" s="75" t="s">
        <v>64</v>
      </c>
      <c r="F35" s="79">
        <v>65600</v>
      </c>
      <c r="G35" s="67"/>
      <c r="H35" s="60"/>
      <c r="I35" s="73"/>
      <c r="J35" s="67"/>
      <c r="K35" s="205" t="str">
        <f>"Cost per sale (" &amp; currency &amp; ")"</f>
        <v>Cost per sale ($)</v>
      </c>
      <c r="L35" s="76">
        <f>IFERROR(SUM(InstagramCost)/L34,"")</f>
        <v>10.611205432937181</v>
      </c>
      <c r="M35" s="67"/>
      <c r="N35" s="59"/>
      <c r="O35" s="165"/>
    </row>
    <row r="36" spans="2:15" ht="20.100000000000001" customHeight="1" x14ac:dyDescent="0.25">
      <c r="B36" s="161"/>
      <c r="C36" s="67"/>
      <c r="D36" s="81"/>
      <c r="E36" s="75" t="s">
        <v>65</v>
      </c>
      <c r="F36" s="79">
        <v>1500</v>
      </c>
      <c r="G36" s="67"/>
      <c r="H36" s="60"/>
      <c r="I36" s="73"/>
      <c r="J36" s="67"/>
      <c r="K36" s="205" t="str">
        <f>"Projected Sales (" &amp; currency &amp; ")"</f>
        <v>Projected Sales ($)</v>
      </c>
      <c r="L36" s="76">
        <f>IFERROR(F41*L34,"")</f>
        <v>3109.92</v>
      </c>
      <c r="M36" s="67"/>
      <c r="N36" s="59"/>
      <c r="O36" s="165"/>
    </row>
    <row r="37" spans="2:15" ht="20.100000000000001" customHeight="1" x14ac:dyDescent="0.25">
      <c r="B37" s="161"/>
      <c r="C37" s="67"/>
      <c r="D37" s="81"/>
      <c r="E37" s="206"/>
      <c r="F37" s="79"/>
      <c r="G37" s="67"/>
      <c r="H37" s="60"/>
      <c r="I37" s="73"/>
      <c r="J37" s="67"/>
      <c r="K37" s="205" t="str">
        <f>"Total LTV of gained customers  (" &amp; currency &amp; ")"</f>
        <v>Total LTV of gained customers  ($)</v>
      </c>
      <c r="L37" s="76">
        <f>IFERROR(L34*F42,"")</f>
        <v>16963.2</v>
      </c>
      <c r="M37" s="67"/>
      <c r="N37" s="60" t="str">
        <f>IF(ISNUMBER(L37),"Not included in ROI results.","")</f>
        <v>Not included in ROI results.</v>
      </c>
      <c r="O37" s="177"/>
    </row>
    <row r="38" spans="2:15" ht="20.100000000000001" customHeight="1" x14ac:dyDescent="0.25">
      <c r="B38" s="161"/>
      <c r="C38" s="67"/>
      <c r="D38" s="81"/>
      <c r="E38" s="206" t="s">
        <v>11</v>
      </c>
      <c r="F38" s="80">
        <v>3.4000000000000002E-2</v>
      </c>
      <c r="G38" s="67"/>
      <c r="H38" s="68"/>
      <c r="I38" s="73"/>
      <c r="J38" s="67"/>
      <c r="K38" s="75"/>
      <c r="L38" s="76"/>
      <c r="M38" s="67"/>
      <c r="N38" s="67"/>
      <c r="O38" s="177"/>
    </row>
    <row r="39" spans="2:15" ht="20.100000000000001" customHeight="1" x14ac:dyDescent="0.25">
      <c r="B39" s="161"/>
      <c r="C39" s="67"/>
      <c r="D39" s="81"/>
      <c r="E39" s="206" t="s">
        <v>10</v>
      </c>
      <c r="F39" s="80">
        <v>2.4E-2</v>
      </c>
      <c r="G39" s="67"/>
      <c r="H39" s="68"/>
      <c r="I39" s="73"/>
      <c r="J39" s="67"/>
      <c r="K39" s="75" t="s">
        <v>22</v>
      </c>
      <c r="L39" s="78">
        <f>IFERROR((L36-SUM(InstagramCost))/SUM(InstagramCost),"")</f>
        <v>1.07328</v>
      </c>
      <c r="M39" s="67"/>
      <c r="N39" s="67"/>
      <c r="O39" s="177"/>
    </row>
    <row r="40" spans="2:15" ht="20.100000000000001" customHeight="1" x14ac:dyDescent="0.25">
      <c r="B40" s="161"/>
      <c r="C40" s="67"/>
      <c r="D40" s="81"/>
      <c r="E40" s="206"/>
      <c r="F40" s="74"/>
      <c r="G40" s="67"/>
      <c r="H40" s="68"/>
      <c r="I40" s="73"/>
      <c r="J40" s="67"/>
      <c r="K40" s="75" t="s">
        <v>21</v>
      </c>
      <c r="L40" s="78">
        <f>IFERROR((L36)/SUM(InstagramCost),"")</f>
        <v>2.07328</v>
      </c>
      <c r="M40" s="67"/>
      <c r="N40" s="60" t="str">
        <f>IF(LEN(L40)&gt;0,IF((L36)/SUM(InstagramCost)&gt;1,"Per each 1" &amp; currency &amp; " spend, you earn " &amp; ROUND((L36)/SUM(InstagramCost),2) &amp; currency,"Your results are below investment."),"")</f>
        <v>Per each 1$ spend, you earn 2,07$</v>
      </c>
      <c r="O40" s="177"/>
    </row>
    <row r="41" spans="2:15" ht="20.100000000000001" customHeight="1" x14ac:dyDescent="0.25">
      <c r="B41" s="161"/>
      <c r="C41" s="67"/>
      <c r="D41" s="81"/>
      <c r="E41" s="205" t="str">
        <f>"Average Order Value (" &amp; currency &amp; ")"</f>
        <v>Average Order Value ($)</v>
      </c>
      <c r="F41" s="74">
        <v>22</v>
      </c>
      <c r="G41" s="67"/>
      <c r="H41" s="60" t="str">
        <f>IF(ISNUMBER(F41),"","← Don't leave it empty.")</f>
        <v/>
      </c>
      <c r="I41" s="92"/>
      <c r="J41" s="67"/>
      <c r="K41" s="205" t="str">
        <f>"Break even sale value (" &amp; currency &amp; ")"</f>
        <v>Break even sale value ($)</v>
      </c>
      <c r="L41" s="76">
        <f>IFERROR(SUM(InstagramCost)/L34,"")</f>
        <v>10.611205432937181</v>
      </c>
      <c r="M41" s="67"/>
      <c r="N41" s="60" t="str">
        <f>IF(ISNUMBER(L41),"Minimum sale value for positive ROI","")</f>
        <v>Minimum sale value for positive ROI</v>
      </c>
      <c r="O41" s="177"/>
    </row>
    <row r="42" spans="2:15" ht="20.100000000000001" customHeight="1" x14ac:dyDescent="0.25">
      <c r="B42" s="161"/>
      <c r="C42" s="67"/>
      <c r="D42" s="81"/>
      <c r="E42" s="205" t="str">
        <f>"Average Lifetime value (LTV) (" &amp; currency &amp; ")"</f>
        <v>Average Lifetime value (LTV) ($)</v>
      </c>
      <c r="F42" s="74">
        <v>120</v>
      </c>
      <c r="G42" s="67"/>
      <c r="H42" s="68"/>
      <c r="I42" s="92"/>
      <c r="J42" s="67"/>
      <c r="K42" s="75" t="s">
        <v>9</v>
      </c>
      <c r="L42" s="77">
        <f>IFERROR(SUM(InstagramCost)/F41,"")</f>
        <v>68.181818181818187</v>
      </c>
      <c r="M42" s="67"/>
      <c r="N42" s="60" t="str">
        <f>IF(ISNUMBER(L42),"Minimum buyers # for positive ROI","")</f>
        <v>Minimum buyers # for positive ROI</v>
      </c>
      <c r="O42" s="177"/>
    </row>
    <row r="43" spans="2:15" ht="20.100000000000001" customHeight="1" x14ac:dyDescent="0.25">
      <c r="B43" s="161"/>
      <c r="C43" s="81"/>
      <c r="D43" s="81"/>
      <c r="E43" s="83"/>
      <c r="F43" s="64"/>
      <c r="G43" s="64"/>
      <c r="H43" s="61"/>
      <c r="I43" s="92"/>
      <c r="J43" s="67"/>
      <c r="K43" s="83"/>
      <c r="L43" s="64"/>
      <c r="M43" s="64"/>
      <c r="N43" s="61"/>
      <c r="O43" s="184"/>
    </row>
    <row r="44" spans="2:15" ht="20.100000000000001" customHeight="1" x14ac:dyDescent="0.25">
      <c r="B44" s="161"/>
      <c r="C44" s="81"/>
      <c r="D44" s="81"/>
      <c r="E44" s="206" t="s">
        <v>148</v>
      </c>
      <c r="F44" s="64"/>
      <c r="G44" s="64"/>
      <c r="H44" s="61"/>
      <c r="I44" s="92"/>
      <c r="J44" s="81"/>
      <c r="K44" s="206" t="s">
        <v>147</v>
      </c>
      <c r="L44" s="64"/>
      <c r="M44" s="64"/>
      <c r="N44" s="61"/>
      <c r="O44" s="184"/>
    </row>
    <row r="45" spans="2:15" ht="20.100000000000001" customHeight="1" x14ac:dyDescent="0.25">
      <c r="B45" s="161"/>
      <c r="C45" s="81"/>
      <c r="D45" s="81"/>
      <c r="E45" s="206" t="s">
        <v>148</v>
      </c>
      <c r="F45" s="64"/>
      <c r="G45" s="64"/>
      <c r="H45" s="61"/>
      <c r="I45" s="92"/>
      <c r="J45" s="81"/>
      <c r="K45" s="206" t="s">
        <v>147</v>
      </c>
      <c r="L45" s="64"/>
      <c r="M45" s="64"/>
      <c r="N45" s="61"/>
      <c r="O45" s="184"/>
    </row>
    <row r="46" spans="2:15" ht="20.100000000000001" customHeight="1" x14ac:dyDescent="0.25">
      <c r="B46" s="161"/>
      <c r="C46" s="81"/>
      <c r="D46" s="81"/>
      <c r="E46" s="206" t="s">
        <v>148</v>
      </c>
      <c r="F46" s="64"/>
      <c r="G46" s="64"/>
      <c r="H46" s="61"/>
      <c r="I46" s="92"/>
      <c r="J46" s="81"/>
      <c r="K46" s="206" t="s">
        <v>147</v>
      </c>
      <c r="L46" s="64"/>
      <c r="M46" s="64"/>
      <c r="N46" s="61"/>
      <c r="O46" s="184"/>
    </row>
    <row r="47" spans="2:15" ht="9.9499999999999993" customHeight="1" x14ac:dyDescent="0.25">
      <c r="B47" s="162"/>
      <c r="C47" s="168"/>
      <c r="D47" s="168"/>
      <c r="E47" s="185"/>
      <c r="F47" s="172"/>
      <c r="G47" s="172"/>
      <c r="H47" s="173"/>
      <c r="I47" s="186"/>
      <c r="J47" s="172"/>
      <c r="K47" s="185"/>
      <c r="L47" s="172"/>
      <c r="M47" s="172"/>
      <c r="N47" s="173"/>
      <c r="O47" s="187"/>
    </row>
    <row r="48" spans="2:15" ht="6.95" customHeight="1" x14ac:dyDescent="0.25">
      <c r="B48" s="23"/>
      <c r="C48" s="23"/>
      <c r="D48" s="23"/>
      <c r="E48" s="23"/>
      <c r="F48" s="23"/>
      <c r="G48" s="23"/>
      <c r="H48" s="19"/>
      <c r="I48" s="23"/>
      <c r="J48" s="23"/>
      <c r="L48" s="23"/>
      <c r="M48" s="23"/>
      <c r="N48" s="24"/>
      <c r="O48" s="23"/>
    </row>
    <row r="49" spans="2:15" ht="23.1" customHeight="1" x14ac:dyDescent="0.25">
      <c r="B49" s="121"/>
      <c r="C49" s="122"/>
      <c r="D49" s="123"/>
      <c r="E49" s="124"/>
      <c r="F49" s="124"/>
      <c r="G49" s="121"/>
      <c r="H49" s="124"/>
      <c r="I49" s="124"/>
      <c r="J49" s="124"/>
      <c r="K49" s="124"/>
      <c r="L49" s="124"/>
      <c r="M49" s="124"/>
      <c r="N49" s="124"/>
      <c r="O49" s="124"/>
    </row>
  </sheetData>
  <sheetProtection algorithmName="SHA-512" hashValue="ud2W6NwoUomuqAxm8X+kbttLoApFfYST84ye1ZdxH9Ug8+9d9jA7zmkVY8KWvypq1ol32WwTmfCJy7oi1ALfOw==" saltValue="zTam9JDachfS0uxJz/b9Og==" spinCount="100000" sheet="1" objects="1" scenarios="1"/>
  <conditionalFormatting sqref="E44:E46 K44:K46">
    <cfRule type="expression" dxfId="36" priority="8">
      <formula>OR(E44="Input …",E44="Output …")</formula>
    </cfRule>
  </conditionalFormatting>
  <conditionalFormatting sqref="F7:F46">
    <cfRule type="expression" dxfId="35" priority="6">
      <formula>LEN($E7)&gt;0</formula>
    </cfRule>
  </conditionalFormatting>
  <conditionalFormatting sqref="E7:F46">
    <cfRule type="expression" dxfId="34" priority="5">
      <formula>LEN($E7)&gt;0</formula>
    </cfRule>
  </conditionalFormatting>
  <conditionalFormatting sqref="L7:L46">
    <cfRule type="expression" dxfId="33" priority="4">
      <formula>LEN($K7)&gt;0</formula>
    </cfRule>
  </conditionalFormatting>
  <conditionalFormatting sqref="K7:L46">
    <cfRule type="expression" dxfId="32" priority="3">
      <formula>LEN($K7)&gt;0</formula>
    </cfRule>
  </conditionalFormatting>
  <conditionalFormatting sqref="J7:J46">
    <cfRule type="expression" dxfId="31" priority="2">
      <formula>LEN($K7)&gt;0</formula>
    </cfRule>
  </conditionalFormatting>
  <conditionalFormatting sqref="D7:D46">
    <cfRule type="expression" dxfId="30" priority="1">
      <formula>LEN($E7)&gt;0</formula>
    </cfRule>
  </conditionalFormatting>
  <dataValidations disablePrompts="1" count="44">
    <dataValidation allowBlank="1" showInputMessage="1" showErrorMessage="1" prompt="Reach is the actual number of people who have seen your post." sqref="C21:C22 C33:C37 E13" xr:uid="{FA96AE0A-91EA-4D1C-84B4-B096DB5EA8EB}"/>
    <dataValidation allowBlank="1" showInputMessage="1" showErrorMessage="1" promptTitle="Impressions vs. Reach " prompt="If one person has seen your post three times, this will be counted as 1 reach and 3 impressions." sqref="E12 C16" xr:uid="{98282A09-C799-457A-94FF-2581C311EA7A}"/>
    <dataValidation allowBlank="1" showInputMessage="1" showErrorMessage="1" prompt="On average between 300 and 800 ($) for a monthly fee." sqref="E8" xr:uid="{A33EBC92-29CF-4AEC-8C4D-1EC962D443F4}"/>
    <dataValidation allowBlank="1" showInputMessage="1" showErrorMessage="1" prompt="The net number of Instagram followers you acquired during the reporting period." sqref="E36" xr:uid="{9233574E-74BC-475C-BA57-B80E4421BDC5}"/>
    <dataValidation allowBlank="1" showInputMessage="1" showErrorMessage="1" prompt="The number of people who have seen your post divided by the number of your followers." sqref="C32" xr:uid="{850F40AE-CDE8-42A9-BC46-D531A311A6E0}"/>
    <dataValidation allowBlank="1" showInputMessage="1" showErrorMessage="1" prompt="The number of Instagram posts mentioning your Instagram handle either as tagged within a post, or mentioned in the caption." sqref="E21" xr:uid="{61BCB93B-EF7D-488D-9258-0175169F67B5}"/>
    <dataValidation allowBlank="1" showInputMessage="1" showErrorMessage="1" prompt="Optional" sqref="F23 F8:F10" xr:uid="{6B57AA32-F7AF-4863-8743-1F57B76D3395}"/>
    <dataValidation allowBlank="1" showInputMessage="1" showErrorMessage="1" prompt="2% is seen as a good social media engagement rate on Instagram. Anything 3% or more is great." sqref="K18" xr:uid="{7025AB7B-8732-4A33-B7BF-B115CB8DFD40}"/>
    <dataValidation allowBlank="1" showInputMessage="1" showErrorMessage="1" prompt="High lifetime value of a customer can show you if it's worth to have a higher CPC even if it doesn't seem when compare to average close value." sqref="E42" xr:uid="{5F169230-EE59-408A-BB7B-68938428C1C0}"/>
    <dataValidation allowBlank="1" showInputMessage="1" showErrorMessage="1" promptTitle="ROI - expectations" prompt="&lt;0% - lost investment_x000a_&gt;0% - not loosing_x000a_&gt;350% - good marketing campaign _x000a_" sqref="K39" xr:uid="{FE13D097-AE5F-4B34-80A4-ABB433D60701}"/>
    <dataValidation allowBlank="1" showInputMessage="1" showErrorMessage="1" promptTitle="ROAS - expectations" prompt="&lt;100% - bad_x000a_100% - 400% - not so well_x000a_&gt;400% - well invested money" sqref="K40" xr:uid="{2B2AED8F-FAEF-4479-AB02-37C890DDC99D}"/>
    <dataValidation allowBlank="1" showInputMessage="1" showErrorMessage="1" prompt="New Followers / (Total Followers - New Followers)" sqref="L30" xr:uid="{BFFF91C9-0824-46BF-9D64-8427BEC797EA}"/>
    <dataValidation allowBlank="1" showInputMessage="1" showErrorMessage="1" prompt="(1000 * Total Cost ) divided by Impressions #" sqref="L7" xr:uid="{3AB6701A-BE2D-4318-8E7F-84EB0599963A}"/>
    <dataValidation allowBlank="1" showInputMessage="1" showErrorMessage="1" prompt="Profile visits / Followers" sqref="L12" xr:uid="{4D9D6133-C9D1-46FD-BA89-3A86DBAD81B5}"/>
    <dataValidation allowBlank="1" showInputMessage="1" showErrorMessage="1" prompt="Email clicks / Followers" sqref="L13" xr:uid="{2251E9E4-4208-48AB-88B1-BB88D482FAF8}"/>
    <dataValidation allowBlank="1" showInputMessage="1" showErrorMessage="1" prompt="Get direction clicks / Followers" sqref="L14" xr:uid="{78F5E3BC-5CAA-4628-8364-3495C948C302}"/>
    <dataValidation allowBlank="1" showInputMessage="1" showErrorMessage="1" prompt="Website clicks / Followers" sqref="L15" xr:uid="{F0B4AA2B-D2D4-4AF8-926B-C577498D609A}"/>
    <dataValidation allowBlank="1" showInputMessage="1" showErrorMessage="1" prompt="Likes + Comments + Saves + Post replies + Story Replies" sqref="L17" xr:uid="{D67CC9D0-415E-428D-B447-28D0E2838622}"/>
    <dataValidation allowBlank="1" showInputMessage="1" showErrorMessage="1" prompt="Engagements / Followers" sqref="L18" xr:uid="{34C80B4F-A848-4171-B89C-624A46C755BB}"/>
    <dataValidation allowBlank="1" showInputMessage="1" showErrorMessage="1" prompt="Total costs / Engagements" sqref="L19" xr:uid="{3351C650-4117-4D63-9B44-36463362F16A}"/>
    <dataValidation allowBlank="1" showInputMessage="1" showErrorMessage="1" prompt="Total costs / New Followers" sqref="L20" xr:uid="{0E23A480-2EC6-4BF2-B425-1D471D6CA8B6}"/>
    <dataValidation allowBlank="1" showInputMessage="1" showErrorMessage="1" prompt="Cost per new follower, taken from Net follower growht." sqref="K20" xr:uid="{46E1F186-25C9-4C0D-9D2F-D674C1DC1770}"/>
    <dataValidation allowBlank="1" showInputMessage="1" showErrorMessage="1" prompt="All engagements / Followers" sqref="L21" xr:uid="{5B130934-7D7B-4365-8FFA-8B7D22C6D973}"/>
    <dataValidation allowBlank="1" showInputMessage="1" showErrorMessage="1" prompt="Video views / Followers" sqref="L22" xr:uid="{E9C405F0-91A3-42E0-A944-2981DA0CE652}"/>
    <dataValidation allowBlank="1" showInputMessage="1" showErrorMessage="1" prompt="Total costs / Video views" sqref="L23" xr:uid="{371E2EEA-262D-45BC-9013-8534DD46AA3F}"/>
    <dataValidation allowBlank="1" showInputMessage="1" showErrorMessage="1" prompt="Number of people who have started to watch your story." sqref="E14" xr:uid="{F6E8540A-0AEB-4C33-80EA-8FDC7230657A}"/>
    <dataValidation allowBlank="1" showInputMessage="1" showErrorMessage="1" prompt="Story Exits /Story Reach " sqref="L25" xr:uid="{2653B088-4CDE-4288-A402-4B0185E8CCF2}"/>
    <dataValidation allowBlank="1" showInputMessage="1" showErrorMessage="1" prompt="100% - story exit %" sqref="L26" xr:uid="{BA213720-55DA-449B-B11E-439C7371620F}"/>
    <dataValidation allowBlank="1" showInputMessage="1" showErrorMessage="1" prompt="(Story Replies + Story link clicks + Taps back + Tap Forward) / Story Reach " sqref="L27" xr:uid="{9EF73AF3-92CC-4264-8D99-63A6895CC222}"/>
    <dataValidation allowBlank="1" showInputMessage="1" showErrorMessage="1" prompt="Taps Forward + Swipes away + Exits" sqref="L28" xr:uid="{E64B904B-AFFC-4E66-9D6C-C562460F48CA}"/>
    <dataValidation allowBlank="1" showInputMessage="1" showErrorMessage="1" prompt="Total cost / conversions" sqref="L32" xr:uid="{51D93216-3DEB-4C3B-8297-6817AEFA00B6}"/>
    <dataValidation allowBlank="1" showInputMessage="1" showErrorMessage="1" prompt="Conversion rate * Ad Clicks" sqref="L31" xr:uid="{A1ACEA43-C4FC-4B1E-B105-01100315F879}"/>
    <dataValidation allowBlank="1" showInputMessage="1" showErrorMessage="1" prompt="Ad Clicks * Sales rate" sqref="L34" xr:uid="{3697DB57-4AD7-401C-9DCC-AD9103A6B176}"/>
    <dataValidation allowBlank="1" showInputMessage="1" showErrorMessage="1" prompt="Total cost / Sales #" sqref="L35" xr:uid="{4BCF3BA4-4378-49A5-8971-3C9D3128947F}"/>
    <dataValidation allowBlank="1" showInputMessage="1" showErrorMessage="1" prompt="Buyers * Average order value" sqref="L36" xr:uid="{190C9DAB-7A4B-481B-B27A-305185CFE0E1}"/>
    <dataValidation allowBlank="1" showInputMessage="1" showErrorMessage="1" prompt="Buyers * LTV" sqref="L37" xr:uid="{F3B689C9-C5F9-45EE-994E-B09925712C3A}"/>
    <dataValidation allowBlank="1" showInputMessage="1" showErrorMessage="1" prompt="(Projected Sales - Total cost) / Total cost" sqref="L39" xr:uid="{8B973915-087D-4EE0-9372-91F42AB46B8B}"/>
    <dataValidation allowBlank="1" showInputMessage="1" showErrorMessage="1" prompt="Projected Sales / Total cost" sqref="L40" xr:uid="{6279E2E4-68B3-4823-B95C-68CF26357F19}"/>
    <dataValidation allowBlank="1" showInputMessage="1" showErrorMessage="1" prompt="Total cost / Buyers" sqref="L41" xr:uid="{2CE01FFC-332A-4D4B-A10C-FA92324E36FE}"/>
    <dataValidation allowBlank="1" showInputMessage="1" showErrorMessage="1" prompt="Total cost / Average Order Value" sqref="L42" xr:uid="{5ECDD343-31A6-4572-8D7B-0BA4923B2F0A}"/>
    <dataValidation allowBlank="1" showInputMessage="1" showErrorMessage="1" prompt="Reach # / Followers" sqref="L8" xr:uid="{2C98BAF3-676E-4513-B58D-0A1EA3D8D0C2}"/>
    <dataValidation allowBlank="1" showInputMessage="1" showErrorMessage="1" prompt="Ad clicks / Impressions" sqref="L9" xr:uid="{7E0BCB90-CBD4-4EF1-96BE-5451F8D24919}"/>
    <dataValidation allowBlank="1" showInputMessage="1" showErrorMessage="1" prompt="Total cost / Ad clicks" sqref="L10" xr:uid="{85BA71EB-EDBC-4BEF-9110-0E26D8EC8C90}"/>
    <dataValidation allowBlank="1" showInputMessage="1" showErrorMessage="1" prompt=" Average CPC $0.50 – $1.00." sqref="K10" xr:uid="{FD99237B-8ABB-4EEF-9674-5C7F5403C03C}"/>
  </dataValidations>
  <printOptions horizontalCentered="1"/>
  <pageMargins left="0.31496062992125984" right="0.31496062992125984" top="0.31496062992125984" bottom="0.31496062992125984" header="0.31496062992125984" footer="0.31496062992125984"/>
  <pageSetup scale="6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5" id="{DB53AE47-32AC-4DD1-A6A8-414C6B454726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3.5</xm:f>
              </x14:cfvo>
            </x14:iconSet>
          </x14:cfRule>
          <xm:sqref>L39</xm:sqref>
        </x14:conditionalFormatting>
        <x14:conditionalFormatting xmlns:xm="http://schemas.microsoft.com/office/excel/2006/main">
          <x14:cfRule type="iconSet" priority="14" id="{69ADEA39-3B69-4CE2-B410-E7483C1E580B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4</xm:f>
              </x14:cfvo>
            </x14:iconSet>
          </x14:cfRule>
          <xm:sqref>L40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6DFEE-2550-49F0-BE67-CA535FAF013A}">
  <sheetPr codeName="Sheet13">
    <pageSetUpPr fitToPage="1"/>
  </sheetPr>
  <dimension ref="B1:O49"/>
  <sheetViews>
    <sheetView showGridLines="0" showRowColHeaders="0" workbookViewId="0">
      <pane ySplit="5" topLeftCell="A6" activePane="bottomLeft" state="frozen"/>
      <selection activeCell="A6" sqref="A6"/>
      <selection pane="bottomLeft" activeCell="A6" sqref="A6"/>
    </sheetView>
  </sheetViews>
  <sheetFormatPr defaultRowHeight="20.100000000000001" customHeight="1" x14ac:dyDescent="0.25"/>
  <cols>
    <col min="1" max="1" width="3.7109375" style="16" customWidth="1"/>
    <col min="2" max="2" width="12.7109375" style="16" customWidth="1"/>
    <col min="3" max="4" width="1.7109375" style="16" customWidth="1"/>
    <col min="5" max="5" width="35.7109375" style="16" customWidth="1"/>
    <col min="6" max="6" width="12.7109375" style="16" customWidth="1"/>
    <col min="7" max="7" width="1.7109375" style="16" customWidth="1"/>
    <col min="8" max="8" width="30.7109375" style="16" customWidth="1"/>
    <col min="9" max="9" width="3.7109375" style="16" customWidth="1"/>
    <col min="10" max="10" width="1.7109375" style="16" customWidth="1"/>
    <col min="11" max="11" width="35.7109375" style="16" customWidth="1"/>
    <col min="12" max="12" width="12.7109375" style="16" customWidth="1"/>
    <col min="13" max="13" width="1.7109375" style="16" customWidth="1"/>
    <col min="14" max="14" width="30.7109375" style="16" customWidth="1"/>
    <col min="15" max="15" width="1.7109375" style="16" customWidth="1"/>
    <col min="16" max="16384" width="9.140625" style="16"/>
  </cols>
  <sheetData>
    <row r="1" spans="2:15" s="1" customFormat="1" ht="6.75" customHeight="1" x14ac:dyDescent="0.25">
      <c r="C1" s="2"/>
      <c r="F1" s="3"/>
    </row>
    <row r="2" spans="2:15" s="137" customFormat="1" ht="20.100000000000001" customHeight="1" x14ac:dyDescent="0.25">
      <c r="B2" s="149"/>
      <c r="C2" s="150" t="s">
        <v>150</v>
      </c>
      <c r="D2" s="151"/>
      <c r="E2" s="152"/>
      <c r="F2" s="152"/>
      <c r="G2" s="152"/>
      <c r="H2" s="152"/>
      <c r="I2" s="153"/>
      <c r="J2" s="153"/>
      <c r="K2" s="152"/>
      <c r="L2" s="152"/>
      <c r="M2" s="152"/>
      <c r="N2" s="152"/>
      <c r="O2" s="152"/>
    </row>
    <row r="3" spans="2:15" s="138" customFormat="1" ht="24" customHeight="1" x14ac:dyDescent="0.25">
      <c r="B3" s="45"/>
      <c r="C3" s="145" t="s">
        <v>131</v>
      </c>
      <c r="D3" s="146"/>
      <c r="E3" s="147"/>
      <c r="F3" s="147"/>
      <c r="G3" s="147"/>
      <c r="H3" s="147"/>
      <c r="I3" s="148"/>
      <c r="J3" s="148"/>
      <c r="K3" s="147"/>
      <c r="L3" s="147"/>
      <c r="M3" s="147"/>
      <c r="N3" s="147"/>
      <c r="O3" s="147"/>
    </row>
    <row r="4" spans="2:15" ht="9.9499999999999993" customHeight="1" x14ac:dyDescent="0.25">
      <c r="B4" s="42"/>
      <c r="C4" s="66"/>
      <c r="D4" s="66"/>
      <c r="E4" s="66"/>
      <c r="F4" s="66"/>
      <c r="G4" s="66"/>
      <c r="H4" s="58"/>
      <c r="I4" s="69"/>
      <c r="J4" s="66"/>
      <c r="K4" s="66"/>
      <c r="L4" s="66"/>
      <c r="M4" s="66"/>
      <c r="N4" s="58"/>
      <c r="O4" s="165"/>
    </row>
    <row r="5" spans="2:15" ht="30" customHeight="1" x14ac:dyDescent="0.25">
      <c r="B5" s="42"/>
      <c r="C5" s="70"/>
      <c r="D5" s="71"/>
      <c r="E5" s="105" t="s">
        <v>15</v>
      </c>
      <c r="F5" s="105"/>
      <c r="G5" s="47"/>
      <c r="H5" s="107" t="s">
        <v>63</v>
      </c>
      <c r="I5" s="49"/>
      <c r="J5" s="50"/>
      <c r="K5" s="106" t="s">
        <v>20</v>
      </c>
      <c r="L5" s="106"/>
      <c r="M5" s="48"/>
      <c r="N5" s="107" t="s">
        <v>63</v>
      </c>
      <c r="O5" s="183"/>
    </row>
    <row r="6" spans="2:15" ht="9.9499999999999993" customHeight="1" x14ac:dyDescent="0.25">
      <c r="B6" s="161"/>
      <c r="C6" s="67"/>
      <c r="D6" s="67"/>
      <c r="E6" s="67"/>
      <c r="F6" s="67"/>
      <c r="G6" s="67"/>
      <c r="H6" s="59"/>
      <c r="I6" s="73"/>
      <c r="J6" s="67"/>
      <c r="K6" s="75"/>
      <c r="L6" s="67"/>
      <c r="M6" s="67"/>
      <c r="N6" s="59"/>
      <c r="O6" s="165"/>
    </row>
    <row r="7" spans="2:15" ht="20.100000000000001" customHeight="1" x14ac:dyDescent="0.25">
      <c r="B7" s="161"/>
      <c r="C7" s="67"/>
      <c r="D7" s="67"/>
      <c r="E7" s="205" t="str">
        <f>"Influencer cost (" &amp; currency &amp; ")"</f>
        <v>Influencer cost ($)</v>
      </c>
      <c r="F7" s="74">
        <v>1700</v>
      </c>
      <c r="G7" s="67"/>
      <c r="H7" s="60" t="str">
        <f>IF(ISNUMBER(F7),"","← Don't leave it empty.")</f>
        <v/>
      </c>
      <c r="I7" s="73"/>
      <c r="J7" s="67"/>
      <c r="K7" s="205" t="str">
        <f>"Cost per 1000 impressions (CPM) (" &amp; currency &amp; ")"</f>
        <v>Cost per 1000 impressions (CPM) ($)</v>
      </c>
      <c r="L7" s="76">
        <f>IFERROR(SUM(InflueancerCost)*1000/F10,"")</f>
        <v>48</v>
      </c>
      <c r="M7" s="67"/>
      <c r="N7" s="59"/>
      <c r="O7" s="165"/>
    </row>
    <row r="8" spans="2:15" ht="20.100000000000001" customHeight="1" x14ac:dyDescent="0.25">
      <c r="B8" s="161"/>
      <c r="C8" s="67"/>
      <c r="D8" s="67"/>
      <c r="E8" s="205" t="str">
        <f>"Additional costs (" &amp; currency &amp; ")"</f>
        <v>Additional costs ($)</v>
      </c>
      <c r="F8" s="74">
        <v>220</v>
      </c>
      <c r="G8" s="67"/>
      <c r="H8" s="60"/>
      <c r="I8" s="73"/>
      <c r="J8" s="67"/>
      <c r="K8" s="75" t="s">
        <v>88</v>
      </c>
      <c r="L8" s="78">
        <f>IFERROR(F12/F10,"")</f>
        <v>0.1075</v>
      </c>
      <c r="M8" s="67"/>
      <c r="N8" s="59"/>
      <c r="O8" s="165"/>
    </row>
    <row r="9" spans="2:15" ht="20.100000000000001" customHeight="1" x14ac:dyDescent="0.25">
      <c r="B9" s="161"/>
      <c r="C9" s="67"/>
      <c r="D9" s="210"/>
      <c r="E9" s="208"/>
      <c r="F9" s="211"/>
      <c r="G9" s="67"/>
      <c r="H9" s="60"/>
      <c r="I9" s="73"/>
      <c r="J9" s="67"/>
      <c r="K9" s="205" t="str">
        <f>"Cost per click (CPC) (" &amp; currency &amp; ")"</f>
        <v>Cost per click (CPC) ($)</v>
      </c>
      <c r="L9" s="76">
        <f>IFERROR(SUM(InflueancerCost)/F12,"")</f>
        <v>0.44651162790697674</v>
      </c>
      <c r="M9" s="67"/>
      <c r="N9" s="59"/>
      <c r="O9" s="165"/>
    </row>
    <row r="10" spans="2:15" ht="20.100000000000001" customHeight="1" x14ac:dyDescent="0.25">
      <c r="B10" s="161"/>
      <c r="C10" s="67"/>
      <c r="D10" s="67"/>
      <c r="E10" s="75" t="s">
        <v>93</v>
      </c>
      <c r="F10" s="79">
        <v>40000</v>
      </c>
      <c r="G10" s="67"/>
      <c r="H10" s="60" t="str">
        <f>IF(ISNUMBER(F10),"","← Don't leave it empty.")</f>
        <v/>
      </c>
      <c r="I10" s="73"/>
      <c r="J10" s="67"/>
      <c r="K10" s="75"/>
      <c r="L10" s="102"/>
      <c r="M10" s="67"/>
      <c r="N10" s="59"/>
      <c r="O10" s="165"/>
    </row>
    <row r="11" spans="2:15" ht="20.100000000000001" customHeight="1" x14ac:dyDescent="0.25">
      <c r="B11" s="161"/>
      <c r="C11" s="67"/>
      <c r="D11" s="67"/>
      <c r="E11" s="75" t="s">
        <v>96</v>
      </c>
      <c r="F11" s="109">
        <v>0.85</v>
      </c>
      <c r="G11" s="67"/>
      <c r="H11" s="60"/>
      <c r="I11" s="73"/>
      <c r="J11" s="67"/>
      <c r="K11" s="75" t="s">
        <v>109</v>
      </c>
      <c r="L11" s="78">
        <f>IFERROR(F17/F14,"")</f>
        <v>0.12820512820512819</v>
      </c>
      <c r="M11" s="67"/>
      <c r="N11" s="59"/>
      <c r="O11" s="165"/>
    </row>
    <row r="12" spans="2:15" ht="20.100000000000001" customHeight="1" x14ac:dyDescent="0.25">
      <c r="B12" s="161"/>
      <c r="C12" s="67"/>
      <c r="D12" s="67"/>
      <c r="E12" s="75" t="s">
        <v>16</v>
      </c>
      <c r="F12" s="79">
        <v>4300</v>
      </c>
      <c r="G12" s="67"/>
      <c r="H12" s="60" t="str">
        <f>IF(ISNUMBER(F12),"","← Don't leave it empty.")</f>
        <v/>
      </c>
      <c r="I12" s="73"/>
      <c r="J12" s="67"/>
      <c r="K12" s="75" t="s">
        <v>110</v>
      </c>
      <c r="L12" s="77">
        <f>IFERROR(SUM(F14:F17),"")</f>
        <v>4820</v>
      </c>
      <c r="M12" s="67"/>
      <c r="N12" s="59"/>
      <c r="O12" s="165"/>
    </row>
    <row r="13" spans="2:15" ht="20.100000000000001" customHeight="1" x14ac:dyDescent="0.25">
      <c r="B13" s="161"/>
      <c r="C13" s="67"/>
      <c r="D13" s="210"/>
      <c r="E13" s="208"/>
      <c r="F13" s="212"/>
      <c r="G13" s="67"/>
      <c r="H13" s="60"/>
      <c r="I13" s="73"/>
      <c r="J13" s="67"/>
      <c r="K13" s="75" t="s">
        <v>105</v>
      </c>
      <c r="L13" s="78">
        <f>IFERROR(L12/F10,"")</f>
        <v>0.1205</v>
      </c>
      <c r="M13" s="67"/>
      <c r="N13" s="59"/>
      <c r="O13" s="165"/>
    </row>
    <row r="14" spans="2:15" ht="20.100000000000001" customHeight="1" x14ac:dyDescent="0.25">
      <c r="B14" s="161"/>
      <c r="C14" s="67"/>
      <c r="D14" s="67"/>
      <c r="E14" s="75" t="s">
        <v>37</v>
      </c>
      <c r="F14" s="79">
        <v>3900</v>
      </c>
      <c r="G14" s="67"/>
      <c r="H14" s="60"/>
      <c r="I14" s="73"/>
      <c r="J14" s="67"/>
      <c r="K14" s="205" t="str">
        <f>"Cost per engagement (CPE) (" &amp; currency &amp; ")"</f>
        <v>Cost per engagement (CPE) ($)</v>
      </c>
      <c r="L14" s="76">
        <f>IFERROR(SUM(InflueancerCost)/L12,"")</f>
        <v>0.39834024896265557</v>
      </c>
      <c r="M14" s="67"/>
      <c r="N14" s="59"/>
      <c r="O14" s="165"/>
    </row>
    <row r="15" spans="2:15" ht="20.100000000000001" customHeight="1" x14ac:dyDescent="0.25">
      <c r="B15" s="161"/>
      <c r="C15" s="67"/>
      <c r="D15" s="67"/>
      <c r="E15" s="75" t="s">
        <v>102</v>
      </c>
      <c r="F15" s="79">
        <v>100</v>
      </c>
      <c r="G15" s="67"/>
      <c r="H15" s="60"/>
      <c r="I15" s="73"/>
      <c r="J15" s="67"/>
      <c r="K15" s="205" t="str">
        <f>"Cost per mention (" &amp; currency &amp; ")"</f>
        <v>Cost per mention ($)</v>
      </c>
      <c r="L15" s="102">
        <f>IFERROR(SUM(InflueancerCost)/F18,"")</f>
        <v>192</v>
      </c>
      <c r="M15" s="67"/>
      <c r="N15" s="59"/>
      <c r="O15" s="165"/>
    </row>
    <row r="16" spans="2:15" ht="20.100000000000001" customHeight="1" x14ac:dyDescent="0.25">
      <c r="B16" s="161"/>
      <c r="C16" s="67"/>
      <c r="D16" s="67"/>
      <c r="E16" s="75" t="s">
        <v>94</v>
      </c>
      <c r="F16" s="79">
        <v>320</v>
      </c>
      <c r="G16" s="67"/>
      <c r="H16" s="60"/>
      <c r="I16" s="73"/>
      <c r="J16" s="67"/>
      <c r="K16" s="75"/>
      <c r="L16" s="102"/>
      <c r="M16" s="67"/>
      <c r="N16" s="59"/>
      <c r="O16" s="165"/>
    </row>
    <row r="17" spans="2:15" ht="20.100000000000001" customHeight="1" x14ac:dyDescent="0.25">
      <c r="B17" s="161"/>
      <c r="C17" s="67"/>
      <c r="D17" s="67"/>
      <c r="E17" s="75" t="s">
        <v>25</v>
      </c>
      <c r="F17" s="79">
        <v>500</v>
      </c>
      <c r="G17" s="67"/>
      <c r="H17" s="60"/>
      <c r="I17" s="73"/>
      <c r="J17" s="67"/>
      <c r="K17" s="75" t="s">
        <v>59</v>
      </c>
      <c r="L17" s="77">
        <f>IFERROR(IF(ISNUMBER(F26),F26*F10,""),"")</f>
        <v>2000</v>
      </c>
      <c r="M17" s="67"/>
      <c r="N17" s="59"/>
      <c r="O17" s="165"/>
    </row>
    <row r="18" spans="2:15" ht="20.100000000000001" customHeight="1" x14ac:dyDescent="0.25">
      <c r="B18" s="161"/>
      <c r="C18" s="67"/>
      <c r="D18" s="67"/>
      <c r="E18" s="75" t="s">
        <v>95</v>
      </c>
      <c r="F18" s="79">
        <v>10</v>
      </c>
      <c r="G18" s="67"/>
      <c r="H18" s="60"/>
      <c r="I18" s="73"/>
      <c r="J18" s="67"/>
      <c r="K18" s="205" t="str">
        <f>"Cost per conversion (" &amp; currency &amp; ")"</f>
        <v>Cost per conversion ($)</v>
      </c>
      <c r="L18" s="76">
        <f>IFERROR(SUM(InflueancerCost)/L17,"")</f>
        <v>0.96</v>
      </c>
      <c r="M18" s="67"/>
      <c r="N18" s="59"/>
      <c r="O18" s="165"/>
    </row>
    <row r="19" spans="2:15" ht="20.100000000000001" customHeight="1" x14ac:dyDescent="0.25">
      <c r="B19" s="161"/>
      <c r="C19" s="67"/>
      <c r="D19" s="210"/>
      <c r="E19" s="208"/>
      <c r="F19" s="211"/>
      <c r="G19" s="67"/>
      <c r="H19" s="60"/>
      <c r="I19" s="73"/>
      <c r="J19" s="67"/>
      <c r="K19" s="75"/>
      <c r="L19" s="102"/>
      <c r="M19" s="67"/>
      <c r="N19" s="59"/>
      <c r="O19" s="165"/>
    </row>
    <row r="20" spans="2:15" ht="20.100000000000001" customHeight="1" x14ac:dyDescent="0.25">
      <c r="B20" s="161"/>
      <c r="C20" s="67"/>
      <c r="D20" s="67"/>
      <c r="E20" s="75" t="s">
        <v>92</v>
      </c>
      <c r="F20" s="110">
        <v>15</v>
      </c>
      <c r="G20" s="67"/>
      <c r="H20" s="60"/>
      <c r="I20" s="73"/>
      <c r="J20" s="67"/>
      <c r="K20" s="75" t="s">
        <v>101</v>
      </c>
      <c r="L20" s="77">
        <f>IFERROR(IF(ISNUMBER(F27),F27*F10,""),"")</f>
        <v>400</v>
      </c>
      <c r="M20" s="67"/>
      <c r="N20" s="59"/>
      <c r="O20" s="165"/>
    </row>
    <row r="21" spans="2:15" ht="20.100000000000001" customHeight="1" x14ac:dyDescent="0.25">
      <c r="B21" s="161"/>
      <c r="C21" s="67"/>
      <c r="D21" s="67"/>
      <c r="E21" s="75" t="s">
        <v>98</v>
      </c>
      <c r="F21" s="74">
        <v>1.2</v>
      </c>
      <c r="G21" s="67"/>
      <c r="H21" s="60"/>
      <c r="I21" s="73"/>
      <c r="J21" s="67"/>
      <c r="K21" s="205" t="str">
        <f>"Cost per sale (" &amp; currency &amp; ")"</f>
        <v>Cost per sale ($)</v>
      </c>
      <c r="L21" s="76">
        <f>IFERROR(SUM(InflueancerCost)/L20,"")</f>
        <v>4.8</v>
      </c>
      <c r="M21" s="67"/>
      <c r="N21" s="59"/>
      <c r="O21" s="165"/>
    </row>
    <row r="22" spans="2:15" ht="20.100000000000001" customHeight="1" x14ac:dyDescent="0.25">
      <c r="B22" s="161"/>
      <c r="C22" s="67"/>
      <c r="D22" s="210"/>
      <c r="E22" s="208"/>
      <c r="F22" s="209"/>
      <c r="G22" s="67"/>
      <c r="H22" s="60"/>
      <c r="I22" s="73"/>
      <c r="J22" s="67"/>
      <c r="K22" s="205" t="str">
        <f>"Projected Sales (" &amp; currency &amp; ")"</f>
        <v>Projected Sales ($)</v>
      </c>
      <c r="L22" s="76">
        <f>IFERROR(IF(ISNUMBER(F29),F29*L20,""),"")</f>
        <v>6000</v>
      </c>
      <c r="M22" s="67"/>
      <c r="N22" s="59"/>
      <c r="O22" s="165"/>
    </row>
    <row r="23" spans="2:15" ht="20.100000000000001" customHeight="1" x14ac:dyDescent="0.25">
      <c r="B23" s="161"/>
      <c r="C23" s="67"/>
      <c r="D23" s="67"/>
      <c r="E23" s="75" t="s">
        <v>97</v>
      </c>
      <c r="F23" s="109">
        <v>0.03</v>
      </c>
      <c r="G23" s="67"/>
      <c r="H23" s="60"/>
      <c r="I23" s="73"/>
      <c r="J23" s="67"/>
      <c r="K23" s="205" t="str">
        <f>"Total LTV of gained customers  (" &amp; currency &amp; ")"</f>
        <v>Total LTV of gained customers  ($)</v>
      </c>
      <c r="L23" s="76">
        <f>IFERROR(L20*F30,"")</f>
        <v>22000</v>
      </c>
      <c r="M23" s="67"/>
      <c r="N23" s="60" t="str">
        <f>IF(ISNUMBER(L23),"Not included in ROI results.","")</f>
        <v>Not included in ROI results.</v>
      </c>
      <c r="O23" s="165"/>
    </row>
    <row r="24" spans="2:15" ht="20.100000000000001" customHeight="1" x14ac:dyDescent="0.25">
      <c r="B24" s="161"/>
      <c r="C24" s="67"/>
      <c r="D24" s="67"/>
      <c r="E24" s="75" t="s">
        <v>159</v>
      </c>
      <c r="F24" s="91">
        <v>85</v>
      </c>
      <c r="G24" s="67"/>
      <c r="H24" s="68"/>
      <c r="I24" s="73"/>
      <c r="J24" s="67"/>
      <c r="K24" s="75"/>
      <c r="L24" s="102"/>
      <c r="M24" s="67"/>
      <c r="N24" s="59"/>
      <c r="O24" s="165"/>
    </row>
    <row r="25" spans="2:15" ht="20.100000000000001" customHeight="1" x14ac:dyDescent="0.25">
      <c r="B25" s="161"/>
      <c r="C25" s="67"/>
      <c r="D25" s="210"/>
      <c r="E25" s="208"/>
      <c r="F25" s="211"/>
      <c r="G25" s="67"/>
      <c r="H25" s="68"/>
      <c r="I25" s="73"/>
      <c r="J25" s="67"/>
      <c r="K25" s="75" t="s">
        <v>22</v>
      </c>
      <c r="L25" s="78">
        <f>IFERROR((L22-SUM(InflueancerCost))/SUM(InflueancerCost),"")</f>
        <v>2.125</v>
      </c>
      <c r="M25" s="67"/>
      <c r="N25" s="59"/>
      <c r="O25" s="165"/>
    </row>
    <row r="26" spans="2:15" ht="20.100000000000001" customHeight="1" x14ac:dyDescent="0.25">
      <c r="B26" s="161"/>
      <c r="C26" s="67"/>
      <c r="D26" s="81"/>
      <c r="E26" s="75" t="s">
        <v>11</v>
      </c>
      <c r="F26" s="80">
        <v>0.05</v>
      </c>
      <c r="G26" s="67"/>
      <c r="H26" s="68"/>
      <c r="I26" s="73"/>
      <c r="J26" s="67"/>
      <c r="K26" s="75" t="s">
        <v>21</v>
      </c>
      <c r="L26" s="78">
        <f>IFERROR((L22)/SUM(InflueancerCost),"")</f>
        <v>3.125</v>
      </c>
      <c r="M26" s="67"/>
      <c r="N26" s="60" t="str">
        <f>IF(LEN(L26)&gt;0,IF((L22)/SUM(InflueancerCost)&gt;1,"Per each 1" &amp; currency &amp; " spend, you earn " &amp; ROUND((L22)/SUM(InflueancerCost),2) &amp; currency,"Your results are below investment."),"")</f>
        <v>Per each 1$ spend, you earn 3,13$</v>
      </c>
      <c r="O26" s="165"/>
    </row>
    <row r="27" spans="2:15" ht="20.100000000000001" customHeight="1" x14ac:dyDescent="0.25">
      <c r="B27" s="161"/>
      <c r="C27" s="67"/>
      <c r="D27" s="81"/>
      <c r="E27" s="206" t="s">
        <v>99</v>
      </c>
      <c r="F27" s="80">
        <v>0.01</v>
      </c>
      <c r="G27" s="67"/>
      <c r="H27" s="68"/>
      <c r="I27" s="73"/>
      <c r="J27" s="67"/>
      <c r="K27" s="205" t="str">
        <f>"Break even sale value (" &amp; currency &amp; ")"</f>
        <v>Break even sale value ($)</v>
      </c>
      <c r="L27" s="76">
        <f>IFERROR(SUM(InflueancerCost)/L20,"")</f>
        <v>4.8</v>
      </c>
      <c r="M27" s="67"/>
      <c r="N27" s="60" t="str">
        <f>IF(ISNUMBER(L27),"Minimum sale value for positive ROI","")</f>
        <v>Minimum sale value for positive ROI</v>
      </c>
      <c r="O27" s="165"/>
    </row>
    <row r="28" spans="2:15" ht="20.100000000000001" customHeight="1" x14ac:dyDescent="0.25">
      <c r="B28" s="161"/>
      <c r="C28" s="67"/>
      <c r="D28" s="210"/>
      <c r="E28" s="208"/>
      <c r="F28" s="213"/>
      <c r="G28" s="67"/>
      <c r="H28" s="68"/>
      <c r="I28" s="73"/>
      <c r="J28" s="67"/>
      <c r="K28" s="75" t="s">
        <v>9</v>
      </c>
      <c r="L28" s="77">
        <f>IFERROR(SUM(InflueancerCost)/F29,"")</f>
        <v>128</v>
      </c>
      <c r="M28" s="67"/>
      <c r="N28" s="60" t="str">
        <f>IF(ISNUMBER(L28),"Minimum buyers # for positive ROI","")</f>
        <v>Minimum buyers # for positive ROI</v>
      </c>
      <c r="O28" s="165"/>
    </row>
    <row r="29" spans="2:15" ht="20.100000000000001" customHeight="1" x14ac:dyDescent="0.25">
      <c r="B29" s="161"/>
      <c r="C29" s="67"/>
      <c r="D29" s="81"/>
      <c r="E29" s="205" t="str">
        <f>"Average Order Value (" &amp; currency &amp; ")"</f>
        <v>Average Order Value ($)</v>
      </c>
      <c r="F29" s="74">
        <v>15</v>
      </c>
      <c r="G29" s="67"/>
      <c r="H29" s="60" t="str">
        <f>IF(ISNUMBER(F29),"","← Don't leave it empty.")</f>
        <v/>
      </c>
      <c r="I29" s="73"/>
      <c r="J29" s="67"/>
      <c r="K29" s="75"/>
      <c r="L29" s="93"/>
      <c r="M29" s="67"/>
      <c r="N29" s="59"/>
      <c r="O29" s="165"/>
    </row>
    <row r="30" spans="2:15" ht="20.100000000000001" customHeight="1" x14ac:dyDescent="0.25">
      <c r="B30" s="161"/>
      <c r="C30" s="67"/>
      <c r="D30" s="81"/>
      <c r="E30" s="205" t="str">
        <f>"Average Lifetime value (LTV) (" &amp; currency &amp; ")"</f>
        <v>Average Lifetime value (LTV) ($)</v>
      </c>
      <c r="F30" s="64">
        <v>55</v>
      </c>
      <c r="G30" s="67"/>
      <c r="H30" s="68"/>
      <c r="I30" s="73"/>
      <c r="J30" s="67"/>
      <c r="K30" s="206" t="s">
        <v>147</v>
      </c>
      <c r="L30" s="64"/>
      <c r="M30" s="81"/>
      <c r="N30" s="68"/>
      <c r="O30" s="165"/>
    </row>
    <row r="31" spans="2:15" ht="20.100000000000001" customHeight="1" x14ac:dyDescent="0.25">
      <c r="B31" s="161"/>
      <c r="C31" s="67"/>
      <c r="D31" s="210"/>
      <c r="E31" s="208"/>
      <c r="F31" s="211"/>
      <c r="G31" s="67"/>
      <c r="H31" s="68"/>
      <c r="I31" s="73"/>
      <c r="J31" s="67"/>
      <c r="K31" s="206" t="s">
        <v>147</v>
      </c>
      <c r="L31" s="64"/>
      <c r="M31" s="81"/>
      <c r="N31" s="68"/>
      <c r="O31" s="165"/>
    </row>
    <row r="32" spans="2:15" ht="20.100000000000001" customHeight="1" x14ac:dyDescent="0.25">
      <c r="B32" s="161"/>
      <c r="C32" s="67"/>
      <c r="D32" s="81"/>
      <c r="E32" s="206" t="s">
        <v>148</v>
      </c>
      <c r="F32" s="64"/>
      <c r="G32" s="81"/>
      <c r="H32" s="68"/>
      <c r="I32" s="103"/>
      <c r="J32" s="81"/>
      <c r="K32" s="206" t="s">
        <v>147</v>
      </c>
      <c r="L32" s="64"/>
      <c r="M32" s="81"/>
      <c r="N32" s="68"/>
      <c r="O32" s="165"/>
    </row>
    <row r="33" spans="2:15" ht="20.100000000000001" customHeight="1" x14ac:dyDescent="0.25">
      <c r="B33" s="161"/>
      <c r="C33" s="67"/>
      <c r="D33" s="81"/>
      <c r="E33" s="206" t="s">
        <v>148</v>
      </c>
      <c r="F33" s="64"/>
      <c r="G33" s="81"/>
      <c r="H33" s="68"/>
      <c r="I33" s="103"/>
      <c r="J33" s="81"/>
      <c r="K33" s="206" t="s">
        <v>147</v>
      </c>
      <c r="L33" s="64"/>
      <c r="M33" s="81"/>
      <c r="N33" s="68"/>
      <c r="O33" s="165"/>
    </row>
    <row r="34" spans="2:15" ht="20.100000000000001" customHeight="1" x14ac:dyDescent="0.25">
      <c r="B34" s="161"/>
      <c r="C34" s="67"/>
      <c r="D34" s="81"/>
      <c r="E34" s="206" t="s">
        <v>148</v>
      </c>
      <c r="F34" s="64"/>
      <c r="G34" s="81"/>
      <c r="H34" s="68"/>
      <c r="I34" s="103"/>
      <c r="J34" s="81"/>
      <c r="K34" s="206" t="s">
        <v>147</v>
      </c>
      <c r="L34" s="64"/>
      <c r="M34" s="81"/>
      <c r="N34" s="68"/>
      <c r="O34" s="177"/>
    </row>
    <row r="35" spans="2:15" ht="20.100000000000001" customHeight="1" x14ac:dyDescent="0.25">
      <c r="B35" s="161"/>
      <c r="C35" s="67"/>
      <c r="D35" s="81"/>
      <c r="E35" s="206" t="s">
        <v>148</v>
      </c>
      <c r="F35" s="64"/>
      <c r="G35" s="81"/>
      <c r="H35" s="68"/>
      <c r="I35" s="103"/>
      <c r="J35" s="81"/>
      <c r="K35" s="206" t="s">
        <v>147</v>
      </c>
      <c r="L35" s="64"/>
      <c r="M35" s="81"/>
      <c r="N35" s="68"/>
      <c r="O35" s="177"/>
    </row>
    <row r="36" spans="2:15" ht="20.100000000000001" customHeight="1" x14ac:dyDescent="0.25">
      <c r="B36" s="161"/>
      <c r="C36" s="67"/>
      <c r="D36" s="81"/>
      <c r="E36" s="206" t="s">
        <v>148</v>
      </c>
      <c r="F36" s="64"/>
      <c r="G36" s="81"/>
      <c r="H36" s="68"/>
      <c r="I36" s="103"/>
      <c r="J36" s="81"/>
      <c r="K36" s="206" t="s">
        <v>147</v>
      </c>
      <c r="L36" s="64"/>
      <c r="M36" s="81"/>
      <c r="N36" s="68"/>
      <c r="O36" s="177"/>
    </row>
    <row r="37" spans="2:15" ht="20.100000000000001" customHeight="1" x14ac:dyDescent="0.25">
      <c r="B37" s="161"/>
      <c r="C37" s="67"/>
      <c r="D37" s="81"/>
      <c r="E37" s="206" t="s">
        <v>148</v>
      </c>
      <c r="F37" s="64"/>
      <c r="G37" s="81"/>
      <c r="H37" s="68"/>
      <c r="I37" s="103"/>
      <c r="J37" s="81"/>
      <c r="K37" s="206" t="s">
        <v>147</v>
      </c>
      <c r="L37" s="64"/>
      <c r="M37" s="81"/>
      <c r="N37" s="68"/>
      <c r="O37" s="177"/>
    </row>
    <row r="38" spans="2:15" ht="20.100000000000001" customHeight="1" x14ac:dyDescent="0.25">
      <c r="B38" s="161"/>
      <c r="C38" s="67"/>
      <c r="D38" s="81"/>
      <c r="E38" s="206" t="s">
        <v>148</v>
      </c>
      <c r="F38" s="64"/>
      <c r="G38" s="81"/>
      <c r="H38" s="68"/>
      <c r="I38" s="103"/>
      <c r="J38" s="81"/>
      <c r="K38" s="206" t="s">
        <v>147</v>
      </c>
      <c r="L38" s="64"/>
      <c r="M38" s="81"/>
      <c r="N38" s="68"/>
      <c r="O38" s="177"/>
    </row>
    <row r="39" spans="2:15" ht="20.100000000000001" customHeight="1" x14ac:dyDescent="0.25">
      <c r="B39" s="161"/>
      <c r="C39" s="67"/>
      <c r="D39" s="81"/>
      <c r="E39" s="206" t="s">
        <v>148</v>
      </c>
      <c r="F39" s="64"/>
      <c r="G39" s="81"/>
      <c r="H39" s="68"/>
      <c r="I39" s="103"/>
      <c r="J39" s="81"/>
      <c r="K39" s="206" t="s">
        <v>147</v>
      </c>
      <c r="L39" s="64"/>
      <c r="M39" s="81"/>
      <c r="N39" s="68"/>
      <c r="O39" s="177"/>
    </row>
    <row r="40" spans="2:15" ht="20.100000000000001" customHeight="1" x14ac:dyDescent="0.25">
      <c r="B40" s="161"/>
      <c r="C40" s="67"/>
      <c r="D40" s="81"/>
      <c r="E40" s="206" t="s">
        <v>148</v>
      </c>
      <c r="F40" s="64"/>
      <c r="G40" s="81"/>
      <c r="H40" s="68"/>
      <c r="I40" s="103"/>
      <c r="J40" s="81"/>
      <c r="K40" s="206" t="s">
        <v>147</v>
      </c>
      <c r="L40" s="64"/>
      <c r="M40" s="81"/>
      <c r="N40" s="68"/>
      <c r="O40" s="177"/>
    </row>
    <row r="41" spans="2:15" ht="20.100000000000001" customHeight="1" x14ac:dyDescent="0.25">
      <c r="B41" s="161"/>
      <c r="C41" s="67"/>
      <c r="D41" s="81"/>
      <c r="E41" s="206" t="s">
        <v>148</v>
      </c>
      <c r="F41" s="64"/>
      <c r="G41" s="81"/>
      <c r="H41" s="68"/>
      <c r="I41" s="103"/>
      <c r="J41" s="81"/>
      <c r="K41" s="206" t="s">
        <v>147</v>
      </c>
      <c r="L41" s="64"/>
      <c r="M41" s="81"/>
      <c r="N41" s="68"/>
      <c r="O41" s="177"/>
    </row>
    <row r="42" spans="2:15" ht="20.100000000000001" customHeight="1" x14ac:dyDescent="0.25">
      <c r="B42" s="161"/>
      <c r="C42" s="67"/>
      <c r="D42" s="81"/>
      <c r="E42" s="206" t="s">
        <v>148</v>
      </c>
      <c r="F42" s="64"/>
      <c r="G42" s="81"/>
      <c r="H42" s="68"/>
      <c r="I42" s="103"/>
      <c r="J42" s="81"/>
      <c r="K42" s="206" t="s">
        <v>147</v>
      </c>
      <c r="L42" s="64"/>
      <c r="M42" s="81"/>
      <c r="N42" s="68"/>
      <c r="O42" s="177"/>
    </row>
    <row r="43" spans="2:15" ht="20.100000000000001" customHeight="1" x14ac:dyDescent="0.25">
      <c r="B43" s="161"/>
      <c r="C43" s="67"/>
      <c r="D43" s="81"/>
      <c r="E43" s="206" t="s">
        <v>148</v>
      </c>
      <c r="F43" s="64"/>
      <c r="G43" s="81"/>
      <c r="H43" s="68"/>
      <c r="I43" s="103"/>
      <c r="J43" s="81"/>
      <c r="K43" s="206" t="s">
        <v>147</v>
      </c>
      <c r="L43" s="64"/>
      <c r="M43" s="81"/>
      <c r="N43" s="68"/>
      <c r="O43" s="177"/>
    </row>
    <row r="44" spans="2:15" ht="20.100000000000001" customHeight="1" x14ac:dyDescent="0.25">
      <c r="B44" s="161"/>
      <c r="C44" s="67"/>
      <c r="D44" s="81"/>
      <c r="E44" s="206" t="s">
        <v>148</v>
      </c>
      <c r="F44" s="64"/>
      <c r="G44" s="81"/>
      <c r="H44" s="68"/>
      <c r="I44" s="103"/>
      <c r="J44" s="81"/>
      <c r="K44" s="206" t="s">
        <v>147</v>
      </c>
      <c r="L44" s="64"/>
      <c r="M44" s="81"/>
      <c r="N44" s="68"/>
      <c r="O44" s="177"/>
    </row>
    <row r="45" spans="2:15" ht="20.100000000000001" customHeight="1" x14ac:dyDescent="0.25">
      <c r="B45" s="161"/>
      <c r="C45" s="67"/>
      <c r="D45" s="81"/>
      <c r="E45" s="206" t="s">
        <v>148</v>
      </c>
      <c r="F45" s="64"/>
      <c r="G45" s="81"/>
      <c r="H45" s="68"/>
      <c r="I45" s="103"/>
      <c r="J45" s="81"/>
      <c r="K45" s="206" t="s">
        <v>147</v>
      </c>
      <c r="L45" s="64"/>
      <c r="M45" s="81"/>
      <c r="N45" s="68"/>
      <c r="O45" s="177"/>
    </row>
    <row r="46" spans="2:15" ht="20.100000000000001" customHeight="1" x14ac:dyDescent="0.25">
      <c r="B46" s="161"/>
      <c r="C46" s="67"/>
      <c r="D46" s="81"/>
      <c r="E46" s="206" t="s">
        <v>148</v>
      </c>
      <c r="F46" s="64"/>
      <c r="G46" s="81"/>
      <c r="H46" s="68"/>
      <c r="I46" s="103"/>
      <c r="J46" s="81"/>
      <c r="K46" s="206" t="s">
        <v>147</v>
      </c>
      <c r="L46" s="64"/>
      <c r="M46" s="81"/>
      <c r="N46" s="68"/>
      <c r="O46" s="177"/>
    </row>
    <row r="47" spans="2:15" ht="9.9499999999999993" customHeight="1" x14ac:dyDescent="0.25">
      <c r="B47" s="162"/>
      <c r="C47" s="178"/>
      <c r="D47" s="178"/>
      <c r="E47" s="182"/>
      <c r="F47" s="178"/>
      <c r="G47" s="178"/>
      <c r="H47" s="179"/>
      <c r="I47" s="171"/>
      <c r="J47" s="178"/>
      <c r="K47" s="182"/>
      <c r="L47" s="178"/>
      <c r="M47" s="178"/>
      <c r="N47" s="179"/>
      <c r="O47" s="181"/>
    </row>
    <row r="48" spans="2:15" ht="6.95" customHeight="1" x14ac:dyDescent="0.25">
      <c r="B48" s="23"/>
      <c r="C48" s="23"/>
      <c r="D48" s="23"/>
      <c r="E48" s="23"/>
      <c r="F48" s="23"/>
      <c r="G48" s="23"/>
      <c r="H48" s="19"/>
      <c r="I48" s="23"/>
      <c r="J48" s="23"/>
      <c r="L48" s="23"/>
      <c r="M48" s="23"/>
      <c r="N48" s="24"/>
      <c r="O48" s="23"/>
    </row>
    <row r="49" spans="2:15" ht="23.1" customHeight="1" x14ac:dyDescent="0.25">
      <c r="B49" s="121"/>
      <c r="C49" s="122"/>
      <c r="D49" s="123"/>
      <c r="E49" s="124"/>
      <c r="F49" s="124"/>
      <c r="G49" s="121"/>
      <c r="H49" s="124"/>
      <c r="I49" s="124"/>
      <c r="J49" s="124"/>
      <c r="K49" s="124"/>
      <c r="L49" s="124"/>
      <c r="M49" s="124"/>
      <c r="N49" s="124"/>
      <c r="O49" s="124"/>
    </row>
  </sheetData>
  <sheetProtection algorithmName="SHA-512" hashValue="zVOOMoKS7UPcmQnyzIzDZMs40u6grL2bjv8142uXg8sISH3ceHdHLSUokRL7nO8pNBZs0Jf6WxZ4zcO7QZ+NWg==" saltValue="8QBvlkJgYZw5mqiYTIx9lA==" spinCount="100000" sheet="1" objects="1" scenarios="1"/>
  <conditionalFormatting sqref="E32:E46 K30:K46">
    <cfRule type="expression" dxfId="29" priority="10">
      <formula>OR(E30="Input …",E30="Output …")</formula>
    </cfRule>
  </conditionalFormatting>
  <conditionalFormatting sqref="F7:F46">
    <cfRule type="expression" dxfId="28" priority="7">
      <formula>LEN($E7)&gt;0</formula>
    </cfRule>
  </conditionalFormatting>
  <conditionalFormatting sqref="E7:F46">
    <cfRule type="expression" dxfId="27" priority="6">
      <formula>LEN($E7)&gt;0</formula>
    </cfRule>
  </conditionalFormatting>
  <conditionalFormatting sqref="L7:L46">
    <cfRule type="expression" dxfId="26" priority="4">
      <formula>LEN($K7)&gt;0</formula>
    </cfRule>
  </conditionalFormatting>
  <conditionalFormatting sqref="K7:L46">
    <cfRule type="expression" dxfId="25" priority="3">
      <formula>LEN($K7)&gt;0</formula>
    </cfRule>
  </conditionalFormatting>
  <conditionalFormatting sqref="J7:J46">
    <cfRule type="expression" dxfId="24" priority="2">
      <formula>LEN($K7)&gt;0</formula>
    </cfRule>
  </conditionalFormatting>
  <conditionalFormatting sqref="D7:D46">
    <cfRule type="expression" dxfId="23" priority="1">
      <formula>LEN($E7)&gt;0</formula>
    </cfRule>
  </conditionalFormatting>
  <dataValidations count="32">
    <dataValidation allowBlank="1" showInputMessage="1" showErrorMessage="1" prompt="Branded posts" sqref="E18" xr:uid="{DEB44BDC-0A5A-420D-B83F-30E4E2046D28}"/>
    <dataValidation allowBlank="1" showInputMessage="1" showErrorMessage="1" prompt="AQS 80-100 are most likely to have a high-quality audience, But 50-60 is not a disaster" sqref="E24" xr:uid="{D823362B-DEE0-4D9F-B3FA-446B40974E5A}"/>
    <dataValidation allowBlank="1" showInputMessage="1" showErrorMessage="1" prompt="% of real people among influencer's followers. Minimum 75%." sqref="E11" xr:uid="{2F577227-913A-4EA0-8CBD-8A4E85C76C5E}"/>
    <dataValidation allowBlank="1" showInputMessage="1" showErrorMessage="1" prompt="Check if there are no abnormal sudden spikes on the graph." sqref="E23" xr:uid="{E6AB347A-F6AE-4A9C-B920-3508B647DC72}"/>
    <dataValidation allowBlank="1" showInputMessage="1" showErrorMessage="1" prompt="Once per day is optimal, with a maximum of two posts per day." sqref="E21" xr:uid="{9CAF47FB-00C8-4C36-A36A-4F12748C0199}"/>
    <dataValidation allowBlank="1" showInputMessage="1" showErrorMessage="1" prompt="2:10 = Quality - worth a follow_x000a_10:300,000+ = Influencer" sqref="E20" xr:uid="{D557B889-7EE9-4FEC-9154-57F1CEAC81F0}"/>
    <dataValidation allowBlank="1" showInputMessage="1" showErrorMessage="1" prompt="Revenue per email" sqref="E29" xr:uid="{C6E4307B-2196-475B-BB20-9F043D260D65}"/>
    <dataValidation allowBlank="1" showInputMessage="1" showErrorMessage="1" prompt="High lifetime value of a customer can show you if it's worth to have a higher CPC even if it doesn't seem when compare to average close value." sqref="E30" xr:uid="{5987BF6B-C5D4-48BB-BF26-EB7C631C0959}"/>
    <dataValidation allowBlank="1" showInputMessage="1" showErrorMessage="1" promptTitle="ROI - expectations" prompt="&lt;0% - lost investment_x000a_&gt;0% - not loosing_x000a_&gt;350% - good marketing campaign _x000a_" sqref="K25" xr:uid="{CCFAF34F-B27D-4D62-8748-AF4A9D7DB996}"/>
    <dataValidation allowBlank="1" showInputMessage="1" showErrorMessage="1" promptTitle="ROAS - expectations" prompt="&lt;100% - bad_x000a_100% - 400% - not so well_x000a_&gt;400% - well invested money" sqref="K26" xr:uid="{D26B085D-965D-4D8E-BDE0-C2229738C8A1}"/>
    <dataValidation allowBlank="1" showInputMessage="1" showErrorMessage="1" prompt="Average cost per click:_x000a_0,5$ - 3$" sqref="K9" xr:uid="{3FD073B8-A24C-47F8-AE89-BDB75A3A178C}"/>
    <dataValidation allowBlank="1" showInputMessage="1" showErrorMessage="1" prompt="- Clicks from the story _x000a_- Clicks on your profile (visits)_x000a_- Website clicks_x000a_Divided by Impresions #" sqref="K8:K9" xr:uid="{6A2C5087-81D9-4AD2-A73B-193F1059D856}"/>
    <dataValidation allowBlank="1" showInputMessage="1" showErrorMessage="1" prompt="The number of people who have seen your post divided by the number of your followers." sqref="K8:K9" xr:uid="{1CA6A406-8C09-44D2-8571-85C1FD4C6A3A}"/>
    <dataValidation allowBlank="1" showInputMessage="1" showErrorMessage="1" prompt="(1000 * Total Cost ) divided by Impressions #" sqref="L7" xr:uid="{DD188BF6-432F-4F25-901A-55469309FC85}"/>
    <dataValidation allowBlank="1" showInputMessage="1" showErrorMessage="1" prompt="Total cost / Average Order Value" sqref="L28" xr:uid="{A9EBD8AF-2D46-42F6-A14F-F399B4AC74BF}"/>
    <dataValidation allowBlank="1" showInputMessage="1" showErrorMessage="1" prompt="Total cost / Buyers" sqref="L27 L21" xr:uid="{22139349-008D-46B3-BBF4-96F99987C2C0}"/>
    <dataValidation allowBlank="1" showInputMessage="1" showErrorMessage="1" prompt="Projected Sales / Total cost" sqref="L26" xr:uid="{E843A64D-8D9C-468C-A329-BEEA5EB73E7C}"/>
    <dataValidation allowBlank="1" showInputMessage="1" showErrorMessage="1" prompt="(Projected Sales - Total cost) / Total cost" sqref="L25" xr:uid="{DEB317A6-30C2-4AB8-91C4-7E6588C7C907}"/>
    <dataValidation allowBlank="1" showInputMessage="1" showErrorMessage="1" prompt="Total cost / Clicks" sqref="L9" xr:uid="{B573044A-015C-490A-8074-7E8319C7BA1D}"/>
    <dataValidation allowBlank="1" showInputMessage="1" showErrorMessage="1" prompt="Clicks / Impressions" sqref="L8" xr:uid="{D9EEC100-F85A-4884-A7BB-74D7A3B53BC5}"/>
    <dataValidation allowBlank="1" showInputMessage="1" showErrorMessage="1" prompt="Comments / Likes " sqref="L11" xr:uid="{3D49FA12-FACE-4D3D-9DD0-693184017FBF}"/>
    <dataValidation allowBlank="1" showInputMessage="1" showErrorMessage="1" prompt="Likes + Replies + Shares + Comments" sqref="L12" xr:uid="{647C1564-A490-44F2-8212-7FD3175D30CC}"/>
    <dataValidation allowBlank="1" showInputMessage="1" showErrorMessage="1" prompt="Engagements / Followers" sqref="L13" xr:uid="{79CEAFC0-EB8C-4B5E-AF57-995C38473C3B}"/>
    <dataValidation allowBlank="1" showInputMessage="1" showErrorMessage="1" prompt="Total cost / Engagements" sqref="L14" xr:uid="{87409F54-30F4-4054-BAD0-6FCFCB3782CE}"/>
    <dataValidation allowBlank="1" showInputMessage="1" showErrorMessage="1" prompt="Conversion Rate * Followers" sqref="L17" xr:uid="{C19059C4-029D-4806-9357-1CFA61D76428}"/>
    <dataValidation allowBlank="1" showInputMessage="1" showErrorMessage="1" prompt="In case of Influencer, we take his Followers # as equivalent to Impressions #" sqref="E10" xr:uid="{25A0EF75-8E83-4CBF-807E-CB025BDEB94D}"/>
    <dataValidation allowBlank="1" showInputMessage="1" showErrorMessage="1" prompt="Total cost / Conversions" sqref="L18" xr:uid="{9B183F13-EE57-4AB7-8274-66253B362245}"/>
    <dataValidation allowBlank="1" showInputMessage="1" showErrorMessage="1" prompt="Sales rate * Followers" sqref="L20" xr:uid="{3FDB3CCB-FFC2-4DDF-AD46-3BBE6F3DB40D}"/>
    <dataValidation allowBlank="1" showInputMessage="1" showErrorMessage="1" prompt="Buyers * Average Order Value" sqref="L22" xr:uid="{2714D0B3-DD65-4478-BDCF-975C9482D76A}"/>
    <dataValidation allowBlank="1" showInputMessage="1" showErrorMessage="1" prompt="Buyers * LTV" sqref="L23" xr:uid="{6593174A-66A3-4042-8D25-7A0359C04833}"/>
    <dataValidation allowBlank="1" showInputMessage="1" showErrorMessage="1" prompt="Total cost / Mentions" sqref="L15" xr:uid="{8C3E292B-CC00-4CCD-9C0F-72E90E75D6A1}"/>
    <dataValidation allowBlank="1" showInputMessage="1" showErrorMessage="1" prompt="Optional" sqref="F8" xr:uid="{DD67CA7A-331D-43D7-BEA2-B6237FE54581}"/>
  </dataValidations>
  <printOptions horizontalCentered="1"/>
  <pageMargins left="0.31496062992125984" right="0.31496062992125984" top="0.31496062992125984" bottom="0.31496062992125984" header="0.31496062992125984" footer="0.31496062992125984"/>
  <pageSetup scale="6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4" id="{55352A5E-C99E-45F8-9918-51555FFC476A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3.5</xm:f>
              </x14:cfvo>
            </x14:iconSet>
          </x14:cfRule>
          <xm:sqref>L25</xm:sqref>
        </x14:conditionalFormatting>
        <x14:conditionalFormatting xmlns:xm="http://schemas.microsoft.com/office/excel/2006/main">
          <x14:cfRule type="iconSet" priority="13" id="{705254CD-035E-4033-97F6-1187FF28558F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4</xm:f>
              </x14:cfvo>
            </x14:iconSet>
          </x14:cfRule>
          <xm:sqref>L26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F06EA-02EF-459E-95E5-1503551E4932}">
  <sheetPr codeName="Sheet14">
    <pageSetUpPr fitToPage="1"/>
  </sheetPr>
  <dimension ref="B1:O49"/>
  <sheetViews>
    <sheetView showGridLines="0" showRowColHeaders="0" workbookViewId="0">
      <pane ySplit="5" topLeftCell="A6" activePane="bottomLeft" state="frozen"/>
      <selection activeCell="A6" sqref="A6"/>
      <selection pane="bottomLeft" activeCell="A6" sqref="A6"/>
    </sheetView>
  </sheetViews>
  <sheetFormatPr defaultRowHeight="20.100000000000001" customHeight="1" x14ac:dyDescent="0.25"/>
  <cols>
    <col min="1" max="1" width="3.7109375" style="16" customWidth="1"/>
    <col min="2" max="2" width="12.7109375" style="16" customWidth="1"/>
    <col min="3" max="4" width="1.7109375" style="16" customWidth="1"/>
    <col min="5" max="5" width="35.7109375" style="16" customWidth="1"/>
    <col min="6" max="6" width="12.7109375" style="16" customWidth="1"/>
    <col min="7" max="7" width="1.7109375" style="16" customWidth="1"/>
    <col min="8" max="8" width="30.7109375" style="16" customWidth="1"/>
    <col min="9" max="9" width="3.7109375" style="16" customWidth="1"/>
    <col min="10" max="10" width="1.7109375" style="16" customWidth="1"/>
    <col min="11" max="11" width="35.7109375" style="16" customWidth="1"/>
    <col min="12" max="12" width="12.7109375" style="16" customWidth="1"/>
    <col min="13" max="13" width="1.7109375" style="16" customWidth="1"/>
    <col min="14" max="14" width="30.7109375" style="16" customWidth="1"/>
    <col min="15" max="15" width="1.7109375" style="16" customWidth="1"/>
    <col min="16" max="16384" width="9.140625" style="16"/>
  </cols>
  <sheetData>
    <row r="1" spans="2:15" ht="6.75" customHeight="1" x14ac:dyDescent="0.25"/>
    <row r="2" spans="2:15" s="136" customFormat="1" ht="20.100000000000001" customHeight="1" x14ac:dyDescent="0.3">
      <c r="B2" s="149"/>
      <c r="C2" s="150" t="s">
        <v>150</v>
      </c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2:15" s="139" customFormat="1" ht="24" customHeight="1" x14ac:dyDescent="0.35">
      <c r="B3" s="45"/>
      <c r="C3" s="145" t="s">
        <v>132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2:15" ht="9.9499999999999993" customHeight="1" x14ac:dyDescent="0.25">
      <c r="B4" s="42"/>
      <c r="C4" s="18"/>
      <c r="D4" s="18"/>
      <c r="E4" s="18"/>
      <c r="F4" s="18"/>
      <c r="G4" s="18"/>
      <c r="H4" s="52"/>
      <c r="I4" s="53"/>
      <c r="J4" s="18"/>
      <c r="K4" s="18"/>
      <c r="L4" s="18"/>
      <c r="M4" s="18"/>
      <c r="N4" s="52"/>
      <c r="O4" s="175"/>
    </row>
    <row r="5" spans="2:15" ht="30" customHeight="1" x14ac:dyDescent="0.25">
      <c r="B5" s="42"/>
      <c r="C5" s="54"/>
      <c r="D5" s="55"/>
      <c r="E5" s="105" t="s">
        <v>15</v>
      </c>
      <c r="F5" s="105"/>
      <c r="G5" s="47"/>
      <c r="H5" s="107" t="s">
        <v>63</v>
      </c>
      <c r="I5" s="49"/>
      <c r="J5" s="50"/>
      <c r="K5" s="106" t="s">
        <v>20</v>
      </c>
      <c r="L5" s="106"/>
      <c r="M5" s="48"/>
      <c r="N5" s="107" t="s">
        <v>63</v>
      </c>
      <c r="O5" s="176"/>
    </row>
    <row r="6" spans="2:15" ht="9.9499999999999993" customHeight="1" x14ac:dyDescent="0.25">
      <c r="B6" s="161"/>
      <c r="C6" s="67"/>
      <c r="D6" s="67"/>
      <c r="E6" s="67"/>
      <c r="F6" s="67"/>
      <c r="G6" s="67"/>
      <c r="H6" s="59"/>
      <c r="I6" s="73"/>
      <c r="J6" s="67"/>
      <c r="K6" s="67"/>
      <c r="L6" s="67"/>
      <c r="M6" s="67"/>
      <c r="N6" s="59"/>
      <c r="O6" s="165"/>
    </row>
    <row r="7" spans="2:15" ht="20.100000000000001" customHeight="1" x14ac:dyDescent="0.25">
      <c r="B7" s="161"/>
      <c r="C7" s="67"/>
      <c r="D7" s="67"/>
      <c r="E7" s="205" t="str">
        <f>"Ad spend; monthly (" &amp; currency &amp; ")"</f>
        <v>Ad spend; monthly ($)</v>
      </c>
      <c r="F7" s="74">
        <v>1000</v>
      </c>
      <c r="G7" s="67"/>
      <c r="H7" s="60" t="str">
        <f>IF(ISNUMBER(F7),"","← Don't leave it empty.")</f>
        <v/>
      </c>
      <c r="I7" s="73"/>
      <c r="J7" s="67"/>
      <c r="K7" s="205" t="str">
        <f>"Cost per 1000 impressions (CPM) (" &amp; currency &amp; ")"</f>
        <v>Cost per 1000 impressions (CPM) ($)</v>
      </c>
      <c r="L7" s="76">
        <f>IFERROR(SUM(LInCost)*1000/F11,"")</f>
        <v>10.833333333333334</v>
      </c>
      <c r="M7" s="67"/>
      <c r="N7" s="59"/>
      <c r="O7" s="165"/>
    </row>
    <row r="8" spans="2:15" ht="20.100000000000001" customHeight="1" x14ac:dyDescent="0.25">
      <c r="B8" s="161"/>
      <c r="C8" s="67"/>
      <c r="D8" s="67"/>
      <c r="E8" s="205" t="str">
        <f>"Content cration cost (" &amp; currency &amp; ")"</f>
        <v>Content cration cost ($)</v>
      </c>
      <c r="F8" s="74"/>
      <c r="G8" s="67"/>
      <c r="H8" s="60"/>
      <c r="I8" s="73"/>
      <c r="J8" s="67"/>
      <c r="K8" s="75" t="s">
        <v>16</v>
      </c>
      <c r="L8" s="77">
        <f>IFERROR(SUM(F19:F21),"")</f>
        <v>1495</v>
      </c>
      <c r="M8" s="67"/>
      <c r="N8" s="59"/>
      <c r="O8" s="165"/>
    </row>
    <row r="9" spans="2:15" ht="20.100000000000001" customHeight="1" x14ac:dyDescent="0.25">
      <c r="B9" s="161"/>
      <c r="C9" s="67"/>
      <c r="D9" s="67"/>
      <c r="E9" s="205" t="str">
        <f>"Other costs (" &amp; currency &amp; ")"</f>
        <v>Other costs ($)</v>
      </c>
      <c r="F9" s="74">
        <v>300</v>
      </c>
      <c r="G9" s="67"/>
      <c r="H9" s="60"/>
      <c r="I9" s="73"/>
      <c r="J9" s="67"/>
      <c r="K9" s="75" t="s">
        <v>36</v>
      </c>
      <c r="L9" s="78">
        <f>IFERROR(L8/F11,"")</f>
        <v>1.2458333333333333E-2</v>
      </c>
      <c r="M9" s="67"/>
      <c r="N9" s="59"/>
      <c r="O9" s="165"/>
    </row>
    <row r="10" spans="2:15" ht="20.100000000000001" customHeight="1" x14ac:dyDescent="0.25">
      <c r="B10" s="161"/>
      <c r="C10" s="67"/>
      <c r="D10" s="210"/>
      <c r="E10" s="208"/>
      <c r="F10" s="211"/>
      <c r="G10" s="67"/>
      <c r="H10" s="60"/>
      <c r="I10" s="73"/>
      <c r="J10" s="67"/>
      <c r="K10" s="205" t="str">
        <f>"Cost per click (CPC) (" &amp; currency &amp; ")"</f>
        <v>Cost per click (CPC) ($)</v>
      </c>
      <c r="L10" s="76">
        <f>IFERROR(SUM(LInCost)/L8,"")</f>
        <v>0.86956521739130432</v>
      </c>
      <c r="M10" s="67"/>
      <c r="N10" s="59"/>
      <c r="O10" s="165"/>
    </row>
    <row r="11" spans="2:15" ht="20.100000000000001" customHeight="1" x14ac:dyDescent="0.25">
      <c r="B11" s="161"/>
      <c r="C11" s="67"/>
      <c r="D11" s="67"/>
      <c r="E11" s="75" t="s">
        <v>23</v>
      </c>
      <c r="F11" s="79">
        <v>120000</v>
      </c>
      <c r="G11" s="67"/>
      <c r="H11" s="60" t="str">
        <f>IF(ISNUMBER(F11),"","← Don't leave it empty.")</f>
        <v/>
      </c>
      <c r="I11" s="73"/>
      <c r="J11" s="67"/>
      <c r="K11" s="75"/>
      <c r="L11" s="108"/>
      <c r="M11" s="67"/>
      <c r="N11" s="59"/>
      <c r="O11" s="165"/>
    </row>
    <row r="12" spans="2:15" ht="20.100000000000001" customHeight="1" x14ac:dyDescent="0.25">
      <c r="B12" s="161"/>
      <c r="C12" s="67"/>
      <c r="D12" s="67"/>
      <c r="E12" s="206" t="s">
        <v>103</v>
      </c>
      <c r="F12" s="79">
        <v>430</v>
      </c>
      <c r="G12" s="67"/>
      <c r="H12" s="60"/>
      <c r="I12" s="73"/>
      <c r="J12" s="67"/>
      <c r="K12" s="206" t="s">
        <v>105</v>
      </c>
      <c r="L12" s="78">
        <f>IFERROR(L13/F11,"")</f>
        <v>1.6125E-2</v>
      </c>
      <c r="M12" s="67"/>
      <c r="N12" s="59"/>
      <c r="O12" s="165"/>
    </row>
    <row r="13" spans="2:15" ht="20.100000000000001" customHeight="1" x14ac:dyDescent="0.25">
      <c r="B13" s="161"/>
      <c r="C13" s="67"/>
      <c r="D13" s="67"/>
      <c r="E13" s="206" t="s">
        <v>160</v>
      </c>
      <c r="F13" s="79">
        <v>600</v>
      </c>
      <c r="G13" s="67"/>
      <c r="H13" s="60"/>
      <c r="I13" s="73"/>
      <c r="J13" s="67"/>
      <c r="K13" s="206" t="s">
        <v>110</v>
      </c>
      <c r="L13" s="77">
        <f>IFERROR(SUM(F16:F22),"")</f>
        <v>1935</v>
      </c>
      <c r="M13" s="67"/>
      <c r="N13" s="59"/>
      <c r="O13" s="165"/>
    </row>
    <row r="14" spans="2:15" ht="20.100000000000001" customHeight="1" x14ac:dyDescent="0.25">
      <c r="B14" s="161"/>
      <c r="C14" s="67"/>
      <c r="D14" s="67"/>
      <c r="E14" s="206" t="s">
        <v>93</v>
      </c>
      <c r="F14" s="79">
        <v>600</v>
      </c>
      <c r="G14" s="67"/>
      <c r="H14" s="60"/>
      <c r="I14" s="73"/>
      <c r="J14" s="67"/>
      <c r="K14" s="205" t="str">
        <f>"Cost per engagement (" &amp; currency &amp; ")"</f>
        <v>Cost per engagement ($)</v>
      </c>
      <c r="L14" s="76">
        <f>IFERROR(SUM(LInCost)/L13,"")</f>
        <v>0.67183462532299743</v>
      </c>
      <c r="M14" s="67"/>
      <c r="N14" s="59"/>
      <c r="O14" s="165"/>
    </row>
    <row r="15" spans="2:15" ht="20.100000000000001" customHeight="1" x14ac:dyDescent="0.25">
      <c r="B15" s="161"/>
      <c r="C15" s="67"/>
      <c r="D15" s="210"/>
      <c r="E15" s="208"/>
      <c r="F15" s="212"/>
      <c r="G15" s="67"/>
      <c r="H15" s="60"/>
      <c r="I15" s="73"/>
      <c r="J15" s="67"/>
      <c r="K15" s="75"/>
      <c r="L15" s="108"/>
      <c r="M15" s="67"/>
      <c r="N15" s="59"/>
      <c r="O15" s="165"/>
    </row>
    <row r="16" spans="2:15" ht="20.100000000000001" customHeight="1" x14ac:dyDescent="0.25">
      <c r="B16" s="161"/>
      <c r="C16" s="67"/>
      <c r="D16" s="67"/>
      <c r="E16" s="206" t="s">
        <v>104</v>
      </c>
      <c r="F16" s="79">
        <v>340</v>
      </c>
      <c r="G16" s="67"/>
      <c r="H16" s="60"/>
      <c r="I16" s="73"/>
      <c r="J16" s="67"/>
      <c r="K16" s="206" t="s">
        <v>123</v>
      </c>
      <c r="L16" s="77">
        <f>IFERROR(IF(ISNUMBER(F25),F25,IF(ISNUMBER(F26),F26*F14/(1+F26),"")),"")</f>
        <v>20.009666505558243</v>
      </c>
      <c r="M16" s="67"/>
      <c r="N16" s="59"/>
      <c r="O16" s="165"/>
    </row>
    <row r="17" spans="2:15" ht="20.100000000000001" customHeight="1" x14ac:dyDescent="0.25">
      <c r="B17" s="161"/>
      <c r="C17" s="67"/>
      <c r="D17" s="67"/>
      <c r="E17" s="206" t="s">
        <v>25</v>
      </c>
      <c r="F17" s="79">
        <v>50</v>
      </c>
      <c r="G17" s="67"/>
      <c r="H17" s="60"/>
      <c r="I17" s="73"/>
      <c r="J17" s="67"/>
      <c r="K17" s="206" t="s">
        <v>124</v>
      </c>
      <c r="L17" s="78">
        <f>IFERROR(IF(ISNUMBER(F26),F26,IF(ISNUMBER(F25),F25/(F14-F25),"")),"")</f>
        <v>3.4500000000000003E-2</v>
      </c>
      <c r="M17" s="67"/>
      <c r="N17" s="59"/>
      <c r="O17" s="165"/>
    </row>
    <row r="18" spans="2:15" ht="20.100000000000001" customHeight="1" x14ac:dyDescent="0.25">
      <c r="B18" s="161"/>
      <c r="C18" s="67"/>
      <c r="D18" s="67"/>
      <c r="E18" s="206" t="s">
        <v>94</v>
      </c>
      <c r="F18" s="79">
        <v>10</v>
      </c>
      <c r="G18" s="67"/>
      <c r="H18" s="60"/>
      <c r="I18" s="73"/>
      <c r="J18" s="67"/>
      <c r="K18" s="75"/>
      <c r="L18" s="108"/>
      <c r="M18" s="67"/>
      <c r="N18" s="59"/>
      <c r="O18" s="165"/>
    </row>
    <row r="19" spans="2:15" ht="20.100000000000001" customHeight="1" x14ac:dyDescent="0.25">
      <c r="B19" s="161"/>
      <c r="C19" s="67"/>
      <c r="D19" s="67"/>
      <c r="E19" s="206" t="s">
        <v>106</v>
      </c>
      <c r="F19" s="79">
        <v>85</v>
      </c>
      <c r="G19" s="67"/>
      <c r="H19" s="60"/>
      <c r="I19" s="73"/>
      <c r="J19" s="67"/>
      <c r="K19" s="75" t="s">
        <v>59</v>
      </c>
      <c r="L19" s="77">
        <f>IFERROR(IF(ISNUMBER(F28),F28,F29*L8),"")</f>
        <v>89.7</v>
      </c>
      <c r="M19" s="67"/>
      <c r="N19" s="59"/>
      <c r="O19" s="165"/>
    </row>
    <row r="20" spans="2:15" ht="20.100000000000001" customHeight="1" x14ac:dyDescent="0.25">
      <c r="B20" s="161"/>
      <c r="C20" s="67"/>
      <c r="D20" s="67"/>
      <c r="E20" s="206" t="s">
        <v>107</v>
      </c>
      <c r="F20" s="79">
        <v>210</v>
      </c>
      <c r="G20" s="67"/>
      <c r="H20" s="60"/>
      <c r="I20" s="73"/>
      <c r="J20" s="67"/>
      <c r="K20" s="75" t="s">
        <v>11</v>
      </c>
      <c r="L20" s="78">
        <f>IFERROR(IF(ISNUMBER(F29),F29,L19/L8),"")</f>
        <v>0.06</v>
      </c>
      <c r="M20" s="67"/>
      <c r="N20" s="59"/>
      <c r="O20" s="165"/>
    </row>
    <row r="21" spans="2:15" ht="20.100000000000001" customHeight="1" x14ac:dyDescent="0.25">
      <c r="B21" s="161"/>
      <c r="C21" s="67"/>
      <c r="D21" s="67"/>
      <c r="E21" s="206" t="s">
        <v>108</v>
      </c>
      <c r="F21" s="79">
        <v>1200</v>
      </c>
      <c r="G21" s="67"/>
      <c r="H21" s="60"/>
      <c r="I21" s="73"/>
      <c r="J21" s="67"/>
      <c r="K21" s="205" t="str">
        <f>"Cost per conversion (" &amp; currency &amp; ")"</f>
        <v>Cost per conversion ($)</v>
      </c>
      <c r="L21" s="76">
        <f>IFERROR(SUM(LInCost)/L19,"")</f>
        <v>14.492753623188406</v>
      </c>
      <c r="M21" s="67"/>
      <c r="N21" s="59"/>
      <c r="O21" s="165"/>
    </row>
    <row r="22" spans="2:15" ht="20.100000000000001" customHeight="1" x14ac:dyDescent="0.25">
      <c r="B22" s="161"/>
      <c r="C22" s="67"/>
      <c r="D22" s="67"/>
      <c r="E22" s="206" t="s">
        <v>114</v>
      </c>
      <c r="F22" s="79">
        <v>40</v>
      </c>
      <c r="G22" s="67"/>
      <c r="H22" s="60"/>
      <c r="I22" s="73"/>
      <c r="J22" s="67"/>
      <c r="K22" s="75"/>
      <c r="L22" s="82"/>
      <c r="M22" s="67"/>
      <c r="N22" s="59"/>
      <c r="O22" s="165"/>
    </row>
    <row r="23" spans="2:15" ht="20.100000000000001" customHeight="1" x14ac:dyDescent="0.25">
      <c r="B23" s="161"/>
      <c r="C23" s="67"/>
      <c r="D23" s="67"/>
      <c r="E23" s="206" t="s">
        <v>45</v>
      </c>
      <c r="F23" s="79">
        <v>20</v>
      </c>
      <c r="G23" s="67"/>
      <c r="H23" s="60"/>
      <c r="I23" s="73"/>
      <c r="J23" s="67"/>
      <c r="K23" s="75" t="s">
        <v>101</v>
      </c>
      <c r="L23" s="77">
        <f>IFERROR(IF(ISNUMBER(F31),F31,IF(ISNUMBER(F32),F32*L8,"")),"")</f>
        <v>44.85</v>
      </c>
      <c r="M23" s="67"/>
      <c r="N23" s="59"/>
      <c r="O23" s="165"/>
    </row>
    <row r="24" spans="2:15" ht="20.100000000000001" customHeight="1" x14ac:dyDescent="0.25">
      <c r="B24" s="161"/>
      <c r="C24" s="67"/>
      <c r="D24" s="210"/>
      <c r="E24" s="208"/>
      <c r="F24" s="212"/>
      <c r="G24" s="67"/>
      <c r="H24" s="60"/>
      <c r="I24" s="73"/>
      <c r="J24" s="67"/>
      <c r="K24" s="75" t="s">
        <v>18</v>
      </c>
      <c r="L24" s="78">
        <f>IFERROR(IF(ISNUMBER(F32),F32, IF(ISNUMBER(F31), F31/L8,L20)),"")</f>
        <v>0.03</v>
      </c>
      <c r="M24" s="67"/>
      <c r="N24" s="59"/>
      <c r="O24" s="165"/>
    </row>
    <row r="25" spans="2:15" ht="20.100000000000001" customHeight="1" x14ac:dyDescent="0.25">
      <c r="B25" s="161"/>
      <c r="C25" s="67"/>
      <c r="D25" s="81"/>
      <c r="E25" s="206" t="s">
        <v>123</v>
      </c>
      <c r="F25" s="79"/>
      <c r="G25" s="67"/>
      <c r="H25" s="60" t="str">
        <f>IF(OR(AND(ISNUMBER(F25),ISNUMBER(F26)=FALSE),AND(ISNUMBER(F25)=FALSE,ISNUMBER(F26))),"","← Fill out only one: New Followers(#) or FGR.")</f>
        <v/>
      </c>
      <c r="I25" s="73"/>
      <c r="J25" s="67"/>
      <c r="K25" s="205" t="str">
        <f>"Cost per sale (" &amp; currency &amp; ")"</f>
        <v>Cost per sale ($)</v>
      </c>
      <c r="L25" s="76">
        <f>IFERROR(SUM(LInCost)/L23,"")</f>
        <v>28.985507246376812</v>
      </c>
      <c r="M25" s="67"/>
      <c r="N25" s="59"/>
      <c r="O25" s="165"/>
    </row>
    <row r="26" spans="2:15" ht="20.100000000000001" customHeight="1" x14ac:dyDescent="0.25">
      <c r="B26" s="161"/>
      <c r="C26" s="67"/>
      <c r="D26" s="81"/>
      <c r="E26" s="206" t="s">
        <v>124</v>
      </c>
      <c r="F26" s="80">
        <v>3.4500000000000003E-2</v>
      </c>
      <c r="G26" s="67"/>
      <c r="H26" s="60" t="str">
        <f>IF(OR(AND(ISNUMBER(F25),ISNUMBER(F26)=FALSE),AND(ISNUMBER(F25)=FALSE,ISNUMBER(F26))),"","← Fill out only one: New Followers(#) or FGR.")</f>
        <v/>
      </c>
      <c r="I26" s="73"/>
      <c r="J26" s="67"/>
      <c r="K26" s="205" t="str">
        <f>"Projected Sales (" &amp; currency &amp; ")"</f>
        <v>Projected Sales ($)</v>
      </c>
      <c r="L26" s="76">
        <f>IFERROR(F34*L23,"")</f>
        <v>1569.75</v>
      </c>
      <c r="M26" s="67"/>
      <c r="N26" s="59"/>
      <c r="O26" s="165"/>
    </row>
    <row r="27" spans="2:15" ht="20.100000000000001" customHeight="1" x14ac:dyDescent="0.25">
      <c r="B27" s="161"/>
      <c r="C27" s="67"/>
      <c r="D27" s="210"/>
      <c r="E27" s="208"/>
      <c r="F27" s="212"/>
      <c r="G27" s="67"/>
      <c r="H27" s="60"/>
      <c r="I27" s="73"/>
      <c r="J27" s="67"/>
      <c r="K27" s="205" t="str">
        <f>"Total LTV of gained customers  (" &amp; currency &amp; ")"</f>
        <v>Total LTV of gained customers  ($)</v>
      </c>
      <c r="L27" s="76" t="str">
        <f>IFERROR(IF(ISNUMBER(F35),L23*F35,""),"")</f>
        <v/>
      </c>
      <c r="M27" s="67"/>
      <c r="N27" s="60" t="str">
        <f>IF(ISNUMBER(L27),"Not included in ROI results.","")</f>
        <v/>
      </c>
      <c r="O27" s="165"/>
    </row>
    <row r="28" spans="2:15" ht="20.100000000000001" customHeight="1" x14ac:dyDescent="0.25">
      <c r="B28" s="161"/>
      <c r="C28" s="67"/>
      <c r="D28" s="81"/>
      <c r="E28" s="75" t="s">
        <v>59</v>
      </c>
      <c r="F28" s="79"/>
      <c r="G28" s="67"/>
      <c r="H28" s="60" t="str">
        <f>IF(OR(AND(ISNUMBER(F28),ISNUMBER(F29)=FALSE),AND(ISNUMBER(F28)=FALSE,ISNUMBER(F29))),"","← Fill out only one: Conversion (#) or CR.")</f>
        <v/>
      </c>
      <c r="I28" s="73"/>
      <c r="J28" s="67"/>
      <c r="K28" s="75"/>
      <c r="L28" s="108"/>
      <c r="M28" s="67"/>
      <c r="N28" s="59"/>
      <c r="O28" s="165"/>
    </row>
    <row r="29" spans="2:15" ht="20.100000000000001" customHeight="1" x14ac:dyDescent="0.25">
      <c r="B29" s="161"/>
      <c r="C29" s="67"/>
      <c r="D29" s="81"/>
      <c r="E29" s="75" t="s">
        <v>11</v>
      </c>
      <c r="F29" s="80">
        <v>0.06</v>
      </c>
      <c r="G29" s="67"/>
      <c r="H29" s="60" t="str">
        <f>IF(OR(AND(ISNUMBER(F28),ISNUMBER(F29)=FALSE),AND(ISNUMBER(F28)=FALSE,ISNUMBER(F29))),"","← Fill out only one: Conversion (#) or CR.")</f>
        <v/>
      </c>
      <c r="I29" s="73"/>
      <c r="J29" s="67"/>
      <c r="K29" s="75" t="s">
        <v>22</v>
      </c>
      <c r="L29" s="78">
        <f>IFERROR((L26-SUM(LInCost))/SUM(LInCost),"")</f>
        <v>0.20749999999999999</v>
      </c>
      <c r="M29" s="67"/>
      <c r="N29" s="59"/>
      <c r="O29" s="165"/>
    </row>
    <row r="30" spans="2:15" ht="20.100000000000001" customHeight="1" x14ac:dyDescent="0.25">
      <c r="B30" s="161"/>
      <c r="C30" s="67"/>
      <c r="D30" s="210"/>
      <c r="E30" s="208"/>
      <c r="F30" s="213"/>
      <c r="G30" s="67"/>
      <c r="H30" s="60"/>
      <c r="I30" s="73"/>
      <c r="J30" s="67"/>
      <c r="K30" s="75" t="s">
        <v>21</v>
      </c>
      <c r="L30" s="78">
        <f>IFERROR((L26)/SUM(LInCost),"")</f>
        <v>1.2075</v>
      </c>
      <c r="M30" s="67"/>
      <c r="N30" s="60" t="str">
        <f>IF(LEN(L30)&gt;0,IF((L26)/SUM(LInCost)&gt;1,"Per each 1" &amp; currency &amp; " spend, you earn " &amp; ROUND((L26)/SUM(LInCost),2) &amp; currency,"Your results are below investment."),"")</f>
        <v>Per each 1$ spend, you earn 1,21$</v>
      </c>
      <c r="O30" s="165"/>
    </row>
    <row r="31" spans="2:15" ht="20.100000000000001" customHeight="1" x14ac:dyDescent="0.25">
      <c r="B31" s="161"/>
      <c r="C31" s="67"/>
      <c r="D31" s="81"/>
      <c r="E31" s="75" t="s">
        <v>101</v>
      </c>
      <c r="F31" s="79"/>
      <c r="G31" s="67"/>
      <c r="H31" s="60" t="str">
        <f>IF(OR(AND(ISNUMBER(F31),ISNUMBER(F32)=FALSE),AND(ISNUMBER(F31)=FALSE,ISNUMBER(F32))),"","← Fill out only one: Sales (#) or SR.")</f>
        <v/>
      </c>
      <c r="I31" s="73"/>
      <c r="J31" s="67"/>
      <c r="K31" s="205" t="str">
        <f>"Break even sale value (" &amp; currency &amp; ")"</f>
        <v>Break even sale value ($)</v>
      </c>
      <c r="L31" s="76">
        <f>IFERROR(SUM(LInCost)/L23,"")</f>
        <v>28.985507246376812</v>
      </c>
      <c r="M31" s="67"/>
      <c r="N31" s="60" t="str">
        <f>IF(ISNUMBER(L31),"Minimum sale value for positive ROI","")</f>
        <v>Minimum sale value for positive ROI</v>
      </c>
      <c r="O31" s="165"/>
    </row>
    <row r="32" spans="2:15" ht="20.100000000000001" customHeight="1" x14ac:dyDescent="0.25">
      <c r="B32" s="161"/>
      <c r="C32" s="67"/>
      <c r="D32" s="81"/>
      <c r="E32" s="206" t="s">
        <v>99</v>
      </c>
      <c r="F32" s="80">
        <v>0.03</v>
      </c>
      <c r="G32" s="67"/>
      <c r="H32" s="60" t="str">
        <f>IF(OR(AND(ISNUMBER(F31),ISNUMBER(F32)=FALSE),AND(ISNUMBER(F31)=FALSE,ISNUMBER(F32))),"","← Fill out only one: Sales (#) or SR.")</f>
        <v/>
      </c>
      <c r="I32" s="73"/>
      <c r="J32" s="67"/>
      <c r="K32" s="75" t="s">
        <v>9</v>
      </c>
      <c r="L32" s="77">
        <f>IFERROR(SUM(LInCost)/F34,"")</f>
        <v>37.142857142857146</v>
      </c>
      <c r="M32" s="67"/>
      <c r="N32" s="60" t="str">
        <f>IF(ISNUMBER(L32),"Minimum buyers # for positive ROI","")</f>
        <v>Minimum buyers # for positive ROI</v>
      </c>
      <c r="O32" s="165"/>
    </row>
    <row r="33" spans="2:15" ht="20.100000000000001" customHeight="1" x14ac:dyDescent="0.25">
      <c r="B33" s="161"/>
      <c r="C33" s="67"/>
      <c r="D33" s="210"/>
      <c r="E33" s="208"/>
      <c r="F33" s="213"/>
      <c r="G33" s="67"/>
      <c r="H33" s="60"/>
      <c r="I33" s="73"/>
      <c r="J33" s="67"/>
      <c r="K33" s="75"/>
      <c r="L33" s="85"/>
      <c r="M33" s="67"/>
      <c r="N33" s="59"/>
      <c r="O33" s="165"/>
    </row>
    <row r="34" spans="2:15" ht="20.100000000000001" customHeight="1" x14ac:dyDescent="0.25">
      <c r="B34" s="161"/>
      <c r="C34" s="67"/>
      <c r="D34" s="81"/>
      <c r="E34" s="205" t="str">
        <f>"Average Order Value (" &amp; currency &amp; ")"</f>
        <v>Average Order Value ($)</v>
      </c>
      <c r="F34" s="74">
        <v>35</v>
      </c>
      <c r="G34" s="67"/>
      <c r="H34" s="60" t="str">
        <f>IF(ISNUMBER(F34),"","← Don't leave it empty.")</f>
        <v/>
      </c>
      <c r="I34" s="73"/>
      <c r="J34" s="67"/>
      <c r="K34" s="206" t="s">
        <v>147</v>
      </c>
      <c r="L34" s="80"/>
      <c r="M34" s="81"/>
      <c r="N34" s="68"/>
      <c r="O34" s="165"/>
    </row>
    <row r="35" spans="2:15" ht="20.100000000000001" customHeight="1" x14ac:dyDescent="0.25">
      <c r="B35" s="161"/>
      <c r="C35" s="67"/>
      <c r="D35" s="81"/>
      <c r="E35" s="205" t="str">
        <f>"Average Lifetime value (LTV) (" &amp; currency &amp; ")"</f>
        <v>Average Lifetime value (LTV) ($)</v>
      </c>
      <c r="F35" s="64"/>
      <c r="G35" s="67"/>
      <c r="H35" s="68"/>
      <c r="I35" s="73"/>
      <c r="J35" s="67"/>
      <c r="K35" s="206" t="s">
        <v>147</v>
      </c>
      <c r="L35" s="74"/>
      <c r="M35" s="81"/>
      <c r="N35" s="68"/>
      <c r="O35" s="165"/>
    </row>
    <row r="36" spans="2:15" ht="20.100000000000001" customHeight="1" x14ac:dyDescent="0.25">
      <c r="B36" s="161"/>
      <c r="C36" s="67"/>
      <c r="D36" s="210"/>
      <c r="E36" s="208"/>
      <c r="F36" s="211"/>
      <c r="G36" s="67"/>
      <c r="H36" s="68"/>
      <c r="I36" s="73"/>
      <c r="J36" s="67"/>
      <c r="K36" s="206" t="s">
        <v>147</v>
      </c>
      <c r="L36" s="74"/>
      <c r="M36" s="81"/>
      <c r="N36" s="68"/>
      <c r="O36" s="165"/>
    </row>
    <row r="37" spans="2:15" ht="20.100000000000001" customHeight="1" x14ac:dyDescent="0.25">
      <c r="B37" s="161"/>
      <c r="C37" s="67"/>
      <c r="D37" s="81"/>
      <c r="E37" s="206" t="s">
        <v>148</v>
      </c>
      <c r="F37" s="64"/>
      <c r="G37" s="81"/>
      <c r="H37" s="68"/>
      <c r="I37" s="103"/>
      <c r="J37" s="81"/>
      <c r="K37" s="206" t="s">
        <v>147</v>
      </c>
      <c r="L37" s="81"/>
      <c r="M37" s="81"/>
      <c r="N37" s="68"/>
      <c r="O37" s="165"/>
    </row>
    <row r="38" spans="2:15" ht="20.100000000000001" customHeight="1" x14ac:dyDescent="0.25">
      <c r="B38" s="161"/>
      <c r="C38" s="67"/>
      <c r="D38" s="81"/>
      <c r="E38" s="206" t="s">
        <v>148</v>
      </c>
      <c r="F38" s="64"/>
      <c r="G38" s="81"/>
      <c r="H38" s="68"/>
      <c r="I38" s="103"/>
      <c r="J38" s="81"/>
      <c r="K38" s="206" t="s">
        <v>147</v>
      </c>
      <c r="L38" s="74"/>
      <c r="M38" s="81"/>
      <c r="N38" s="68"/>
      <c r="O38" s="165"/>
    </row>
    <row r="39" spans="2:15" ht="20.100000000000001" customHeight="1" x14ac:dyDescent="0.25">
      <c r="B39" s="161"/>
      <c r="C39" s="67"/>
      <c r="D39" s="81"/>
      <c r="E39" s="206" t="s">
        <v>148</v>
      </c>
      <c r="F39" s="64"/>
      <c r="G39" s="81"/>
      <c r="H39" s="68"/>
      <c r="I39" s="103"/>
      <c r="J39" s="81"/>
      <c r="K39" s="206" t="s">
        <v>147</v>
      </c>
      <c r="L39" s="80"/>
      <c r="M39" s="81"/>
      <c r="N39" s="68"/>
      <c r="O39" s="165"/>
    </row>
    <row r="40" spans="2:15" ht="20.100000000000001" customHeight="1" x14ac:dyDescent="0.25">
      <c r="B40" s="161"/>
      <c r="C40" s="67"/>
      <c r="D40" s="81"/>
      <c r="E40" s="206" t="s">
        <v>148</v>
      </c>
      <c r="F40" s="64"/>
      <c r="G40" s="81"/>
      <c r="H40" s="68"/>
      <c r="I40" s="103"/>
      <c r="J40" s="81"/>
      <c r="K40" s="206" t="s">
        <v>147</v>
      </c>
      <c r="L40" s="81"/>
      <c r="M40" s="81"/>
      <c r="N40" s="68"/>
      <c r="O40" s="177"/>
    </row>
    <row r="41" spans="2:15" ht="20.100000000000001" customHeight="1" x14ac:dyDescent="0.25">
      <c r="B41" s="161"/>
      <c r="C41" s="67"/>
      <c r="D41" s="81"/>
      <c r="E41" s="206" t="s">
        <v>148</v>
      </c>
      <c r="F41" s="64"/>
      <c r="G41" s="81"/>
      <c r="H41" s="68"/>
      <c r="I41" s="103"/>
      <c r="J41" s="81"/>
      <c r="K41" s="206" t="s">
        <v>147</v>
      </c>
      <c r="L41" s="81"/>
      <c r="M41" s="81"/>
      <c r="N41" s="68"/>
      <c r="O41" s="177"/>
    </row>
    <row r="42" spans="2:15" ht="20.100000000000001" customHeight="1" x14ac:dyDescent="0.25">
      <c r="B42" s="161"/>
      <c r="C42" s="67"/>
      <c r="D42" s="81"/>
      <c r="E42" s="206" t="s">
        <v>148</v>
      </c>
      <c r="F42" s="64"/>
      <c r="G42" s="81"/>
      <c r="H42" s="68"/>
      <c r="I42" s="103"/>
      <c r="J42" s="81"/>
      <c r="K42" s="206" t="s">
        <v>147</v>
      </c>
      <c r="L42" s="81"/>
      <c r="M42" s="81"/>
      <c r="N42" s="68"/>
      <c r="O42" s="177"/>
    </row>
    <row r="43" spans="2:15" ht="20.100000000000001" customHeight="1" x14ac:dyDescent="0.25">
      <c r="B43" s="161"/>
      <c r="C43" s="67"/>
      <c r="D43" s="81"/>
      <c r="E43" s="206" t="s">
        <v>148</v>
      </c>
      <c r="F43" s="64"/>
      <c r="G43" s="81"/>
      <c r="H43" s="68"/>
      <c r="I43" s="103"/>
      <c r="J43" s="81"/>
      <c r="K43" s="206" t="s">
        <v>147</v>
      </c>
      <c r="L43" s="81"/>
      <c r="M43" s="81"/>
      <c r="N43" s="68"/>
      <c r="O43" s="177"/>
    </row>
    <row r="44" spans="2:15" ht="20.100000000000001" customHeight="1" x14ac:dyDescent="0.25">
      <c r="B44" s="161"/>
      <c r="C44" s="67"/>
      <c r="D44" s="81"/>
      <c r="E44" s="206" t="s">
        <v>148</v>
      </c>
      <c r="F44" s="64"/>
      <c r="G44" s="81"/>
      <c r="H44" s="68"/>
      <c r="I44" s="103"/>
      <c r="J44" s="81"/>
      <c r="K44" s="206" t="s">
        <v>147</v>
      </c>
      <c r="L44" s="81"/>
      <c r="M44" s="81"/>
      <c r="N44" s="68"/>
      <c r="O44" s="177"/>
    </row>
    <row r="45" spans="2:15" ht="20.100000000000001" customHeight="1" x14ac:dyDescent="0.25">
      <c r="B45" s="161"/>
      <c r="C45" s="67"/>
      <c r="D45" s="81"/>
      <c r="E45" s="206" t="s">
        <v>148</v>
      </c>
      <c r="F45" s="64"/>
      <c r="G45" s="81"/>
      <c r="H45" s="68"/>
      <c r="I45" s="103"/>
      <c r="J45" s="81"/>
      <c r="K45" s="206" t="s">
        <v>147</v>
      </c>
      <c r="L45" s="81"/>
      <c r="M45" s="81"/>
      <c r="N45" s="68"/>
      <c r="O45" s="177"/>
    </row>
    <row r="46" spans="2:15" ht="20.100000000000001" customHeight="1" x14ac:dyDescent="0.25">
      <c r="B46" s="161"/>
      <c r="C46" s="67"/>
      <c r="D46" s="81"/>
      <c r="E46" s="206" t="s">
        <v>148</v>
      </c>
      <c r="F46" s="64"/>
      <c r="G46" s="81"/>
      <c r="H46" s="68"/>
      <c r="I46" s="103"/>
      <c r="J46" s="81"/>
      <c r="K46" s="206" t="s">
        <v>147</v>
      </c>
      <c r="L46" s="81"/>
      <c r="M46" s="81"/>
      <c r="N46" s="68"/>
      <c r="O46" s="177"/>
    </row>
    <row r="47" spans="2:15" ht="9.9499999999999993" customHeight="1" x14ac:dyDescent="0.25">
      <c r="B47" s="162"/>
      <c r="C47" s="178"/>
      <c r="D47" s="178"/>
      <c r="E47" s="182"/>
      <c r="F47" s="178"/>
      <c r="G47" s="178"/>
      <c r="H47" s="179"/>
      <c r="I47" s="171"/>
      <c r="J47" s="178"/>
      <c r="K47" s="178"/>
      <c r="L47" s="178"/>
      <c r="M47" s="178"/>
      <c r="N47" s="179"/>
      <c r="O47" s="181"/>
    </row>
    <row r="48" spans="2:15" ht="6.95" customHeight="1" x14ac:dyDescent="0.25">
      <c r="B48" s="23"/>
      <c r="C48" s="7"/>
      <c r="D48" s="7"/>
      <c r="E48" s="7"/>
      <c r="F48" s="7"/>
      <c r="G48" s="7"/>
      <c r="H48" s="19"/>
      <c r="I48" s="7"/>
      <c r="J48" s="7"/>
      <c r="K48" s="26"/>
      <c r="L48" s="7"/>
      <c r="M48" s="7"/>
      <c r="N48" s="29"/>
      <c r="O48" s="7"/>
    </row>
    <row r="49" spans="2:15" ht="23.1" customHeight="1" x14ac:dyDescent="0.25">
      <c r="B49" s="121"/>
      <c r="C49" s="130"/>
      <c r="D49" s="131"/>
      <c r="E49" s="132"/>
      <c r="F49" s="132"/>
      <c r="G49" s="133"/>
      <c r="H49" s="132"/>
      <c r="I49" s="132"/>
      <c r="J49" s="124"/>
      <c r="K49" s="124"/>
      <c r="L49" s="124"/>
      <c r="M49" s="124"/>
      <c r="N49" s="124"/>
      <c r="O49" s="124"/>
    </row>
  </sheetData>
  <sheetProtection algorithmName="SHA-512" hashValue="W8aGMOzLWXY6Ctc2OgwnEJEZjHQ7QXSDyNVb6r08uQ2BdICX2JW6SUApvWY6dyVJomCuMpV3A+u9MLtkfKF+ag==" saltValue="MXtGybZ1qKmhcvwbSL+LFA==" spinCount="100000" sheet="1" objects="1" scenarios="1"/>
  <conditionalFormatting sqref="E37:E46 K34:K46">
    <cfRule type="expression" dxfId="22" priority="9">
      <formula>OR(E34="Input …",E34="Output …")</formula>
    </cfRule>
  </conditionalFormatting>
  <conditionalFormatting sqref="F7:F46">
    <cfRule type="expression" dxfId="21" priority="6">
      <formula>LEN($E7)&gt;0</formula>
    </cfRule>
  </conditionalFormatting>
  <conditionalFormatting sqref="E7:F46">
    <cfRule type="expression" dxfId="20" priority="5">
      <formula>LEN($E7)&gt;0</formula>
    </cfRule>
  </conditionalFormatting>
  <conditionalFormatting sqref="L7:L46">
    <cfRule type="expression" dxfId="19" priority="4">
      <formula>LEN($K7)&gt;0</formula>
    </cfRule>
  </conditionalFormatting>
  <conditionalFormatting sqref="K7:L46">
    <cfRule type="expression" dxfId="18" priority="3">
      <formula>LEN($K7)&gt;0</formula>
    </cfRule>
  </conditionalFormatting>
  <conditionalFormatting sqref="J7:J46">
    <cfRule type="expression" dxfId="17" priority="2">
      <formula>LEN($K7)&gt;0</formula>
    </cfRule>
  </conditionalFormatting>
  <conditionalFormatting sqref="D7:D46">
    <cfRule type="expression" dxfId="16" priority="1">
      <formula>LEN($E7)&gt;0</formula>
    </cfRule>
  </conditionalFormatting>
  <dataValidations count="31">
    <dataValidation allowBlank="1" showInputMessage="1" showErrorMessage="1" prompt="Depends on user. Sometimes Impressions are taken as a number of followers." sqref="E11" xr:uid="{116DBB2D-0D9E-4B21-A7BB-A511EC6CD995}"/>
    <dataValidation allowBlank="1" showInputMessage="1" showErrorMessage="1" prompt="New Followers / (Total Follower - New Followers)" sqref="L17" xr:uid="{717C1A41-254E-4808-997B-0C8D455174E0}"/>
    <dataValidation allowBlank="1" showInputMessage="1" showErrorMessage="1" prompt="(Clicks + Likes + Comments + Shares + Follows / Impressions)" sqref="L12" xr:uid="{BD0822DA-2A76-4503-BA3B-7037BF5F7B2C}"/>
    <dataValidation allowBlank="1" showInputMessage="1" showErrorMessage="1" prompt="When 3 seconds or more of a video was viewed, or the Call-to-Action (CTA) was clicked." sqref="E22" xr:uid="{AE85DF4F-6B81-4039-90F3-4110757E52AA}"/>
    <dataValidation allowBlank="1" showInputMessage="1" showErrorMessage="1" prompt="Revenue per email" sqref="E34" xr:uid="{BA108033-07DC-4F37-91F3-263A9F05AC5C}"/>
    <dataValidation allowBlank="1" showInputMessage="1" showErrorMessage="1" prompt="High lifetime value of a customer can show you if it's worth to have a higher CPC even if it doesn't seem when compare to average close value." sqref="E35" xr:uid="{9D7B6880-68FB-41EB-8B2F-CE200082CB02}"/>
    <dataValidation allowBlank="1" showInputMessage="1" showErrorMessage="1" promptTitle="ROI - expectations" prompt="&lt;0% - lost investment_x000a_&gt;0% - not loosing_x000a_&gt;350% - good marketing campaign _x000a_" sqref="K29" xr:uid="{B3449849-995D-4678-BA67-6C67A5A7F8C3}"/>
    <dataValidation allowBlank="1" showInputMessage="1" showErrorMessage="1" promptTitle="ROAS - expectations" prompt="&lt;100% - bad_x000a_100% - 400% - not so well_x000a_&gt;400% - well invested money" sqref="K30" xr:uid="{07FB127F-79DF-4878-A47A-C73C88E192EB}"/>
    <dataValidation allowBlank="1" showInputMessage="1" showErrorMessage="1" prompt="(1000 * Total Cost ) divided by Impressions #" sqref="L7" xr:uid="{A8B1AAF5-A03C-4868-A2C4-F2FA8D9EEFD5}"/>
    <dataValidation allowBlank="1" showInputMessage="1" showErrorMessage="1" prompt="Total cost / Average Order Value" sqref="L32" xr:uid="{816F6760-78EA-4877-8B8E-945FCC47FD52}"/>
    <dataValidation allowBlank="1" showInputMessage="1" showErrorMessage="1" prompt="Total cost / Buyers" sqref="L31 L25" xr:uid="{9EDE60CC-0409-4A0B-A91B-095F4ED86976}"/>
    <dataValidation allowBlank="1" showInputMessage="1" showErrorMessage="1" prompt="Projected Sales / Total cost" sqref="L30" xr:uid="{07AAB916-C060-44FA-B699-25DB0755C175}"/>
    <dataValidation allowBlank="1" showInputMessage="1" showErrorMessage="1" prompt="(Projected Sales - Total cost) / Total cost" sqref="L29" xr:uid="{C0E5BA63-AF83-4C7F-B5BD-35CB3202FFBB}"/>
    <dataValidation allowBlank="1" showInputMessage="1" showErrorMessage="1" prompt="Fill Sales or Sales Rate. The other will be calculated." sqref="E31" xr:uid="{D7D9A057-14D7-47DE-92E3-405F7F48B491}"/>
    <dataValidation allowBlank="1" showInputMessage="1" showErrorMessage="1" prompt="Fill Conversions or Conversion Rate. The other will be calculated." sqref="E28" xr:uid="{A70BEFD8-8F2B-4B7E-A47C-234DEAF10881}"/>
    <dataValidation allowBlank="1" showInputMessage="1" showErrorMessage="1" prompt="Fill New Followers or Followers Growth Rate. The other will be calculated." sqref="E25" xr:uid="{B935675A-B2ED-4FB9-87AE-F12259A3ACDF}"/>
    <dataValidation allowBlank="1" showInputMessage="1" showErrorMessage="1" prompt="All clicks / Impressions" sqref="L9" xr:uid="{B223B129-B9BD-4D7C-9566-5B50BAF35956}"/>
    <dataValidation allowBlank="1" showInputMessage="1" showErrorMessage="1" prompt="Total cost / Clicks" sqref="L10" xr:uid="{12836C01-7E2E-4EFF-81CF-63D017B56001}"/>
    <dataValidation allowBlank="1" showInputMessage="1" showErrorMessage="1" prompt="Reactions + Comments + Shares + Clicks + Video Views" sqref="L13" xr:uid="{A7AAD64C-E3DE-490F-8629-1FC59BB12D64}"/>
    <dataValidation allowBlank="1" showInputMessage="1" showErrorMessage="1" prompt="Total cost / Engagements" sqref="L14" xr:uid="{714C25EE-FB98-4260-9327-10495DA8695E}"/>
    <dataValidation allowBlank="1" showInputMessage="1" showErrorMessage="1" prompt="Conversions / Clicks" sqref="L20" xr:uid="{A654CA9A-1105-4F26-A77D-8AE290A9BCE2}"/>
    <dataValidation allowBlank="1" showInputMessage="1" showErrorMessage="1" prompt="Conversion rate * Clicks " sqref="L19" xr:uid="{67BC6F1E-ED7D-4095-AD5F-074E23721C80}"/>
    <dataValidation allowBlank="1" showInputMessage="1" showErrorMessage="1" prompt="Sales / Clicks" sqref="L24" xr:uid="{480E9410-F9BB-44B1-A6BE-8FF73A21CC3E}"/>
    <dataValidation allowBlank="1" showInputMessage="1" showErrorMessage="1" prompt="Sales rate * Clicks" sqref="L23" xr:uid="{27375202-FC7C-464B-94D2-0C21623F9E50}"/>
    <dataValidation allowBlank="1" showInputMessage="1" showErrorMessage="1" promptTitle="Sale Rate" prompt="- Number of sales out of all ad interactions." sqref="K24" xr:uid="{195344E3-1808-4F35-A461-708738D70BA5}"/>
    <dataValidation allowBlank="1" showInputMessage="1" showErrorMessage="1" prompt="Total cost / Conversions" sqref="L21" xr:uid="{F71C7F16-8252-451B-8AFA-B23E4C141E02}"/>
    <dataValidation allowBlank="1" showInputMessage="1" showErrorMessage="1" prompt="Buyers * Average Order Value" sqref="L26" xr:uid="{05BBCDF6-FF19-4D97-8E54-4622FF87FC87}"/>
    <dataValidation allowBlank="1" showInputMessage="1" showErrorMessage="1" prompt="Buyers * LTV" sqref="L27" xr:uid="{C3BBC3B6-B516-40D7-BB8A-23E8431619A9}"/>
    <dataValidation allowBlank="1" showInputMessage="1" showErrorMessage="1" prompt="Optional" sqref="F8:F9" xr:uid="{07448D90-8305-4840-AAF0-87A345F96D53}"/>
    <dataValidation allowBlank="1" showInputMessage="1" showErrorMessage="1" prompt="Average $5.26 per click" sqref="K10" xr:uid="{E9C9D586-65AE-4B53-AFC1-3B27B39FB081}"/>
    <dataValidation allowBlank="1" showInputMessage="1" showErrorMessage="1" prompt="Average $6.59 per 1000 impressions" sqref="K7" xr:uid="{022ADB9C-FBEA-4920-B765-667A91139275}"/>
  </dataValidations>
  <printOptions horizontalCentered="1"/>
  <pageMargins left="0.31496062992125984" right="0.31496062992125984" top="0.31496062992125984" bottom="0.31496062992125984" header="0.31496062992125984" footer="0.31496062992125984"/>
  <pageSetup scale="6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149353F8-2AF4-4AF1-8B65-502728AC3639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3.5</xm:f>
              </x14:cfvo>
            </x14:iconSet>
          </x14:cfRule>
          <xm:sqref>L29</xm:sqref>
        </x14:conditionalFormatting>
        <x14:conditionalFormatting xmlns:xm="http://schemas.microsoft.com/office/excel/2006/main">
          <x14:cfRule type="iconSet" priority="16" id="{AAF81334-1FA6-4294-B2BE-2B95A3580CFF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4</xm:f>
              </x14:cfvo>
            </x14:iconSet>
          </x14:cfRule>
          <xm:sqref>L30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898BF-8D21-4F37-8EB8-1A163FE7C142}">
  <sheetPr codeName="Sheet15">
    <pageSetUpPr fitToPage="1"/>
  </sheetPr>
  <dimension ref="B1:O49"/>
  <sheetViews>
    <sheetView showGridLines="0" showRowColHeaders="0" zoomScaleNormal="100" workbookViewId="0">
      <pane ySplit="5" topLeftCell="A6" activePane="bottomLeft" state="frozen"/>
      <selection activeCell="A6" sqref="A6"/>
      <selection pane="bottomLeft" activeCell="A6" sqref="A6"/>
    </sheetView>
  </sheetViews>
  <sheetFormatPr defaultRowHeight="20.100000000000001" customHeight="1" x14ac:dyDescent="0.25"/>
  <cols>
    <col min="1" max="1" width="3.7109375" style="16" customWidth="1"/>
    <col min="2" max="2" width="12.7109375" style="16" customWidth="1"/>
    <col min="3" max="4" width="1.7109375" style="16" customWidth="1"/>
    <col min="5" max="5" width="35.7109375" style="16" customWidth="1"/>
    <col min="6" max="6" width="12.7109375" style="16" customWidth="1"/>
    <col min="7" max="7" width="1.7109375" style="16" customWidth="1"/>
    <col min="8" max="8" width="30.7109375" style="16" customWidth="1"/>
    <col min="9" max="9" width="3.7109375" style="16" customWidth="1"/>
    <col min="10" max="10" width="1.7109375" style="16" customWidth="1"/>
    <col min="11" max="11" width="35.7109375" style="16" customWidth="1"/>
    <col min="12" max="12" width="12.7109375" style="16" customWidth="1"/>
    <col min="13" max="13" width="1.7109375" style="16" customWidth="1"/>
    <col min="14" max="14" width="30.7109375" style="16" customWidth="1"/>
    <col min="15" max="15" width="1.7109375" style="16" customWidth="1"/>
    <col min="16" max="16384" width="9.140625" style="16"/>
  </cols>
  <sheetData>
    <row r="1" spans="2:15" ht="6.75" customHeight="1" x14ac:dyDescent="0.25"/>
    <row r="2" spans="2:15" s="136" customFormat="1" ht="20.100000000000001" customHeight="1" x14ac:dyDescent="0.3">
      <c r="B2" s="149"/>
      <c r="C2" s="150" t="s">
        <v>150</v>
      </c>
      <c r="D2" s="150"/>
      <c r="E2" s="150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2:15" s="139" customFormat="1" ht="24" customHeight="1" x14ac:dyDescent="0.35">
      <c r="B3" s="45"/>
      <c r="C3" s="145" t="s">
        <v>133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2:15" ht="9.9499999999999993" customHeight="1" x14ac:dyDescent="0.25">
      <c r="B4" s="42"/>
      <c r="C4" s="18"/>
      <c r="D4" s="18"/>
      <c r="E4" s="18"/>
      <c r="F4" s="18"/>
      <c r="G4" s="18"/>
      <c r="H4" s="52"/>
      <c r="I4" s="53"/>
      <c r="J4" s="18"/>
      <c r="K4" s="18"/>
      <c r="L4" s="18"/>
      <c r="M4" s="18"/>
      <c r="N4" s="52"/>
      <c r="O4" s="175"/>
    </row>
    <row r="5" spans="2:15" ht="30" customHeight="1" x14ac:dyDescent="0.25">
      <c r="B5" s="42"/>
      <c r="C5" s="54"/>
      <c r="D5" s="55"/>
      <c r="E5" s="105" t="s">
        <v>15</v>
      </c>
      <c r="F5" s="105"/>
      <c r="G5" s="47"/>
      <c r="H5" s="107" t="s">
        <v>63</v>
      </c>
      <c r="I5" s="49"/>
      <c r="J5" s="50"/>
      <c r="K5" s="106" t="s">
        <v>20</v>
      </c>
      <c r="L5" s="106"/>
      <c r="M5" s="48"/>
      <c r="N5" s="107" t="s">
        <v>63</v>
      </c>
      <c r="O5" s="176"/>
    </row>
    <row r="6" spans="2:15" ht="9.9499999999999993" customHeight="1" x14ac:dyDescent="0.25">
      <c r="B6" s="161"/>
      <c r="C6" s="67"/>
      <c r="D6" s="67"/>
      <c r="E6" s="67"/>
      <c r="F6" s="67"/>
      <c r="G6" s="67"/>
      <c r="H6" s="59"/>
      <c r="I6" s="73"/>
      <c r="J6" s="67"/>
      <c r="K6" s="67"/>
      <c r="L6" s="67"/>
      <c r="M6" s="67"/>
      <c r="N6" s="59"/>
      <c r="O6" s="165"/>
    </row>
    <row r="7" spans="2:15" ht="20.100000000000001" customHeight="1" x14ac:dyDescent="0.25">
      <c r="B7" s="161"/>
      <c r="C7" s="67"/>
      <c r="D7" s="67"/>
      <c r="E7" s="205" t="str">
        <f>"Ad spend; monthly (" &amp; currency &amp; ")"</f>
        <v>Ad spend; monthly ($)</v>
      </c>
      <c r="F7" s="84">
        <v>1500</v>
      </c>
      <c r="G7" s="67"/>
      <c r="H7" s="60" t="str">
        <f>IF(ISNUMBER(F7),"","← Don't leave it empty.")</f>
        <v/>
      </c>
      <c r="I7" s="73"/>
      <c r="J7" s="67"/>
      <c r="K7" s="205" t="str">
        <f>"Cost per 1000 impressions (CPM) (" &amp; currency &amp; ")"</f>
        <v>Cost per 1000 impressions (CPM) ($)</v>
      </c>
      <c r="L7" s="76">
        <f>IFERROR(SUM(TwitterCost)*1000/F12,"")</f>
        <v>50</v>
      </c>
      <c r="M7" s="67"/>
      <c r="N7" s="59"/>
      <c r="O7" s="165"/>
    </row>
    <row r="8" spans="2:15" ht="20.100000000000001" customHeight="1" x14ac:dyDescent="0.25">
      <c r="B8" s="161"/>
      <c r="C8" s="67"/>
      <c r="D8" s="67"/>
      <c r="E8" s="205" t="str">
        <f>"Ad creation cost (" &amp; currency &amp; ")"</f>
        <v>Ad creation cost ($)</v>
      </c>
      <c r="F8" s="84"/>
      <c r="G8" s="67"/>
      <c r="H8" s="60"/>
      <c r="I8" s="73"/>
      <c r="J8" s="67"/>
      <c r="K8" s="75" t="s">
        <v>16</v>
      </c>
      <c r="L8" s="77">
        <f>IFERROR(SUM(F15:F17),"")</f>
        <v>3525</v>
      </c>
      <c r="M8" s="67"/>
      <c r="N8" s="59"/>
      <c r="O8" s="165"/>
    </row>
    <row r="9" spans="2:15" ht="20.100000000000001" customHeight="1" x14ac:dyDescent="0.25">
      <c r="B9" s="161"/>
      <c r="C9" s="67"/>
      <c r="D9" s="67"/>
      <c r="E9" s="205" t="str">
        <f>"Content cration cost (" &amp; currency &amp; ")"</f>
        <v>Content cration cost ($)</v>
      </c>
      <c r="F9" s="84"/>
      <c r="G9" s="67"/>
      <c r="H9" s="60"/>
      <c r="I9" s="73"/>
      <c r="J9" s="67"/>
      <c r="K9" s="75" t="s">
        <v>36</v>
      </c>
      <c r="L9" s="78">
        <f>IFERROR(L8/F12,"")</f>
        <v>0.10071428571428571</v>
      </c>
      <c r="M9" s="67"/>
      <c r="N9" s="59"/>
      <c r="O9" s="165"/>
    </row>
    <row r="10" spans="2:15" ht="20.100000000000001" customHeight="1" x14ac:dyDescent="0.25">
      <c r="B10" s="161"/>
      <c r="C10" s="67"/>
      <c r="D10" s="67"/>
      <c r="E10" s="205" t="str">
        <f>"Other costs (" &amp; currency &amp; ")"</f>
        <v>Other costs ($)</v>
      </c>
      <c r="F10" s="84">
        <v>250</v>
      </c>
      <c r="G10" s="67"/>
      <c r="H10" s="60" t="str">
        <f>IF(ISNUMBER(F10),"","← Don't leave it empty.")</f>
        <v/>
      </c>
      <c r="I10" s="73"/>
      <c r="J10" s="67"/>
      <c r="K10" s="205" t="str">
        <f>"Cost per click (CPC) (" &amp; currency &amp; ")"</f>
        <v>Cost per click (CPC) ($)</v>
      </c>
      <c r="L10" s="76">
        <f>IFERROR(SUM(TwitterCost)/L8,"")</f>
        <v>0.49645390070921985</v>
      </c>
      <c r="M10" s="67"/>
      <c r="N10" s="59"/>
      <c r="O10" s="165"/>
    </row>
    <row r="11" spans="2:15" ht="20.100000000000001" customHeight="1" x14ac:dyDescent="0.25">
      <c r="B11" s="161"/>
      <c r="C11" s="67"/>
      <c r="D11" s="210"/>
      <c r="E11" s="208"/>
      <c r="F11" s="218"/>
      <c r="G11" s="67"/>
      <c r="H11" s="60"/>
      <c r="I11" s="73"/>
      <c r="J11" s="67"/>
      <c r="K11" s="75" t="s">
        <v>91</v>
      </c>
      <c r="L11" s="78">
        <f>IFERROR(F15/F12,"")</f>
        <v>1.3971428571428572E-2</v>
      </c>
      <c r="M11" s="67"/>
      <c r="N11" s="59"/>
      <c r="O11" s="165"/>
    </row>
    <row r="12" spans="2:15" ht="20.100000000000001" customHeight="1" x14ac:dyDescent="0.25">
      <c r="B12" s="161"/>
      <c r="C12" s="67"/>
      <c r="D12" s="67"/>
      <c r="E12" s="75" t="s">
        <v>113</v>
      </c>
      <c r="F12" s="87">
        <v>35000</v>
      </c>
      <c r="G12" s="67"/>
      <c r="H12" s="60"/>
      <c r="I12" s="73"/>
      <c r="J12" s="67"/>
      <c r="K12" s="75"/>
      <c r="L12" s="78"/>
      <c r="M12" s="67"/>
      <c r="N12" s="59"/>
      <c r="O12" s="165"/>
    </row>
    <row r="13" spans="2:15" ht="20.100000000000001" customHeight="1" x14ac:dyDescent="0.25">
      <c r="B13" s="161"/>
      <c r="C13" s="67"/>
      <c r="D13" s="67"/>
      <c r="E13" s="75" t="s">
        <v>111</v>
      </c>
      <c r="F13" s="87">
        <v>50</v>
      </c>
      <c r="G13" s="67"/>
      <c r="H13" s="60"/>
      <c r="I13" s="73"/>
      <c r="J13" s="67"/>
      <c r="K13" s="75" t="s">
        <v>29</v>
      </c>
      <c r="L13" s="78">
        <f>IFERROR(F19/F12,"")</f>
        <v>6.9457142857142856E-2</v>
      </c>
      <c r="M13" s="67"/>
      <c r="N13" s="59"/>
      <c r="O13" s="165"/>
    </row>
    <row r="14" spans="2:15" ht="20.100000000000001" customHeight="1" x14ac:dyDescent="0.25">
      <c r="B14" s="161"/>
      <c r="C14" s="67"/>
      <c r="D14" s="210"/>
      <c r="E14" s="208"/>
      <c r="F14" s="219"/>
      <c r="G14" s="67"/>
      <c r="H14" s="60"/>
      <c r="I14" s="73"/>
      <c r="J14" s="67"/>
      <c r="K14" s="205" t="str">
        <f>"CPE (Cost per Engagement) (" &amp; currency &amp; ")"</f>
        <v>CPE (Cost per Engagement) ($)</v>
      </c>
      <c r="L14" s="76">
        <f>IFERROR(SUM(TwitterCost)/F19,"")</f>
        <v>0.71986836692719047</v>
      </c>
      <c r="M14" s="67"/>
      <c r="N14" s="59"/>
      <c r="O14" s="165"/>
    </row>
    <row r="15" spans="2:15" ht="20.100000000000001" customHeight="1" x14ac:dyDescent="0.25">
      <c r="B15" s="161"/>
      <c r="C15" s="67"/>
      <c r="D15" s="67"/>
      <c r="E15" s="75" t="s">
        <v>67</v>
      </c>
      <c r="F15" s="87">
        <v>489</v>
      </c>
      <c r="G15" s="67"/>
      <c r="H15" s="60"/>
      <c r="I15" s="73"/>
      <c r="J15" s="67"/>
      <c r="K15" s="75" t="s">
        <v>161</v>
      </c>
      <c r="L15" s="78">
        <f>IFERROR(F21/F20,"")</f>
        <v>0.12</v>
      </c>
      <c r="M15" s="67"/>
      <c r="N15" s="59"/>
      <c r="O15" s="165"/>
    </row>
    <row r="16" spans="2:15" ht="20.100000000000001" customHeight="1" x14ac:dyDescent="0.25">
      <c r="B16" s="161"/>
      <c r="C16" s="67"/>
      <c r="D16" s="67"/>
      <c r="E16" s="206" t="s">
        <v>125</v>
      </c>
      <c r="F16" s="87">
        <v>2943</v>
      </c>
      <c r="G16" s="67"/>
      <c r="H16" s="68"/>
      <c r="I16" s="73"/>
      <c r="J16" s="67"/>
      <c r="K16" s="75"/>
      <c r="L16" s="78"/>
      <c r="M16" s="67"/>
      <c r="N16" s="59"/>
      <c r="O16" s="165"/>
    </row>
    <row r="17" spans="2:15" ht="20.100000000000001" customHeight="1" x14ac:dyDescent="0.25">
      <c r="B17" s="161"/>
      <c r="C17" s="67"/>
      <c r="D17" s="67"/>
      <c r="E17" s="206" t="s">
        <v>126</v>
      </c>
      <c r="F17" s="87">
        <v>93</v>
      </c>
      <c r="G17" s="67"/>
      <c r="H17" s="68"/>
      <c r="I17" s="73"/>
      <c r="J17" s="67"/>
      <c r="K17" s="205" t="str">
        <f>"Cost per viewed video (" &amp; currency &amp; ")"</f>
        <v>Cost per viewed video ($)</v>
      </c>
      <c r="L17" s="76">
        <f>IFERROR(SUM(TwitterCost)/F23,"")</f>
        <v>14.583333333333334</v>
      </c>
      <c r="M17" s="67"/>
      <c r="N17" s="59"/>
      <c r="O17" s="165"/>
    </row>
    <row r="18" spans="2:15" ht="20.100000000000001" customHeight="1" x14ac:dyDescent="0.25">
      <c r="B18" s="161"/>
      <c r="C18" s="67"/>
      <c r="D18" s="210"/>
      <c r="E18" s="208"/>
      <c r="F18" s="219"/>
      <c r="G18" s="67"/>
      <c r="H18" s="68"/>
      <c r="I18" s="73"/>
      <c r="J18" s="67"/>
      <c r="K18" s="205" t="str">
        <f>"Cost per completed video (" &amp; currency &amp; ")"</f>
        <v>Cost per completed video ($)</v>
      </c>
      <c r="L18" s="76">
        <f>IFERROR(SUM(TwitterCost)/(F23*F24),"")</f>
        <v>58.333333333333336</v>
      </c>
      <c r="M18" s="67"/>
      <c r="N18" s="59"/>
      <c r="O18" s="165"/>
    </row>
    <row r="19" spans="2:15" ht="20.100000000000001" customHeight="1" x14ac:dyDescent="0.25">
      <c r="B19" s="161"/>
      <c r="C19" s="67"/>
      <c r="D19" s="67"/>
      <c r="E19" s="75" t="s">
        <v>66</v>
      </c>
      <c r="F19" s="87">
        <v>2431</v>
      </c>
      <c r="G19" s="67"/>
      <c r="H19" s="60"/>
      <c r="I19" s="73"/>
      <c r="J19" s="67"/>
      <c r="K19" s="75" t="s">
        <v>89</v>
      </c>
      <c r="L19" s="78">
        <f>IFERROR(F28/(F27-F28),"")</f>
        <v>1.6949152542372881E-2</v>
      </c>
      <c r="M19" s="67"/>
      <c r="N19" s="59"/>
      <c r="O19" s="165"/>
    </row>
    <row r="20" spans="2:15" ht="20.100000000000001" customHeight="1" x14ac:dyDescent="0.25">
      <c r="B20" s="161"/>
      <c r="C20" s="67"/>
      <c r="D20" s="67"/>
      <c r="E20" s="75" t="s">
        <v>162</v>
      </c>
      <c r="F20" s="87">
        <v>500</v>
      </c>
      <c r="G20" s="67"/>
      <c r="H20" s="60"/>
      <c r="I20" s="73"/>
      <c r="J20" s="67"/>
      <c r="K20" s="205" t="str">
        <f>"Cost per follow (" &amp; currency &amp; ")"</f>
        <v>Cost per follow ($)</v>
      </c>
      <c r="L20" s="76">
        <f>IFERROR(SUM(TwitterCost)/F28,"")</f>
        <v>11.666666666666666</v>
      </c>
      <c r="M20" s="67"/>
      <c r="N20" s="59"/>
      <c r="O20" s="165"/>
    </row>
    <row r="21" spans="2:15" ht="20.100000000000001" customHeight="1" x14ac:dyDescent="0.25">
      <c r="B21" s="161"/>
      <c r="C21" s="67"/>
      <c r="D21" s="67"/>
      <c r="E21" s="75" t="s">
        <v>163</v>
      </c>
      <c r="F21" s="87">
        <v>60</v>
      </c>
      <c r="G21" s="67"/>
      <c r="H21" s="60"/>
      <c r="I21" s="73"/>
      <c r="J21" s="67"/>
      <c r="K21" s="75"/>
      <c r="L21" s="76"/>
      <c r="M21" s="67"/>
      <c r="N21" s="59"/>
      <c r="O21" s="165"/>
    </row>
    <row r="22" spans="2:15" ht="20.100000000000001" customHeight="1" x14ac:dyDescent="0.25">
      <c r="B22" s="161"/>
      <c r="C22" s="67"/>
      <c r="D22" s="210"/>
      <c r="E22" s="208"/>
      <c r="F22" s="219"/>
      <c r="G22" s="67"/>
      <c r="H22" s="60"/>
      <c r="I22" s="73"/>
      <c r="J22" s="67"/>
      <c r="K22" s="206" t="s">
        <v>100</v>
      </c>
      <c r="L22" s="77">
        <f>IFERROR(IF(ISNUMBER(F31),F31,F32*L8),"")</f>
        <v>105.75</v>
      </c>
      <c r="M22" s="67"/>
      <c r="N22" s="67"/>
      <c r="O22" s="177"/>
    </row>
    <row r="23" spans="2:15" ht="20.100000000000001" customHeight="1" x14ac:dyDescent="0.25">
      <c r="B23" s="161"/>
      <c r="C23" s="67"/>
      <c r="D23" s="67"/>
      <c r="E23" s="206" t="s">
        <v>115</v>
      </c>
      <c r="F23" s="87">
        <v>120</v>
      </c>
      <c r="G23" s="67"/>
      <c r="H23" s="68"/>
      <c r="I23" s="73"/>
      <c r="J23" s="67"/>
      <c r="K23" s="206" t="s">
        <v>14</v>
      </c>
      <c r="L23" s="78">
        <f>IFERROR(IF(ISNUMBER(F32),F32,F31/L8),"")</f>
        <v>0.03</v>
      </c>
      <c r="M23" s="67"/>
      <c r="N23" s="67"/>
      <c r="O23" s="177"/>
    </row>
    <row r="24" spans="2:15" ht="20.100000000000001" customHeight="1" x14ac:dyDescent="0.25">
      <c r="B24" s="161"/>
      <c r="C24" s="67"/>
      <c r="D24" s="67"/>
      <c r="E24" s="206" t="s">
        <v>116</v>
      </c>
      <c r="F24" s="222">
        <v>0.25</v>
      </c>
      <c r="G24" s="67"/>
      <c r="H24" s="68"/>
      <c r="I24" s="73"/>
      <c r="J24" s="67"/>
      <c r="K24" s="205" t="str">
        <f>"Cost per conversion (" &amp; currency &amp; ")"</f>
        <v>Cost per conversion ($)</v>
      </c>
      <c r="L24" s="76">
        <f>IFERROR(SUM(TwitterCost)/L22,"")</f>
        <v>16.548463356973997</v>
      </c>
      <c r="M24" s="67"/>
      <c r="N24" s="67"/>
      <c r="O24" s="177"/>
    </row>
    <row r="25" spans="2:15" ht="20.100000000000001" customHeight="1" x14ac:dyDescent="0.25">
      <c r="B25" s="161"/>
      <c r="C25" s="67"/>
      <c r="D25" s="81"/>
      <c r="E25" s="206" t="s">
        <v>117</v>
      </c>
      <c r="F25" s="222">
        <v>0.75</v>
      </c>
      <c r="G25" s="67"/>
      <c r="H25" s="68"/>
      <c r="I25" s="73"/>
      <c r="J25" s="67"/>
      <c r="K25" s="75"/>
      <c r="L25" s="76"/>
      <c r="M25" s="67"/>
      <c r="N25" s="67"/>
      <c r="O25" s="177"/>
    </row>
    <row r="26" spans="2:15" ht="20.100000000000001" customHeight="1" x14ac:dyDescent="0.25">
      <c r="B26" s="161"/>
      <c r="C26" s="67"/>
      <c r="D26" s="210"/>
      <c r="E26" s="208"/>
      <c r="F26" s="220"/>
      <c r="G26" s="67"/>
      <c r="H26" s="68"/>
      <c r="I26" s="73"/>
      <c r="J26" s="67"/>
      <c r="K26" s="75" t="s">
        <v>101</v>
      </c>
      <c r="L26" s="77">
        <f>IFERROR(IF(ISNUMBER(F34),F34,F35*L8),"")</f>
        <v>77.55</v>
      </c>
      <c r="M26" s="67"/>
      <c r="N26" s="67"/>
      <c r="O26" s="177"/>
    </row>
    <row r="27" spans="2:15" ht="20.100000000000001" customHeight="1" x14ac:dyDescent="0.25">
      <c r="B27" s="161"/>
      <c r="C27" s="67"/>
      <c r="D27" s="81"/>
      <c r="E27" s="75" t="s">
        <v>112</v>
      </c>
      <c r="F27" s="87">
        <v>9000</v>
      </c>
      <c r="G27" s="67"/>
      <c r="H27" s="60"/>
      <c r="I27" s="73"/>
      <c r="J27" s="67"/>
      <c r="K27" s="206" t="s">
        <v>99</v>
      </c>
      <c r="L27" s="78">
        <f>IFERROR(IF(ISNUMBER(F35),F35,F34/L8),"")</f>
        <v>2.1999999999999999E-2</v>
      </c>
      <c r="M27" s="67"/>
      <c r="N27" s="67"/>
      <c r="O27" s="177"/>
    </row>
    <row r="28" spans="2:15" ht="20.100000000000001" customHeight="1" x14ac:dyDescent="0.25">
      <c r="B28" s="161"/>
      <c r="C28" s="67"/>
      <c r="D28" s="81"/>
      <c r="E28" s="75" t="s">
        <v>78</v>
      </c>
      <c r="F28" s="87">
        <v>150</v>
      </c>
      <c r="G28" s="67"/>
      <c r="H28" s="60"/>
      <c r="I28" s="73"/>
      <c r="J28" s="67"/>
      <c r="K28" s="205" t="str">
        <f>"Cost per sale (" &amp; currency &amp; ")"</f>
        <v>Cost per sale ($)</v>
      </c>
      <c r="L28" s="76">
        <f>IFERROR(SUM(TwitterCost)/L26,"")</f>
        <v>22.566086395873629</v>
      </c>
      <c r="M28" s="67"/>
      <c r="N28" s="67"/>
      <c r="O28" s="177"/>
    </row>
    <row r="29" spans="2:15" ht="20.100000000000001" customHeight="1" x14ac:dyDescent="0.25">
      <c r="B29" s="161"/>
      <c r="C29" s="67"/>
      <c r="D29" s="81"/>
      <c r="E29" s="75" t="s">
        <v>45</v>
      </c>
      <c r="F29" s="87">
        <v>55</v>
      </c>
      <c r="G29" s="67"/>
      <c r="H29" s="60"/>
      <c r="I29" s="73"/>
      <c r="J29" s="67"/>
      <c r="K29" s="205" t="str">
        <f>"Projected Sales (" &amp; currency &amp; ")"</f>
        <v>Projected Sales ($)</v>
      </c>
      <c r="L29" s="76">
        <f>IFERROR(L26*F37,"")</f>
        <v>2714.25</v>
      </c>
      <c r="M29" s="67"/>
      <c r="N29" s="67"/>
      <c r="O29" s="177"/>
    </row>
    <row r="30" spans="2:15" ht="20.100000000000001" customHeight="1" x14ac:dyDescent="0.25">
      <c r="B30" s="161"/>
      <c r="C30" s="67"/>
      <c r="D30" s="210"/>
      <c r="E30" s="208"/>
      <c r="F30" s="219"/>
      <c r="G30" s="67"/>
      <c r="H30" s="60"/>
      <c r="I30" s="73"/>
      <c r="J30" s="67"/>
      <c r="K30" s="205" t="str">
        <f>"Total LTV of gained customers  (" &amp; currency &amp; ")"</f>
        <v>Total LTV of gained customers  ($)</v>
      </c>
      <c r="L30" s="76">
        <f>IFERROR(L26*F38,"")</f>
        <v>5040.75</v>
      </c>
      <c r="M30" s="67"/>
      <c r="N30" s="60" t="str">
        <f>IF(ISNUMBER(L30),"Not included in ROI results.","")</f>
        <v>Not included in ROI results.</v>
      </c>
      <c r="O30" s="177"/>
    </row>
    <row r="31" spans="2:15" ht="20.100000000000001" customHeight="1" x14ac:dyDescent="0.25">
      <c r="B31" s="161"/>
      <c r="C31" s="67"/>
      <c r="D31" s="81"/>
      <c r="E31" s="206" t="s">
        <v>100</v>
      </c>
      <c r="F31" s="87"/>
      <c r="G31" s="67"/>
      <c r="H31" s="68"/>
      <c r="I31" s="73"/>
      <c r="J31" s="67"/>
      <c r="K31" s="75"/>
      <c r="L31" s="76"/>
      <c r="M31" s="67"/>
      <c r="N31" s="60"/>
      <c r="O31" s="177"/>
    </row>
    <row r="32" spans="2:15" ht="20.100000000000001" customHeight="1" x14ac:dyDescent="0.25">
      <c r="B32" s="161"/>
      <c r="C32" s="67"/>
      <c r="D32" s="81"/>
      <c r="E32" s="206" t="s">
        <v>14</v>
      </c>
      <c r="F32" s="88">
        <v>0.03</v>
      </c>
      <c r="G32" s="67"/>
      <c r="H32" s="68"/>
      <c r="I32" s="73"/>
      <c r="J32" s="67"/>
      <c r="K32" s="75" t="s">
        <v>22</v>
      </c>
      <c r="L32" s="78">
        <f>IFERROR((L29-SUM(TwitterCost))/SUM(TwitterCost),"")</f>
        <v>0.55100000000000005</v>
      </c>
      <c r="M32" s="67"/>
      <c r="N32" s="67"/>
      <c r="O32" s="177"/>
    </row>
    <row r="33" spans="2:15" ht="20.100000000000001" customHeight="1" x14ac:dyDescent="0.25">
      <c r="B33" s="161"/>
      <c r="C33" s="67"/>
      <c r="D33" s="210"/>
      <c r="E33" s="208"/>
      <c r="F33" s="221"/>
      <c r="G33" s="67"/>
      <c r="H33" s="68"/>
      <c r="I33" s="73"/>
      <c r="J33" s="67"/>
      <c r="K33" s="75" t="s">
        <v>21</v>
      </c>
      <c r="L33" s="78">
        <f>IFERROR((L29)/SUM(TwitterCost),"")</f>
        <v>1.5509999999999999</v>
      </c>
      <c r="M33" s="67"/>
      <c r="N33" s="60" t="str">
        <f>IF(LEN(L33)&gt;0,IF((L29)/SUM(TwitterCost)&gt;1,"Per each 1" &amp; currency &amp; " spend, you earn " &amp; ROUND((L29)/SUM(TwitterCost),2) &amp; currency,"Your results are below investment."),"")</f>
        <v>Per each 1$ spend, you earn 1,55$</v>
      </c>
      <c r="O33" s="177"/>
    </row>
    <row r="34" spans="2:15" ht="20.100000000000001" customHeight="1" x14ac:dyDescent="0.25">
      <c r="B34" s="161"/>
      <c r="C34" s="67"/>
      <c r="D34" s="81"/>
      <c r="E34" s="75" t="s">
        <v>101</v>
      </c>
      <c r="F34" s="87"/>
      <c r="G34" s="67"/>
      <c r="H34" s="68"/>
      <c r="I34" s="73"/>
      <c r="J34" s="67"/>
      <c r="K34" s="205" t="str">
        <f>"Break even sale value (" &amp; currency &amp; ")"</f>
        <v>Break even sale value ($)</v>
      </c>
      <c r="L34" s="76">
        <f>IFERROR(SUM(TwitterCost)/L26,"")</f>
        <v>22.566086395873629</v>
      </c>
      <c r="M34" s="67"/>
      <c r="N34" s="60" t="str">
        <f>IF(ISNUMBER(L34),"Minimum sale value for positive ROI","")</f>
        <v>Minimum sale value for positive ROI</v>
      </c>
      <c r="O34" s="177"/>
    </row>
    <row r="35" spans="2:15" ht="20.100000000000001" customHeight="1" x14ac:dyDescent="0.25">
      <c r="B35" s="161"/>
      <c r="C35" s="67"/>
      <c r="D35" s="81"/>
      <c r="E35" s="206" t="s">
        <v>99</v>
      </c>
      <c r="F35" s="88">
        <v>2.1999999999999999E-2</v>
      </c>
      <c r="G35" s="67"/>
      <c r="H35" s="68"/>
      <c r="I35" s="73"/>
      <c r="J35" s="67"/>
      <c r="K35" s="75" t="s">
        <v>9</v>
      </c>
      <c r="L35" s="77">
        <f>IFERROR(SUM(TwitterCost)/F37,"")</f>
        <v>50</v>
      </c>
      <c r="M35" s="67"/>
      <c r="N35" s="60" t="str">
        <f>IF(ISNUMBER(L35),"Minimum buyers # for positive ROI","")</f>
        <v>Minimum buyers # for positive ROI</v>
      </c>
      <c r="O35" s="177"/>
    </row>
    <row r="36" spans="2:15" ht="20.100000000000001" customHeight="1" x14ac:dyDescent="0.25">
      <c r="B36" s="161"/>
      <c r="C36" s="67"/>
      <c r="D36" s="210"/>
      <c r="E36" s="208"/>
      <c r="F36" s="221"/>
      <c r="G36" s="67"/>
      <c r="H36" s="68"/>
      <c r="I36" s="73"/>
      <c r="J36" s="67"/>
      <c r="K36" s="75"/>
      <c r="L36" s="89"/>
      <c r="M36" s="67"/>
      <c r="N36" s="59"/>
      <c r="O36" s="177"/>
    </row>
    <row r="37" spans="2:15" ht="20.100000000000001" customHeight="1" x14ac:dyDescent="0.25">
      <c r="B37" s="161"/>
      <c r="C37" s="67"/>
      <c r="D37" s="81"/>
      <c r="E37" s="205" t="str">
        <f>"Average Order Value (" &amp; currency &amp; ")"</f>
        <v>Average Order Value ($)</v>
      </c>
      <c r="F37" s="84">
        <v>35</v>
      </c>
      <c r="G37" s="67"/>
      <c r="H37" s="60" t="str">
        <f>IF(ISNUMBER(F37),"","← Don't leave it empty.")</f>
        <v/>
      </c>
      <c r="I37" s="73"/>
      <c r="J37" s="67"/>
      <c r="K37" s="206" t="s">
        <v>147</v>
      </c>
      <c r="L37" s="80"/>
      <c r="M37" s="81"/>
      <c r="N37" s="68"/>
      <c r="O37" s="177"/>
    </row>
    <row r="38" spans="2:15" ht="20.100000000000001" customHeight="1" x14ac:dyDescent="0.25">
      <c r="B38" s="161"/>
      <c r="C38" s="67"/>
      <c r="D38" s="81"/>
      <c r="E38" s="205" t="str">
        <f>"Average Lifetime value (LTV) (" &amp; currency &amp; ")"</f>
        <v>Average Lifetime value (LTV) ($)</v>
      </c>
      <c r="F38" s="84">
        <v>65</v>
      </c>
      <c r="G38" s="67"/>
      <c r="H38" s="68"/>
      <c r="I38" s="73"/>
      <c r="J38" s="67"/>
      <c r="K38" s="206" t="s">
        <v>147</v>
      </c>
      <c r="L38" s="80"/>
      <c r="M38" s="81"/>
      <c r="N38" s="68"/>
      <c r="O38" s="177"/>
    </row>
    <row r="39" spans="2:15" ht="20.100000000000001" customHeight="1" x14ac:dyDescent="0.25">
      <c r="B39" s="161"/>
      <c r="C39" s="67"/>
      <c r="D39" s="210"/>
      <c r="E39" s="208"/>
      <c r="F39" s="216"/>
      <c r="G39" s="67"/>
      <c r="H39" s="68"/>
      <c r="I39" s="73"/>
      <c r="J39" s="67"/>
      <c r="K39" s="206" t="s">
        <v>147</v>
      </c>
      <c r="L39" s="80"/>
      <c r="M39" s="81"/>
      <c r="N39" s="68"/>
      <c r="O39" s="177"/>
    </row>
    <row r="40" spans="2:15" ht="20.100000000000001" customHeight="1" x14ac:dyDescent="0.25">
      <c r="B40" s="161"/>
      <c r="C40" s="67"/>
      <c r="D40" s="81"/>
      <c r="E40" s="206" t="s">
        <v>148</v>
      </c>
      <c r="F40" s="90"/>
      <c r="G40" s="81"/>
      <c r="H40" s="68"/>
      <c r="I40" s="103"/>
      <c r="J40" s="81"/>
      <c r="K40" s="206" t="s">
        <v>147</v>
      </c>
      <c r="L40" s="80"/>
      <c r="M40" s="81"/>
      <c r="N40" s="68"/>
      <c r="O40" s="177"/>
    </row>
    <row r="41" spans="2:15" ht="20.100000000000001" customHeight="1" x14ac:dyDescent="0.25">
      <c r="B41" s="161"/>
      <c r="C41" s="67"/>
      <c r="D41" s="81"/>
      <c r="E41" s="206" t="s">
        <v>148</v>
      </c>
      <c r="F41" s="90"/>
      <c r="G41" s="81"/>
      <c r="H41" s="68"/>
      <c r="I41" s="103"/>
      <c r="J41" s="81"/>
      <c r="K41" s="206" t="s">
        <v>147</v>
      </c>
      <c r="L41" s="80"/>
      <c r="M41" s="81"/>
      <c r="N41" s="68"/>
      <c r="O41" s="177"/>
    </row>
    <row r="42" spans="2:15" ht="20.100000000000001" customHeight="1" x14ac:dyDescent="0.25">
      <c r="B42" s="161"/>
      <c r="C42" s="67"/>
      <c r="D42" s="81"/>
      <c r="E42" s="206" t="s">
        <v>148</v>
      </c>
      <c r="F42" s="90"/>
      <c r="G42" s="81"/>
      <c r="H42" s="68"/>
      <c r="I42" s="103"/>
      <c r="J42" s="81"/>
      <c r="K42" s="206" t="s">
        <v>147</v>
      </c>
      <c r="L42" s="80"/>
      <c r="M42" s="81"/>
      <c r="N42" s="68"/>
      <c r="O42" s="177"/>
    </row>
    <row r="43" spans="2:15" ht="20.100000000000001" customHeight="1" x14ac:dyDescent="0.25">
      <c r="B43" s="161"/>
      <c r="C43" s="67"/>
      <c r="D43" s="81"/>
      <c r="E43" s="206" t="s">
        <v>148</v>
      </c>
      <c r="F43" s="90"/>
      <c r="G43" s="81"/>
      <c r="H43" s="68"/>
      <c r="I43" s="103"/>
      <c r="J43" s="81"/>
      <c r="K43" s="206" t="s">
        <v>147</v>
      </c>
      <c r="L43" s="80"/>
      <c r="M43" s="81"/>
      <c r="N43" s="68"/>
      <c r="O43" s="177"/>
    </row>
    <row r="44" spans="2:15" ht="20.100000000000001" customHeight="1" x14ac:dyDescent="0.25">
      <c r="B44" s="161"/>
      <c r="C44" s="67"/>
      <c r="D44" s="81"/>
      <c r="E44" s="206" t="s">
        <v>148</v>
      </c>
      <c r="F44" s="90"/>
      <c r="G44" s="81"/>
      <c r="H44" s="68"/>
      <c r="I44" s="103"/>
      <c r="J44" s="81"/>
      <c r="K44" s="206" t="s">
        <v>147</v>
      </c>
      <c r="L44" s="80"/>
      <c r="M44" s="81"/>
      <c r="N44" s="68"/>
      <c r="O44" s="177"/>
    </row>
    <row r="45" spans="2:15" ht="20.100000000000001" customHeight="1" x14ac:dyDescent="0.25">
      <c r="B45" s="161"/>
      <c r="C45" s="67"/>
      <c r="D45" s="81"/>
      <c r="E45" s="206" t="s">
        <v>148</v>
      </c>
      <c r="F45" s="90"/>
      <c r="G45" s="81"/>
      <c r="H45" s="68"/>
      <c r="I45" s="103"/>
      <c r="J45" s="81"/>
      <c r="K45" s="206" t="s">
        <v>147</v>
      </c>
      <c r="L45" s="80"/>
      <c r="M45" s="81"/>
      <c r="N45" s="68"/>
      <c r="O45" s="177"/>
    </row>
    <row r="46" spans="2:15" ht="20.100000000000001" customHeight="1" x14ac:dyDescent="0.25">
      <c r="B46" s="161"/>
      <c r="C46" s="67"/>
      <c r="D46" s="81"/>
      <c r="E46" s="206" t="s">
        <v>148</v>
      </c>
      <c r="F46" s="90"/>
      <c r="G46" s="81"/>
      <c r="H46" s="68"/>
      <c r="I46" s="103"/>
      <c r="J46" s="81"/>
      <c r="K46" s="206" t="s">
        <v>147</v>
      </c>
      <c r="L46" s="80"/>
      <c r="M46" s="81"/>
      <c r="N46" s="68"/>
      <c r="O46" s="177"/>
    </row>
    <row r="47" spans="2:15" ht="9.9499999999999993" customHeight="1" x14ac:dyDescent="0.25">
      <c r="B47" s="162"/>
      <c r="C47" s="178"/>
      <c r="D47" s="178"/>
      <c r="E47" s="178"/>
      <c r="F47" s="178"/>
      <c r="G47" s="178"/>
      <c r="H47" s="179"/>
      <c r="I47" s="180"/>
      <c r="J47" s="178"/>
      <c r="K47" s="178"/>
      <c r="L47" s="178"/>
      <c r="M47" s="178"/>
      <c r="N47" s="179"/>
      <c r="O47" s="181"/>
    </row>
    <row r="48" spans="2:15" ht="6.95" customHeight="1" x14ac:dyDescent="0.25">
      <c r="B48" s="23"/>
      <c r="C48" s="23"/>
      <c r="D48" s="23"/>
      <c r="E48" s="23"/>
      <c r="F48" s="23"/>
      <c r="G48" s="23"/>
      <c r="H48" s="19"/>
      <c r="I48" s="23"/>
      <c r="J48" s="23"/>
      <c r="L48" s="23"/>
      <c r="M48" s="23"/>
      <c r="N48" s="24"/>
      <c r="O48" s="23"/>
    </row>
    <row r="49" spans="2:15" ht="23.1" customHeight="1" x14ac:dyDescent="0.25">
      <c r="B49" s="121"/>
      <c r="C49" s="122"/>
      <c r="D49" s="123"/>
      <c r="E49" s="124"/>
      <c r="F49" s="124"/>
      <c r="G49" s="121"/>
      <c r="H49" s="124"/>
      <c r="I49" s="124"/>
      <c r="J49" s="124"/>
      <c r="K49" s="124"/>
      <c r="L49" s="124"/>
      <c r="M49" s="124"/>
      <c r="N49" s="124"/>
      <c r="O49" s="124"/>
    </row>
  </sheetData>
  <sheetProtection algorithmName="SHA-512" hashValue="5kPp8GD/h9E1qd6LVbhxqWPh8SKitCDP+ZQCTq5cmR/oJv2IEavb8irpdVSRn8zuW//5pOiM/5AUgqJxYLe16g==" saltValue="oQoWqhe3XtxRSgycrhRz6A==" spinCount="100000" sheet="1" objects="1" scenarios="1"/>
  <conditionalFormatting sqref="L8:L21 L24:L25 L29:L46">
    <cfRule type="expression" dxfId="15" priority="21">
      <formula>LEN($K8)&gt;0</formula>
    </cfRule>
  </conditionalFormatting>
  <conditionalFormatting sqref="L34:L35">
    <cfRule type="expression" dxfId="14" priority="15">
      <formula>LEN($K34)&gt;0</formula>
    </cfRule>
  </conditionalFormatting>
  <conditionalFormatting sqref="K37:K46 E40:E46">
    <cfRule type="expression" dxfId="13" priority="8">
      <formula>OR(E37="Input …",E37="Output …")</formula>
    </cfRule>
  </conditionalFormatting>
  <conditionalFormatting sqref="F7:F46">
    <cfRule type="expression" dxfId="12" priority="6">
      <formula>LEN($E7)&gt;0</formula>
    </cfRule>
  </conditionalFormatting>
  <conditionalFormatting sqref="E7:F46">
    <cfRule type="expression" dxfId="11" priority="5">
      <formula>LEN($E7)&gt;0</formula>
    </cfRule>
  </conditionalFormatting>
  <conditionalFormatting sqref="L7:L46">
    <cfRule type="expression" dxfId="10" priority="4">
      <formula>LEN($K7)&gt;0</formula>
    </cfRule>
  </conditionalFormatting>
  <conditionalFormatting sqref="K7:L46">
    <cfRule type="expression" dxfId="9" priority="3">
      <formula>LEN($K7)&gt;0</formula>
    </cfRule>
  </conditionalFormatting>
  <conditionalFormatting sqref="J7:J46">
    <cfRule type="expression" dxfId="8" priority="2">
      <formula>LEN($K7)&gt;0</formula>
    </cfRule>
  </conditionalFormatting>
  <conditionalFormatting sqref="D7:D46">
    <cfRule type="expression" dxfId="7" priority="1">
      <formula>LEN($E7)&gt;0</formula>
    </cfRule>
  </conditionalFormatting>
  <dataValidations count="31">
    <dataValidation allowBlank="1" showInputMessage="1" showErrorMessage="1" promptTitle="Impressions vs. Reach " prompt="If one person has seen your post three times, this will be counted as 1 reach and 3 impressions." sqref="E12" xr:uid="{E94A5608-F504-432F-A6A0-8F2BD1DAC75B}"/>
    <dataValidation allowBlank="1" showInputMessage="1" showErrorMessage="1" prompt="On average between 300 and 800 ($) for a monthly fee." sqref="E8" xr:uid="{16D19BAE-01B4-4994-AAA1-1D17CEF5C5D4}"/>
    <dataValidation allowBlank="1" showInputMessage="1" showErrorMessage="1" prompt="Clicks, Retweets, replies, follows, likes, links, cards, hashtags, embedded media, username, profile photo, or Tweet expansion." sqref="E19 E21:E22" xr:uid="{BE7BCE53-EFEA-46C6-A827-D2A45C47E292}"/>
    <dataValidation allowBlank="1" showInputMessage="1" showErrorMessage="1" prompt="2% is seen as a good social media engagement rate on Instagram. Anything 3% or more is great." sqref="K15:K16" xr:uid="{F54E0CDB-CB06-491D-9256-22F755773068}"/>
    <dataValidation allowBlank="1" showInputMessage="1" showErrorMessage="1" prompt="High lifetime value of a customer can show you if it's worth to have a higher CPC even if it doesn't seem when compare to average close value." sqref="E38" xr:uid="{50768B1A-7CE5-49E8-B0EB-984F4E6B25C3}"/>
    <dataValidation allowBlank="1" showInputMessage="1" showErrorMessage="1" promptTitle="ROI - expectations" prompt="&lt;0% - lost investment_x000a_&gt;0% - not loosing_x000a_&gt;350% - good marketing campaign _x000a_" sqref="K32" xr:uid="{7395CF50-7C24-4945-B0AE-6F5AFD63D6B7}"/>
    <dataValidation allowBlank="1" showInputMessage="1" showErrorMessage="1" promptTitle="ROAS - expectations" prompt="&lt;100% - bad_x000a_100% - 400% - not so well_x000a_&gt;400% - well invested money" sqref="K33" xr:uid="{02ECAAC8-AF1A-4DEE-8A6B-E25847CF2DC9}"/>
    <dataValidation allowBlank="1" showInputMessage="1" showErrorMessage="1" prompt="Total cost / Conversions" sqref="L24:L25" xr:uid="{ADF27A3D-5948-45EC-9E85-5F0D583032BD}"/>
    <dataValidation allowBlank="1" showInputMessage="1" showErrorMessage="1" prompt="(1000 * Total Cost ) divided by Impressions #" sqref="L7" xr:uid="{3DA37293-356C-417A-A3FA-CA057C2FADE5}"/>
    <dataValidation allowBlank="1" showInputMessage="1" showErrorMessage="1" prompt="Total cost / Average Order Value" sqref="L35" xr:uid="{138FADA9-FB23-4E7E-9006-A6D8997087CA}"/>
    <dataValidation allowBlank="1" showInputMessage="1" showErrorMessage="1" prompt="Total cost / Buyers" sqref="L34 L28" xr:uid="{3872AB95-391F-4D49-8D9C-F2F168F656AA}"/>
    <dataValidation allowBlank="1" showInputMessage="1" showErrorMessage="1" prompt="Projected Sales / Total cost" sqref="L33" xr:uid="{00060B15-9410-4C6D-8368-5929BC4E9CFD}"/>
    <dataValidation allowBlank="1" showInputMessage="1" showErrorMessage="1" prompt="(Projected Sales - Total cost) / Total cost" sqref="L32" xr:uid="{630DC752-30B1-4F3E-B9D8-03A170CDA9CB}"/>
    <dataValidation allowBlank="1" showInputMessage="1" showErrorMessage="1" prompt="Fill Sales or Sales Rate. The other will be calculated._x000a_If you leave both empty, conversions will be taken as sales." sqref="E34" xr:uid="{D9634026-1E5A-45C6-A169-7E5618537A2A}"/>
    <dataValidation allowBlank="1" showInputMessage="1" showErrorMessage="1" prompt="Fill Conversions or Conversion Rate. The other will be calculated." sqref="E31" xr:uid="{046A1391-12B0-4BB9-AD6A-54415BDE51DF}"/>
    <dataValidation allowBlank="1" showInputMessage="1" showErrorMessage="1" prompt="Clicks / Impressions" sqref="L9" xr:uid="{38160FA3-7F39-4F11-B34C-2AD0F2350B83}"/>
    <dataValidation allowBlank="1" showInputMessage="1" showErrorMessage="1" prompt="Total cost / New Followers" sqref="L20:L21" xr:uid="{D418C996-F55B-4C27-B258-01916D9650DF}"/>
    <dataValidation allowBlank="1" showInputMessage="1" showErrorMessage="1" prompt="Total cost / Clicks" sqref="L10" xr:uid="{54F8A310-213F-4AF9-AAAF-A46CA7926CC1}"/>
    <dataValidation allowBlank="1" showInputMessage="1" showErrorMessage="1" prompt="Profile Visits / Impresions" sqref="L11:L12" xr:uid="{535B9D78-4930-44D8-8D83-4318471258A8}"/>
    <dataValidation allowBlank="1" showInputMessage="1" showErrorMessage="1" prompt="Engagements / Impresions" sqref="L13" xr:uid="{E685FC3D-D11E-4C56-915D-19A61C3FF7EF}"/>
    <dataValidation allowBlank="1" showInputMessage="1" showErrorMessage="1" prompt="Total Cost / Engagements" sqref="L14" xr:uid="{7461F690-FEA5-4583-AA34-45524C872FEF}"/>
    <dataValidation allowBlank="1" showInputMessage="1" showErrorMessage="1" prompt="Total cost / Video Views" sqref="L17" xr:uid="{397064EC-1EFA-43CD-B2FF-6F78946181B2}"/>
    <dataValidation allowBlank="1" showInputMessage="1" showErrorMessage="1" prompt="Video views * Completion rate" sqref="L18" xr:uid="{F17D7123-5D46-4DA5-8746-862E9660E8D8}"/>
    <dataValidation allowBlank="1" showInputMessage="1" showErrorMessage="1" prompt="New Followers / (Total followers - New Followers)" sqref="L19" xr:uid="{D401E238-86D3-4651-8F81-6E435D7085BB}"/>
    <dataValidation allowBlank="1" showInputMessage="1" showErrorMessage="1" prompt="Conversion rare * Clicks" sqref="L22" xr:uid="{D689B0E5-28EF-43C6-B801-996E261F81E3}"/>
    <dataValidation allowBlank="1" showInputMessage="1" showErrorMessage="1" prompt="Conversions / Clicks" sqref="L23" xr:uid="{36C71463-B32C-4383-8B8A-491183657062}"/>
    <dataValidation allowBlank="1" showInputMessage="1" showErrorMessage="1" prompt="Sales rate * Clicks" sqref="L26" xr:uid="{24DB34A0-18A2-4ABB-974F-D70A953EFF14}"/>
    <dataValidation allowBlank="1" showInputMessage="1" showErrorMessage="1" prompt="Buyers / Clicks" sqref="L27" xr:uid="{E2C21610-D759-4D9B-ADF8-3BF56B8C6F83}"/>
    <dataValidation allowBlank="1" showInputMessage="1" showErrorMessage="1" prompt="Buyers * Average Order Value" sqref="L29" xr:uid="{7EDB472F-0C8C-4346-937B-825B5B191480}"/>
    <dataValidation allowBlank="1" showInputMessage="1" showErrorMessage="1" prompt="Buyers * LTV" sqref="L30:L31" xr:uid="{0EF0EB0A-9893-477D-927D-C416AC68FA54}"/>
    <dataValidation allowBlank="1" showInputMessage="1" showErrorMessage="1" prompt="Average $1.35 per engagement" sqref="K14" xr:uid="{846AB49E-A62A-4CA1-8F60-FF138162FBCB}"/>
  </dataValidations>
  <printOptions horizontalCentered="1"/>
  <pageMargins left="0.31496062992125984" right="0.31496062992125984" top="0.31496062992125984" bottom="0.31496062992125984" header="0.31496062992125984" footer="0.31496062992125984"/>
  <pageSetup scale="6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4" id="{97452476-CEAB-48C0-BE9E-4EFA2BCEE7F3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3.5</xm:f>
              </x14:cfvo>
            </x14:iconSet>
          </x14:cfRule>
          <xm:sqref>L32</xm:sqref>
        </x14:conditionalFormatting>
        <x14:conditionalFormatting xmlns:xm="http://schemas.microsoft.com/office/excel/2006/main">
          <x14:cfRule type="iconSet" priority="13" id="{388DE2C2-BEDB-44B6-ABE3-435B0387C4A1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4</xm:f>
              </x14:cfvo>
            </x14:iconSet>
          </x14:cfRule>
          <xm:sqref>L33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80FE-8E15-4035-B6CC-5022BA3545A0}">
  <sheetPr codeName="Sheet17">
    <pageSetUpPr fitToPage="1"/>
  </sheetPr>
  <dimension ref="B1:O49"/>
  <sheetViews>
    <sheetView showGridLines="0" showRowColHeaders="0" workbookViewId="0">
      <pane ySplit="5" topLeftCell="A6" activePane="bottomLeft" state="frozen"/>
      <selection activeCell="A6" sqref="A6"/>
      <selection pane="bottomLeft" activeCell="A6" sqref="A6"/>
    </sheetView>
  </sheetViews>
  <sheetFormatPr defaultRowHeight="20.100000000000001" customHeight="1" x14ac:dyDescent="0.25"/>
  <cols>
    <col min="1" max="1" width="3.7109375" style="16" customWidth="1"/>
    <col min="2" max="2" width="12.7109375" style="16" customWidth="1"/>
    <col min="3" max="4" width="1.7109375" style="16" customWidth="1"/>
    <col min="5" max="5" width="35.7109375" style="16" customWidth="1"/>
    <col min="6" max="6" width="12.7109375" style="16" customWidth="1"/>
    <col min="7" max="7" width="1.7109375" style="16" customWidth="1"/>
    <col min="8" max="8" width="30.7109375" style="16" customWidth="1"/>
    <col min="9" max="9" width="3.7109375" style="16" customWidth="1"/>
    <col min="10" max="10" width="1.7109375" style="16" customWidth="1"/>
    <col min="11" max="11" width="35.7109375" style="16" customWidth="1"/>
    <col min="12" max="12" width="12.7109375" style="16" customWidth="1"/>
    <col min="13" max="13" width="1.7109375" style="16" customWidth="1"/>
    <col min="14" max="14" width="30.7109375" style="16" customWidth="1"/>
    <col min="15" max="15" width="1.7109375" style="16" customWidth="1"/>
    <col min="16" max="16384" width="9.140625" style="16"/>
  </cols>
  <sheetData>
    <row r="1" spans="2:15" ht="6.75" customHeight="1" x14ac:dyDescent="0.25"/>
    <row r="2" spans="2:15" s="136" customFormat="1" ht="20.100000000000001" customHeight="1" x14ac:dyDescent="0.3">
      <c r="B2" s="149"/>
      <c r="C2" s="149" t="s">
        <v>150</v>
      </c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2:15" s="139" customFormat="1" ht="24" customHeight="1" x14ac:dyDescent="0.35">
      <c r="B3" s="45"/>
      <c r="C3" s="145" t="s">
        <v>149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2:15" ht="9.9499999999999993" customHeight="1" x14ac:dyDescent="0.25">
      <c r="B4" s="42"/>
      <c r="C4" s="18"/>
      <c r="D4" s="18"/>
      <c r="E4" s="18"/>
      <c r="F4" s="18"/>
      <c r="G4" s="18"/>
      <c r="H4" s="52"/>
      <c r="I4" s="53"/>
      <c r="J4" s="18"/>
      <c r="K4" s="18"/>
      <c r="L4" s="18"/>
      <c r="M4" s="18"/>
      <c r="N4" s="52"/>
      <c r="O4" s="175"/>
    </row>
    <row r="5" spans="2:15" ht="30" customHeight="1" x14ac:dyDescent="0.25">
      <c r="B5" s="42"/>
      <c r="C5" s="54"/>
      <c r="D5" s="55"/>
      <c r="E5" s="105" t="s">
        <v>15</v>
      </c>
      <c r="F5" s="105"/>
      <c r="G5" s="47"/>
      <c r="H5" s="107" t="s">
        <v>63</v>
      </c>
      <c r="I5" s="49"/>
      <c r="J5" s="50"/>
      <c r="K5" s="106" t="s">
        <v>20</v>
      </c>
      <c r="L5" s="106"/>
      <c r="M5" s="48"/>
      <c r="N5" s="107" t="s">
        <v>63</v>
      </c>
      <c r="O5" s="176"/>
    </row>
    <row r="6" spans="2:15" ht="9.9499999999999993" customHeight="1" x14ac:dyDescent="0.25">
      <c r="B6" s="161"/>
      <c r="C6" s="67"/>
      <c r="D6" s="67"/>
      <c r="E6" s="67"/>
      <c r="F6" s="67"/>
      <c r="G6" s="67"/>
      <c r="H6" s="59"/>
      <c r="I6" s="73"/>
      <c r="J6" s="67"/>
      <c r="K6" s="67"/>
      <c r="L6" s="67"/>
      <c r="M6" s="67"/>
      <c r="N6" s="59"/>
      <c r="O6" s="165"/>
    </row>
    <row r="7" spans="2:15" ht="20.100000000000001" customHeight="1" x14ac:dyDescent="0.25">
      <c r="B7" s="161"/>
      <c r="C7" s="67"/>
      <c r="D7" s="67"/>
      <c r="E7" s="205" t="str">
        <f>"Ad spend (" &amp; currency &amp; ")"</f>
        <v>Ad spend ($)</v>
      </c>
      <c r="F7" s="74">
        <v>550</v>
      </c>
      <c r="G7" s="67"/>
      <c r="H7" s="60" t="str">
        <f>IF(OR(ISNUMBER(F7), ISNUMBER(F8),ISNUMBER(F9),ISNUMBER(F10)),"","Input at least one type of costs.")</f>
        <v/>
      </c>
      <c r="I7" s="73"/>
      <c r="J7" s="67"/>
      <c r="K7" s="205" t="str">
        <f>"Cost per 1000 impressions (CPM) (" &amp; currency &amp; ")"</f>
        <v>Cost per 1000 impressions (CPM) ($)</v>
      </c>
      <c r="L7" s="76">
        <f>IFERROR(SUM(TemplateCost)*1000/F12,"")</f>
        <v>21</v>
      </c>
      <c r="M7" s="67"/>
      <c r="N7" s="59"/>
      <c r="O7" s="165"/>
    </row>
    <row r="8" spans="2:15" ht="20.100000000000001" customHeight="1" x14ac:dyDescent="0.25">
      <c r="B8" s="161"/>
      <c r="C8" s="67"/>
      <c r="D8" s="67"/>
      <c r="E8" s="205" t="str">
        <f>"Ad creation cost (" &amp; currency &amp; ")"</f>
        <v>Ad creation cost ($)</v>
      </c>
      <c r="F8" s="74"/>
      <c r="G8" s="67"/>
      <c r="H8" s="60"/>
      <c r="I8" s="73"/>
      <c r="J8" s="67"/>
      <c r="K8" s="75" t="s">
        <v>16</v>
      </c>
      <c r="L8" s="77">
        <f>IFERROR(IF(ISNUMBER(F15),F15,F16*F12),"")</f>
        <v>3600</v>
      </c>
      <c r="M8" s="67"/>
      <c r="N8" s="59"/>
      <c r="O8" s="165"/>
    </row>
    <row r="9" spans="2:15" ht="20.100000000000001" customHeight="1" x14ac:dyDescent="0.25">
      <c r="B9" s="161"/>
      <c r="C9" s="67"/>
      <c r="D9" s="67"/>
      <c r="E9" s="205" t="str">
        <f>"Content cration cost (" &amp; currency &amp; ")"</f>
        <v>Content cration cost ($)</v>
      </c>
      <c r="F9" s="74"/>
      <c r="G9" s="67"/>
      <c r="H9" s="60"/>
      <c r="I9" s="73"/>
      <c r="J9" s="67"/>
      <c r="K9" s="75" t="s">
        <v>36</v>
      </c>
      <c r="L9" s="78">
        <f>IFERROR(IF(ISNUMBER(F16),F16,F15/F12),"")</f>
        <v>0.12</v>
      </c>
      <c r="M9" s="67"/>
      <c r="N9" s="59"/>
      <c r="O9" s="165"/>
    </row>
    <row r="10" spans="2:15" ht="20.100000000000001" customHeight="1" x14ac:dyDescent="0.25">
      <c r="B10" s="161"/>
      <c r="C10" s="67"/>
      <c r="D10" s="67"/>
      <c r="E10" s="205" t="str">
        <f>"Other costs (" &amp; currency &amp; ")"</f>
        <v>Other costs ($)</v>
      </c>
      <c r="F10" s="74">
        <v>80</v>
      </c>
      <c r="G10" s="67"/>
      <c r="H10" s="60"/>
      <c r="I10" s="73"/>
      <c r="J10" s="67"/>
      <c r="K10" s="205" t="str">
        <f>"Cost per click (CPC) (" &amp; currency &amp; ")"</f>
        <v>Cost per click (CPC) ($)</v>
      </c>
      <c r="L10" s="76">
        <f>IFERROR(SUM(TemplateCost)/L8,"")</f>
        <v>0.17499999999999999</v>
      </c>
      <c r="M10" s="67"/>
      <c r="N10" s="59"/>
      <c r="O10" s="165"/>
    </row>
    <row r="11" spans="2:15" ht="20.100000000000001" customHeight="1" x14ac:dyDescent="0.25">
      <c r="B11" s="161"/>
      <c r="C11" s="67"/>
      <c r="D11" s="210"/>
      <c r="E11" s="208"/>
      <c r="F11" s="211"/>
      <c r="G11" s="67"/>
      <c r="H11" s="60"/>
      <c r="I11" s="73"/>
      <c r="J11" s="67"/>
      <c r="K11" s="207"/>
      <c r="L11" s="76"/>
      <c r="M11" s="67"/>
      <c r="N11" s="59"/>
      <c r="O11" s="165"/>
    </row>
    <row r="12" spans="2:15" ht="20.100000000000001" customHeight="1" x14ac:dyDescent="0.25">
      <c r="B12" s="161"/>
      <c r="C12" s="67"/>
      <c r="D12" s="67"/>
      <c r="E12" s="75" t="s">
        <v>23</v>
      </c>
      <c r="F12" s="79">
        <v>30000</v>
      </c>
      <c r="G12" s="67"/>
      <c r="H12" s="60"/>
      <c r="I12" s="73"/>
      <c r="J12" s="67"/>
      <c r="K12" s="75" t="s">
        <v>110</v>
      </c>
      <c r="L12" s="77">
        <f>IFERROR(IF(ISNUMBER(F18),F18,F19*F12),"")</f>
        <v>1240</v>
      </c>
      <c r="M12" s="67"/>
      <c r="N12" s="59"/>
      <c r="O12" s="165"/>
    </row>
    <row r="13" spans="2:15" ht="20.100000000000001" customHeight="1" x14ac:dyDescent="0.25">
      <c r="B13" s="161"/>
      <c r="C13" s="67"/>
      <c r="D13" s="67"/>
      <c r="E13" s="75" t="s">
        <v>41</v>
      </c>
      <c r="F13" s="79">
        <v>13000</v>
      </c>
      <c r="G13" s="67"/>
      <c r="H13" s="60"/>
      <c r="I13" s="73"/>
      <c r="J13" s="67"/>
      <c r="K13" s="75" t="s">
        <v>29</v>
      </c>
      <c r="L13" s="78">
        <f>IFERROR(IF(ISNUMBER(F19),F19,F18/F12),"")</f>
        <v>4.1333333333333333E-2</v>
      </c>
      <c r="M13" s="67"/>
      <c r="N13" s="59"/>
      <c r="O13" s="165"/>
    </row>
    <row r="14" spans="2:15" ht="20.100000000000001" customHeight="1" x14ac:dyDescent="0.25">
      <c r="B14" s="161"/>
      <c r="C14" s="67"/>
      <c r="D14" s="210"/>
      <c r="E14" s="208"/>
      <c r="F14" s="211"/>
      <c r="G14" s="67"/>
      <c r="H14" s="60"/>
      <c r="I14" s="73"/>
      <c r="J14" s="67"/>
      <c r="K14" s="205" t="str">
        <f>"CPE (Cost per Engagement) (" &amp; currency &amp; ")"</f>
        <v>CPE (Cost per Engagement) ($)</v>
      </c>
      <c r="L14" s="76">
        <f>IFERROR(SUM(TemplateCost)/L12,"")</f>
        <v>0.50806451612903225</v>
      </c>
      <c r="M14" s="67"/>
      <c r="N14" s="59"/>
      <c r="O14" s="165"/>
    </row>
    <row r="15" spans="2:15" ht="20.100000000000001" customHeight="1" x14ac:dyDescent="0.25">
      <c r="B15" s="161"/>
      <c r="C15" s="67"/>
      <c r="D15" s="67"/>
      <c r="E15" s="75" t="s">
        <v>16</v>
      </c>
      <c r="F15" s="79"/>
      <c r="G15" s="67"/>
      <c r="H15" s="60" t="str">
        <f>IF(OR(AND(ISNUMBER(F15),ISNUMBER(F16)=FALSE),AND(ISNUMBER(F15)=FALSE,ISNUMBER(F16))),"","← Fill out only one: Clicks (#) or CTR (%).")</f>
        <v/>
      </c>
      <c r="I15" s="73"/>
      <c r="J15" s="67"/>
      <c r="K15" s="75"/>
      <c r="L15" s="76"/>
      <c r="M15" s="67"/>
      <c r="N15" s="59"/>
      <c r="O15" s="165"/>
    </row>
    <row r="16" spans="2:15" ht="20.100000000000001" customHeight="1" x14ac:dyDescent="0.25">
      <c r="B16" s="161"/>
      <c r="C16" s="67"/>
      <c r="D16" s="67"/>
      <c r="E16" s="75" t="s">
        <v>36</v>
      </c>
      <c r="F16" s="80">
        <v>0.12</v>
      </c>
      <c r="G16" s="67"/>
      <c r="H16" s="60" t="str">
        <f>IF(OR(AND(ISNUMBER(F15),ISNUMBER(F16)=FALSE),AND(ISNUMBER(F15)=FALSE,ISNUMBER(F16))),"","← Fill out only one: Clicks (#) or CTR (%).")</f>
        <v/>
      </c>
      <c r="I16" s="73"/>
      <c r="J16" s="67"/>
      <c r="K16" s="75" t="s">
        <v>79</v>
      </c>
      <c r="L16" s="77">
        <f>IFERROR(IF(ISNUMBER(F22),F22,F23*F21/(1+L17)),"")</f>
        <v>87</v>
      </c>
      <c r="M16" s="67"/>
      <c r="N16" s="59"/>
      <c r="O16" s="165"/>
    </row>
    <row r="17" spans="2:15" ht="20.100000000000001" customHeight="1" x14ac:dyDescent="0.25">
      <c r="B17" s="161"/>
      <c r="C17" s="67"/>
      <c r="D17" s="210"/>
      <c r="E17" s="208"/>
      <c r="F17" s="211"/>
      <c r="G17" s="67"/>
      <c r="H17" s="60"/>
      <c r="I17" s="73"/>
      <c r="J17" s="67"/>
      <c r="K17" s="75" t="s">
        <v>122</v>
      </c>
      <c r="L17" s="78">
        <f>IFERROR(IF(ISNUMBER(F23),F23,F22/(F21-F22)),"")</f>
        <v>4.5478306325143755E-2</v>
      </c>
      <c r="M17" s="67"/>
      <c r="N17" s="59"/>
      <c r="O17" s="165"/>
    </row>
    <row r="18" spans="2:15" ht="20.100000000000001" customHeight="1" x14ac:dyDescent="0.25">
      <c r="B18" s="161"/>
      <c r="C18" s="67"/>
      <c r="D18" s="67"/>
      <c r="E18" s="75" t="s">
        <v>110</v>
      </c>
      <c r="F18" s="79">
        <v>1240</v>
      </c>
      <c r="G18" s="67"/>
      <c r="H18" s="60" t="str">
        <f>IF(OR(AND(ISNUMBER(F18),ISNUMBER(F19)=FALSE),AND(ISNUMBER(F18)=FALSE,ISNUMBER(F19))),"","← Fill out only one: Engagements (#) or ER (%).")</f>
        <v/>
      </c>
      <c r="I18" s="73"/>
      <c r="J18" s="67"/>
      <c r="K18" s="75" t="s">
        <v>118</v>
      </c>
      <c r="L18" s="76">
        <f>IFERROR(SUM(TemplateCost)/L16,"")</f>
        <v>7.2413793103448274</v>
      </c>
      <c r="M18" s="67"/>
      <c r="N18" s="59"/>
      <c r="O18" s="165"/>
    </row>
    <row r="19" spans="2:15" ht="20.100000000000001" customHeight="1" x14ac:dyDescent="0.25">
      <c r="B19" s="161"/>
      <c r="C19" s="67"/>
      <c r="D19" s="67"/>
      <c r="E19" s="75" t="s">
        <v>105</v>
      </c>
      <c r="F19" s="80"/>
      <c r="G19" s="67"/>
      <c r="H19" s="60" t="str">
        <f>IF(OR(AND(ISNUMBER(F18),ISNUMBER(F19)=FALSE),AND(ISNUMBER(F18)=FALSE,ISNUMBER(F19))),"","← Fill out only one: Engagements (#) or ER (%).")</f>
        <v/>
      </c>
      <c r="I19" s="73"/>
      <c r="J19" s="67"/>
      <c r="K19" s="207"/>
      <c r="L19" s="76"/>
      <c r="M19" s="67"/>
      <c r="N19" s="59"/>
      <c r="O19" s="165"/>
    </row>
    <row r="20" spans="2:15" ht="20.100000000000001" customHeight="1" x14ac:dyDescent="0.25">
      <c r="B20" s="161"/>
      <c r="C20" s="67"/>
      <c r="D20" s="210"/>
      <c r="E20" s="208"/>
      <c r="F20" s="211"/>
      <c r="G20" s="67"/>
      <c r="H20" s="60"/>
      <c r="I20" s="73"/>
      <c r="J20" s="67"/>
      <c r="K20" s="75" t="s">
        <v>59</v>
      </c>
      <c r="L20" s="77">
        <f>IFERROR(IF(ISNUMBER(F25),F25,F26*L8),"")</f>
        <v>60</v>
      </c>
      <c r="M20" s="67"/>
      <c r="N20" s="59"/>
      <c r="O20" s="165"/>
    </row>
    <row r="21" spans="2:15" ht="20.100000000000001" customHeight="1" x14ac:dyDescent="0.25">
      <c r="B21" s="161"/>
      <c r="C21" s="67"/>
      <c r="D21" s="67"/>
      <c r="E21" s="75" t="s">
        <v>119</v>
      </c>
      <c r="F21" s="79">
        <v>2000</v>
      </c>
      <c r="G21" s="67"/>
      <c r="H21" s="60"/>
      <c r="I21" s="73"/>
      <c r="J21" s="67"/>
      <c r="K21" s="75" t="s">
        <v>11</v>
      </c>
      <c r="L21" s="78">
        <f>IFERROR(IF(ISNUMBER(F26),F26,F25/L8),"")</f>
        <v>1.6666666666666666E-2</v>
      </c>
      <c r="M21" s="67"/>
      <c r="N21" s="59"/>
      <c r="O21" s="165"/>
    </row>
    <row r="22" spans="2:15" ht="20.100000000000001" customHeight="1" x14ac:dyDescent="0.25">
      <c r="B22" s="161"/>
      <c r="C22" s="67"/>
      <c r="D22" s="67"/>
      <c r="E22" s="75" t="s">
        <v>79</v>
      </c>
      <c r="F22" s="79">
        <v>87</v>
      </c>
      <c r="G22" s="67"/>
      <c r="H22" s="60" t="str">
        <f>IF(OR(AND(ISNUMBER(F22),ISNUMBER(F23)=FALSE),AND(ISNUMBER(F22)=FALSE,ISNUMBER(F23))),"","← Fill out only one: New subscribers (#) or SR (%).")</f>
        <v/>
      </c>
      <c r="I22" s="73"/>
      <c r="J22" s="67"/>
      <c r="K22" s="205" t="str">
        <f>"Cost per conversion (CPA) (" &amp; currency &amp; ")"</f>
        <v>Cost per conversion (CPA) ($)</v>
      </c>
      <c r="L22" s="76">
        <f>IFERROR(SUM(TemplateCost)/L20,"")</f>
        <v>10.5</v>
      </c>
      <c r="M22" s="67"/>
      <c r="N22" s="59"/>
      <c r="O22" s="165"/>
    </row>
    <row r="23" spans="2:15" ht="20.100000000000001" customHeight="1" x14ac:dyDescent="0.25">
      <c r="B23" s="161"/>
      <c r="C23" s="67"/>
      <c r="D23" s="67"/>
      <c r="E23" s="75" t="s">
        <v>122</v>
      </c>
      <c r="F23" s="80"/>
      <c r="G23" s="67"/>
      <c r="H23" s="60" t="str">
        <f>IF(OR(AND(ISNUMBER(F22),ISNUMBER(F23)=FALSE),AND(ISNUMBER(F22)=FALSE,ISNUMBER(F23))),"","← Fill out only one: New subscribers (#) or SR (%).")</f>
        <v/>
      </c>
      <c r="I23" s="73"/>
      <c r="J23" s="67"/>
      <c r="K23" s="75"/>
      <c r="L23" s="76"/>
      <c r="M23" s="67"/>
      <c r="N23" s="59"/>
      <c r="O23" s="165"/>
    </row>
    <row r="24" spans="2:15" ht="20.100000000000001" customHeight="1" x14ac:dyDescent="0.25">
      <c r="B24" s="161"/>
      <c r="C24" s="67"/>
      <c r="D24" s="210"/>
      <c r="E24" s="208"/>
      <c r="F24" s="211"/>
      <c r="G24" s="67"/>
      <c r="H24" s="60"/>
      <c r="I24" s="73"/>
      <c r="J24" s="67"/>
      <c r="K24" s="75" t="s">
        <v>101</v>
      </c>
      <c r="L24" s="77">
        <f>IFERROR(IF(ISNUMBER(F28),F28,IF(ISNUMBER(F29),F29*L8,"")),"")</f>
        <v>72</v>
      </c>
      <c r="M24" s="67"/>
      <c r="N24" s="67"/>
      <c r="O24" s="177"/>
    </row>
    <row r="25" spans="2:15" ht="20.100000000000001" customHeight="1" x14ac:dyDescent="0.25">
      <c r="B25" s="161"/>
      <c r="C25" s="67"/>
      <c r="D25" s="81"/>
      <c r="E25" s="75" t="s">
        <v>59</v>
      </c>
      <c r="F25" s="79">
        <v>60</v>
      </c>
      <c r="G25" s="67"/>
      <c r="H25" s="60" t="str">
        <f>IF(OR(AND(ISNUMBER(F25),ISNUMBER(F26)=FALSE),AND(ISNUMBER(F25)=FALSE,ISNUMBER(F26))),"","← Fill out only one: Conversions (#) or CR (%).")</f>
        <v/>
      </c>
      <c r="I25" s="73"/>
      <c r="J25" s="67"/>
      <c r="K25" s="75" t="s">
        <v>99</v>
      </c>
      <c r="L25" s="78">
        <f>IFERROR(IF(ISNUMBER(F29),F29, IF(ISNUMBER(F28), F28/L8,"")),"")</f>
        <v>0.02</v>
      </c>
      <c r="M25" s="67"/>
      <c r="N25" s="67"/>
      <c r="O25" s="177"/>
    </row>
    <row r="26" spans="2:15" ht="20.100000000000001" customHeight="1" x14ac:dyDescent="0.25">
      <c r="B26" s="161"/>
      <c r="C26" s="67"/>
      <c r="D26" s="81"/>
      <c r="E26" s="75" t="s">
        <v>11</v>
      </c>
      <c r="F26" s="80"/>
      <c r="G26" s="67"/>
      <c r="H26" s="60" t="str">
        <f>IF(OR(AND(ISNUMBER(F25),ISNUMBER(F26)=FALSE),AND(ISNUMBER(F25)=FALSE,ISNUMBER(F26))),"","← Fill out only one: Conversion (#) or CR (%).")</f>
        <v/>
      </c>
      <c r="I26" s="73"/>
      <c r="J26" s="67"/>
      <c r="K26" s="205" t="str">
        <f>"Cost per sale (" &amp; currency &amp; ")"</f>
        <v>Cost per sale ($)</v>
      </c>
      <c r="L26" s="76">
        <f>IFERROR(SUM(TemplateCost)/L24,"")</f>
        <v>8.75</v>
      </c>
      <c r="M26" s="67"/>
      <c r="N26" s="67"/>
      <c r="O26" s="177"/>
    </row>
    <row r="27" spans="2:15" ht="20.100000000000001" customHeight="1" x14ac:dyDescent="0.25">
      <c r="B27" s="161"/>
      <c r="C27" s="67"/>
      <c r="D27" s="210"/>
      <c r="E27" s="208"/>
      <c r="F27" s="211"/>
      <c r="G27" s="67"/>
      <c r="H27" s="60"/>
      <c r="I27" s="73"/>
      <c r="J27" s="67"/>
      <c r="K27" s="205" t="str">
        <f>"Projected Sales (" &amp; currency &amp; ")"</f>
        <v>Projected Sales ($)</v>
      </c>
      <c r="L27" s="76">
        <f>IFERROR(L24*F31,"")</f>
        <v>2304</v>
      </c>
      <c r="M27" s="67"/>
      <c r="N27" s="67"/>
      <c r="O27" s="177"/>
    </row>
    <row r="28" spans="2:15" ht="20.100000000000001" customHeight="1" x14ac:dyDescent="0.25">
      <c r="B28" s="161"/>
      <c r="C28" s="67"/>
      <c r="D28" s="81"/>
      <c r="E28" s="75" t="s">
        <v>101</v>
      </c>
      <c r="F28" s="79"/>
      <c r="G28" s="67"/>
      <c r="H28" s="60" t="str">
        <f>IF(OR(AND(ISNUMBER(F28),ISNUMBER(F29)=FALSE),AND(ISNUMBER(F28)=FALSE,ISNUMBER(F29))),"","← Fill out only one: Sales (#) or Sales Rate.")</f>
        <v/>
      </c>
      <c r="I28" s="73"/>
      <c r="J28" s="67"/>
      <c r="K28" s="205" t="str">
        <f>"Total LTV of gained customers  (" &amp; currency &amp; ")"</f>
        <v>Total LTV of gained customers  ($)</v>
      </c>
      <c r="L28" s="76">
        <f>IFERROR(L24*F32,"")</f>
        <v>21600</v>
      </c>
      <c r="M28" s="67"/>
      <c r="N28" s="60" t="str">
        <f>IF(ISNUMBER(L28),"Not included in ROI results.","")</f>
        <v>Not included in ROI results.</v>
      </c>
      <c r="O28" s="177"/>
    </row>
    <row r="29" spans="2:15" ht="20.100000000000001" customHeight="1" x14ac:dyDescent="0.25">
      <c r="B29" s="161"/>
      <c r="C29" s="67"/>
      <c r="D29" s="81"/>
      <c r="E29" s="75" t="s">
        <v>81</v>
      </c>
      <c r="F29" s="80">
        <v>0.02</v>
      </c>
      <c r="G29" s="67"/>
      <c r="H29" s="60" t="str">
        <f>IF(OR(AND(ISNUMBER(F28),ISNUMBER(F29)=FALSE),AND(ISNUMBER(F28)=FALSE,ISNUMBER(F29))),"","← Fill out only one: Sales (#) or Sales Rate.")</f>
        <v/>
      </c>
      <c r="I29" s="73"/>
      <c r="J29" s="67"/>
      <c r="K29" s="75"/>
      <c r="L29" s="76"/>
      <c r="M29" s="67"/>
      <c r="N29" s="67"/>
      <c r="O29" s="177"/>
    </row>
    <row r="30" spans="2:15" ht="20.100000000000001" customHeight="1" x14ac:dyDescent="0.25">
      <c r="B30" s="161"/>
      <c r="C30" s="67"/>
      <c r="D30" s="210"/>
      <c r="E30" s="208"/>
      <c r="F30" s="211"/>
      <c r="G30" s="67"/>
      <c r="H30" s="60"/>
      <c r="I30" s="73"/>
      <c r="J30" s="67"/>
      <c r="K30" s="75" t="s">
        <v>22</v>
      </c>
      <c r="L30" s="78">
        <f>IFERROR((L27-SUM(TemplateCost))/SUM(TemplateCost),"")</f>
        <v>2.657142857142857</v>
      </c>
      <c r="M30" s="67"/>
      <c r="N30" s="67"/>
      <c r="O30" s="177"/>
    </row>
    <row r="31" spans="2:15" ht="20.100000000000001" customHeight="1" x14ac:dyDescent="0.25">
      <c r="B31" s="161"/>
      <c r="C31" s="67"/>
      <c r="D31" s="81"/>
      <c r="E31" s="205" t="str">
        <f>"Average Order Value (" &amp; currency &amp; ")"</f>
        <v>Average Order Value ($)</v>
      </c>
      <c r="F31" s="74">
        <v>32</v>
      </c>
      <c r="G31" s="67"/>
      <c r="H31" s="60" t="str">
        <f>IF(ISNUMBER(F31),"","← Don't leave it empty.")</f>
        <v/>
      </c>
      <c r="I31" s="73"/>
      <c r="J31" s="67"/>
      <c r="K31" s="75" t="s">
        <v>21</v>
      </c>
      <c r="L31" s="76">
        <f>IFERROR((L27)/SUM(TemplateCost),"")</f>
        <v>3.657142857142857</v>
      </c>
      <c r="M31" s="67"/>
      <c r="N31" s="60" t="str">
        <f>IF(LEN(L31)&gt;0,IF((L27)/SUM(TemplateCost)&gt;1,"Per each 1" &amp; currency &amp; " spend, you earn " &amp; ROUND((L27)/SUM(TemplateCost),2) &amp; currency,"Your results are below investment."),"")</f>
        <v>Per each 1$ spend, you earn 3,66$</v>
      </c>
      <c r="O31" s="177"/>
    </row>
    <row r="32" spans="2:15" ht="20.100000000000001" customHeight="1" x14ac:dyDescent="0.25">
      <c r="B32" s="161"/>
      <c r="C32" s="67"/>
      <c r="D32" s="81"/>
      <c r="E32" s="205" t="str">
        <f>"Average Lifetime value (LTV) (" &amp; currency &amp; ")"</f>
        <v>Average Lifetime value (LTV) ($)</v>
      </c>
      <c r="F32" s="74">
        <v>300</v>
      </c>
      <c r="G32" s="67"/>
      <c r="H32" s="68"/>
      <c r="I32" s="73"/>
      <c r="J32" s="67"/>
      <c r="K32" s="205" t="str">
        <f>"Break even sale value (" &amp; currency &amp; ")"</f>
        <v>Break even sale value ($)</v>
      </c>
      <c r="L32" s="76">
        <f>IFERROR(SUM(TemplateCost)/L24,"")</f>
        <v>8.75</v>
      </c>
      <c r="M32" s="67"/>
      <c r="N32" s="60" t="str">
        <f>IF(ISNUMBER(L32),"Minimum sale value for positive ROI","")</f>
        <v>Minimum sale value for positive ROI</v>
      </c>
      <c r="O32" s="177"/>
    </row>
    <row r="33" spans="2:15" ht="20.100000000000001" customHeight="1" x14ac:dyDescent="0.25">
      <c r="B33" s="161"/>
      <c r="C33" s="67"/>
      <c r="D33" s="210"/>
      <c r="E33" s="208"/>
      <c r="F33" s="211"/>
      <c r="G33" s="67"/>
      <c r="H33" s="68"/>
      <c r="I33" s="73"/>
      <c r="J33" s="67"/>
      <c r="K33" s="75" t="s">
        <v>9</v>
      </c>
      <c r="L33" s="77">
        <f>IFERROR(SUM(TemplateCost)/F31,"")</f>
        <v>19.6875</v>
      </c>
      <c r="M33" s="67"/>
      <c r="N33" s="60" t="str">
        <f>IF(ISNUMBER(L33),"Minimum buyers # for positive ROI","")</f>
        <v>Minimum buyers # for positive ROI</v>
      </c>
      <c r="O33" s="177"/>
    </row>
    <row r="34" spans="2:15" ht="20.100000000000001" customHeight="1" x14ac:dyDescent="0.25">
      <c r="B34" s="161"/>
      <c r="C34" s="67"/>
      <c r="D34" s="81"/>
      <c r="E34" s="206" t="s">
        <v>148</v>
      </c>
      <c r="F34" s="64"/>
      <c r="G34" s="81"/>
      <c r="H34" s="68"/>
      <c r="I34" s="103"/>
      <c r="J34" s="67"/>
      <c r="K34" s="75"/>
      <c r="L34" s="86"/>
      <c r="M34" s="67"/>
      <c r="N34" s="59"/>
      <c r="O34" s="177"/>
    </row>
    <row r="35" spans="2:15" ht="20.100000000000001" customHeight="1" x14ac:dyDescent="0.25">
      <c r="B35" s="161"/>
      <c r="C35" s="67"/>
      <c r="D35" s="81"/>
      <c r="E35" s="206" t="s">
        <v>148</v>
      </c>
      <c r="F35" s="64"/>
      <c r="G35" s="81"/>
      <c r="H35" s="68"/>
      <c r="I35" s="103"/>
      <c r="J35" s="81"/>
      <c r="K35" s="206" t="s">
        <v>147</v>
      </c>
      <c r="L35" s="74"/>
      <c r="M35" s="81"/>
      <c r="N35" s="68"/>
      <c r="O35" s="177"/>
    </row>
    <row r="36" spans="2:15" ht="20.100000000000001" customHeight="1" x14ac:dyDescent="0.25">
      <c r="B36" s="161"/>
      <c r="C36" s="67"/>
      <c r="D36" s="81"/>
      <c r="E36" s="206" t="s">
        <v>148</v>
      </c>
      <c r="F36" s="64"/>
      <c r="G36" s="81"/>
      <c r="H36" s="68"/>
      <c r="I36" s="103"/>
      <c r="J36" s="81"/>
      <c r="K36" s="206" t="s">
        <v>147</v>
      </c>
      <c r="L36" s="74"/>
      <c r="M36" s="81"/>
      <c r="N36" s="68"/>
      <c r="O36" s="177"/>
    </row>
    <row r="37" spans="2:15" ht="20.100000000000001" customHeight="1" x14ac:dyDescent="0.25">
      <c r="B37" s="161"/>
      <c r="C37" s="67"/>
      <c r="D37" s="81"/>
      <c r="E37" s="206" t="s">
        <v>148</v>
      </c>
      <c r="F37" s="64"/>
      <c r="G37" s="81"/>
      <c r="H37" s="68"/>
      <c r="I37" s="103"/>
      <c r="J37" s="81"/>
      <c r="K37" s="206" t="s">
        <v>147</v>
      </c>
      <c r="L37" s="74"/>
      <c r="M37" s="81"/>
      <c r="N37" s="68"/>
      <c r="O37" s="177"/>
    </row>
    <row r="38" spans="2:15" ht="20.100000000000001" customHeight="1" x14ac:dyDescent="0.25">
      <c r="B38" s="161"/>
      <c r="C38" s="67"/>
      <c r="D38" s="81"/>
      <c r="E38" s="206" t="s">
        <v>148</v>
      </c>
      <c r="F38" s="64"/>
      <c r="G38" s="81"/>
      <c r="H38" s="68"/>
      <c r="I38" s="103"/>
      <c r="J38" s="81"/>
      <c r="K38" s="206" t="s">
        <v>147</v>
      </c>
      <c r="L38" s="74"/>
      <c r="M38" s="81"/>
      <c r="N38" s="68"/>
      <c r="O38" s="177"/>
    </row>
    <row r="39" spans="2:15" ht="20.100000000000001" customHeight="1" x14ac:dyDescent="0.25">
      <c r="B39" s="161"/>
      <c r="C39" s="67"/>
      <c r="D39" s="81"/>
      <c r="E39" s="206" t="s">
        <v>148</v>
      </c>
      <c r="F39" s="64"/>
      <c r="G39" s="81"/>
      <c r="H39" s="68"/>
      <c r="I39" s="103"/>
      <c r="J39" s="81"/>
      <c r="K39" s="206" t="s">
        <v>147</v>
      </c>
      <c r="L39" s="74"/>
      <c r="M39" s="81"/>
      <c r="N39" s="68"/>
      <c r="O39" s="177"/>
    </row>
    <row r="40" spans="2:15" ht="20.100000000000001" customHeight="1" x14ac:dyDescent="0.25">
      <c r="B40" s="161"/>
      <c r="C40" s="67"/>
      <c r="D40" s="81"/>
      <c r="E40" s="206" t="s">
        <v>148</v>
      </c>
      <c r="F40" s="64"/>
      <c r="G40" s="81"/>
      <c r="H40" s="68"/>
      <c r="I40" s="103"/>
      <c r="J40" s="81"/>
      <c r="K40" s="206" t="s">
        <v>147</v>
      </c>
      <c r="L40" s="74"/>
      <c r="M40" s="81"/>
      <c r="N40" s="68"/>
      <c r="O40" s="177"/>
    </row>
    <row r="41" spans="2:15" ht="20.100000000000001" customHeight="1" x14ac:dyDescent="0.25">
      <c r="B41" s="161"/>
      <c r="C41" s="67"/>
      <c r="D41" s="81"/>
      <c r="E41" s="206" t="s">
        <v>148</v>
      </c>
      <c r="F41" s="64"/>
      <c r="G41" s="81"/>
      <c r="H41" s="68"/>
      <c r="I41" s="103"/>
      <c r="J41" s="81"/>
      <c r="K41" s="206" t="s">
        <v>147</v>
      </c>
      <c r="L41" s="74"/>
      <c r="M41" s="81"/>
      <c r="N41" s="68"/>
      <c r="O41" s="177"/>
    </row>
    <row r="42" spans="2:15" ht="20.100000000000001" customHeight="1" x14ac:dyDescent="0.25">
      <c r="B42" s="161"/>
      <c r="C42" s="67"/>
      <c r="D42" s="81"/>
      <c r="E42" s="206" t="s">
        <v>148</v>
      </c>
      <c r="F42" s="64"/>
      <c r="G42" s="81"/>
      <c r="H42" s="68"/>
      <c r="I42" s="103"/>
      <c r="J42" s="81"/>
      <c r="K42" s="206" t="s">
        <v>147</v>
      </c>
      <c r="L42" s="74"/>
      <c r="M42" s="81"/>
      <c r="N42" s="68"/>
      <c r="O42" s="177"/>
    </row>
    <row r="43" spans="2:15" ht="20.100000000000001" customHeight="1" x14ac:dyDescent="0.25">
      <c r="B43" s="161"/>
      <c r="C43" s="67"/>
      <c r="D43" s="81"/>
      <c r="E43" s="206" t="s">
        <v>148</v>
      </c>
      <c r="F43" s="64"/>
      <c r="G43" s="81"/>
      <c r="H43" s="68"/>
      <c r="I43" s="103"/>
      <c r="J43" s="81"/>
      <c r="K43" s="206" t="s">
        <v>147</v>
      </c>
      <c r="L43" s="74"/>
      <c r="M43" s="81"/>
      <c r="N43" s="68"/>
      <c r="O43" s="177"/>
    </row>
    <row r="44" spans="2:15" ht="20.100000000000001" customHeight="1" x14ac:dyDescent="0.25">
      <c r="B44" s="161"/>
      <c r="C44" s="67"/>
      <c r="D44" s="81"/>
      <c r="E44" s="206" t="s">
        <v>148</v>
      </c>
      <c r="F44" s="64"/>
      <c r="G44" s="81"/>
      <c r="H44" s="68"/>
      <c r="I44" s="103"/>
      <c r="J44" s="81"/>
      <c r="K44" s="206" t="s">
        <v>147</v>
      </c>
      <c r="L44" s="74"/>
      <c r="M44" s="81"/>
      <c r="N44" s="68"/>
      <c r="O44" s="177"/>
    </row>
    <row r="45" spans="2:15" ht="20.100000000000001" customHeight="1" x14ac:dyDescent="0.25">
      <c r="B45" s="161"/>
      <c r="C45" s="67"/>
      <c r="D45" s="81"/>
      <c r="E45" s="206" t="s">
        <v>148</v>
      </c>
      <c r="F45" s="64"/>
      <c r="G45" s="81"/>
      <c r="H45" s="68"/>
      <c r="I45" s="103"/>
      <c r="J45" s="81"/>
      <c r="K45" s="206" t="s">
        <v>147</v>
      </c>
      <c r="L45" s="74"/>
      <c r="M45" s="81"/>
      <c r="N45" s="68"/>
      <c r="O45" s="177"/>
    </row>
    <row r="46" spans="2:15" ht="20.100000000000001" customHeight="1" x14ac:dyDescent="0.25">
      <c r="B46" s="161"/>
      <c r="C46" s="67"/>
      <c r="D46" s="81"/>
      <c r="E46" s="206" t="s">
        <v>148</v>
      </c>
      <c r="F46" s="64"/>
      <c r="G46" s="81"/>
      <c r="H46" s="68"/>
      <c r="I46" s="103"/>
      <c r="J46" s="81"/>
      <c r="K46" s="206" t="s">
        <v>147</v>
      </c>
      <c r="L46" s="74"/>
      <c r="M46" s="81"/>
      <c r="N46" s="68"/>
      <c r="O46" s="177"/>
    </row>
    <row r="47" spans="2:15" ht="9.9499999999999993" customHeight="1" x14ac:dyDescent="0.25">
      <c r="B47" s="162"/>
      <c r="C47" s="178"/>
      <c r="D47" s="178"/>
      <c r="E47" s="178"/>
      <c r="F47" s="178"/>
      <c r="G47" s="178"/>
      <c r="H47" s="179"/>
      <c r="I47" s="180"/>
      <c r="J47" s="178"/>
      <c r="K47" s="178"/>
      <c r="L47" s="178"/>
      <c r="M47" s="178"/>
      <c r="N47" s="179"/>
      <c r="O47" s="181"/>
    </row>
    <row r="48" spans="2:15" ht="6.95" customHeight="1" x14ac:dyDescent="0.25">
      <c r="B48" s="23"/>
      <c r="C48" s="23"/>
      <c r="D48" s="23"/>
      <c r="E48" s="23"/>
      <c r="F48" s="23"/>
      <c r="G48" s="23"/>
      <c r="H48" s="19"/>
      <c r="I48" s="23"/>
      <c r="J48" s="23"/>
      <c r="L48" s="23"/>
      <c r="M48" s="23"/>
      <c r="N48" s="24"/>
      <c r="O48" s="23"/>
    </row>
    <row r="49" spans="2:15" ht="23.1" customHeight="1" x14ac:dyDescent="0.25">
      <c r="B49" s="121"/>
      <c r="C49" s="122"/>
      <c r="D49" s="123"/>
      <c r="E49" s="124"/>
      <c r="F49" s="124"/>
      <c r="G49" s="121"/>
      <c r="H49" s="124"/>
      <c r="I49" s="124"/>
      <c r="J49" s="124"/>
      <c r="K49" s="124"/>
      <c r="L49" s="124"/>
      <c r="M49" s="124"/>
      <c r="N49" s="124"/>
      <c r="O49" s="124"/>
    </row>
  </sheetData>
  <sheetProtection algorithmName="SHA-512" hashValue="l0GmBsEzNDUwRYhkyBRrmh/ip60jus7g3Oa+W1oY1/9Xz4mHVj6b0D40p0+S7gvh/jDpE9E3q2M9ghs9v7nmLg==" saltValue="tIVZ5JjK7p2aBL93Vui5bQ==" spinCount="100000" sheet="1" objects="1" scenarios="1"/>
  <conditionalFormatting sqref="E34:E46 K35:K46">
    <cfRule type="expression" dxfId="6" priority="9">
      <formula>OR(E34="Input …",E34="Output …")</formula>
    </cfRule>
  </conditionalFormatting>
  <conditionalFormatting sqref="F7:F46">
    <cfRule type="expression" dxfId="5" priority="6">
      <formula>LEN($E7)&gt;0</formula>
    </cfRule>
  </conditionalFormatting>
  <conditionalFormatting sqref="E7:F46">
    <cfRule type="expression" dxfId="4" priority="5">
      <formula>LEN($E7)&gt;0</formula>
    </cfRule>
  </conditionalFormatting>
  <conditionalFormatting sqref="L7:L46">
    <cfRule type="expression" dxfId="3" priority="4">
      <formula>LEN($K7)&gt;0</formula>
    </cfRule>
  </conditionalFormatting>
  <conditionalFormatting sqref="K7:L46">
    <cfRule type="expression" dxfId="2" priority="3">
      <formula>LEN($K7)&gt;0</formula>
    </cfRule>
  </conditionalFormatting>
  <conditionalFormatting sqref="J7:J46">
    <cfRule type="expression" dxfId="1" priority="2">
      <formula>LEN($K7)&gt;0</formula>
    </cfRule>
  </conditionalFormatting>
  <conditionalFormatting sqref="D7:D46">
    <cfRule type="expression" dxfId="0" priority="1">
      <formula>LEN($E7)&gt;0</formula>
    </cfRule>
  </conditionalFormatting>
  <dataValidations count="28">
    <dataValidation allowBlank="1" showInputMessage="1" showErrorMessage="1" promptTitle="Impressions vs. Reach " prompt="If one person has seen your post three times, this will be counted as 1 reach and 3 impressions." sqref="E12" xr:uid="{178FF301-0A4D-4EA9-AD18-2E256ADD20EF}"/>
    <dataValidation allowBlank="1" showInputMessage="1" showErrorMessage="1" prompt="Reach is the actual number of people who have seen your post." sqref="E13" xr:uid="{48C42E79-8FA5-43AA-92AD-696530B9375F}"/>
    <dataValidation allowBlank="1" showInputMessage="1" showErrorMessage="1" prompt="Revenue per email" sqref="E31" xr:uid="{13CEBDDC-69ED-4FD8-8A3F-16BB3CA32573}"/>
    <dataValidation allowBlank="1" showInputMessage="1" showErrorMessage="1" prompt="High lifetime value of a customer can show you if it's worth to have a higher CPC even if it doesn't seem when compare to average close value." sqref="E32" xr:uid="{F88400F3-7D9A-4153-AC7E-E86B81290B4D}"/>
    <dataValidation allowBlank="1" showInputMessage="1" showErrorMessage="1" promptTitle="ROI - expectations" prompt="&lt;0% - lost investment_x000a_&gt;0% - not loosing_x000a_&gt;350% - good marketing campaign _x000a_" sqref="K30" xr:uid="{9DB690E8-706B-4626-BF15-9F01FDC9F1A2}"/>
    <dataValidation allowBlank="1" showInputMessage="1" showErrorMessage="1" promptTitle="ROAS - expectations" prompt="&lt;100% - bad_x000a_100% - 400% - not so well_x000a_&gt;400% - well invested money" sqref="K31" xr:uid="{0B866E9B-06A8-4642-AEF5-0542B536A2A0}"/>
    <dataValidation allowBlank="1" showInputMessage="1" showErrorMessage="1" promptTitle="ER" prompt="Number of all interactions divided by number of all impressions" sqref="K14" xr:uid="{1745F3C2-E840-4688-955B-31C65481F9EC}"/>
    <dataValidation allowBlank="1" showInputMessage="1" showErrorMessage="1" prompt="Total cost / Buyers" sqref="L26 L32" xr:uid="{DED7D094-9C40-4659-88A5-6EE5BB0EEB25}"/>
    <dataValidation allowBlank="1" showInputMessage="1" showErrorMessage="1" prompt="(1000 * Total Cost ) / Impressions #" sqref="L7" xr:uid="{1CE77ADF-F060-410D-99BD-854999D7063E}"/>
    <dataValidation allowBlank="1" showInputMessage="1" showErrorMessage="1" prompt="Engagements / Impressions" sqref="L13" xr:uid="{8352075A-BD26-427F-AA77-0D00CA8E09CC}"/>
    <dataValidation allowBlank="1" showInputMessage="1" showErrorMessage="1" prompt="Total cost / Engagements #" sqref="L14" xr:uid="{35D054D9-9C9F-44EE-B1D0-80D480C0DFFD}"/>
    <dataValidation allowBlank="1" showInputMessage="1" showErrorMessage="1" prompt="New subscribers / (Total Subscribers - New subscribers)" sqref="L17" xr:uid="{11213F6F-5F05-4337-A97E-CF620081D92A}"/>
    <dataValidation allowBlank="1" showInputMessage="1" showErrorMessage="1" prompt="Total cost / Number of new Subscryptions" sqref="L18" xr:uid="{D5198147-2F7A-4B31-9735-49CB9988A5FC}"/>
    <dataValidation allowBlank="1" showInputMessage="1" showErrorMessage="1" prompt="Total cost / Average Order Value" sqref="L33" xr:uid="{B4A7A674-677D-4F9E-8F5F-4957547CF3A5}"/>
    <dataValidation allowBlank="1" showInputMessage="1" showErrorMessage="1" prompt="Projected Sales / Total cost" sqref="L31" xr:uid="{147866D4-18C2-4F77-9BD6-E105A363A61A}"/>
    <dataValidation allowBlank="1" showInputMessage="1" showErrorMessage="1" prompt="(Projected Sales - Total cost) / Total cost" sqref="L30" xr:uid="{FB3A7609-E632-4F25-943A-CFE7A9156DAB}"/>
    <dataValidation allowBlank="1" showInputMessage="1" showErrorMessage="1" prompt="Fill Sales or Sales Rate. The other will be calculated._x000a_If you leave both empty, conversions will be taken as sales." sqref="E28" xr:uid="{19371E50-C396-4FE4-9FA0-F3EF5629EACA}"/>
    <dataValidation allowBlank="1" showInputMessage="1" showErrorMessage="1" prompt="Fill Conversions or Conversion Rate. The other will be calculated." sqref="E25" xr:uid="{475642A2-C337-4092-A034-FD2071D8AABC}"/>
    <dataValidation allowBlank="1" showInputMessage="1" showErrorMessage="1" prompt="Conversions / Clicks" sqref="L21" xr:uid="{7F741DE8-153F-4711-9016-BAA476AE6543}"/>
    <dataValidation allowBlank="1" showInputMessage="1" showErrorMessage="1" prompt="Conversion rate * Clics" sqref="L20" xr:uid="{08391277-7B6D-4CCF-A776-8D54B5ECA77B}"/>
    <dataValidation allowBlank="1" showInputMessage="1" showErrorMessage="1" prompt="Total cost / Conversions" sqref="L22" xr:uid="{203E485E-39D8-4366-A864-9D14DF147422}"/>
    <dataValidation allowBlank="1" showInputMessage="1" showErrorMessage="1" prompt="Clicks / Impressions" sqref="L9" xr:uid="{7ADB66DE-F2B2-4CC8-9A76-4BA5D34D2CA8}"/>
    <dataValidation allowBlank="1" showInputMessage="1" showErrorMessage="1" prompt="Total cost / Clicks" sqref="L10" xr:uid="{87C803CE-63C9-4A12-8768-12CE47D8A424}"/>
    <dataValidation allowBlank="1" showInputMessage="1" showErrorMessage="1" prompt="Engagement Rate * Impresions" sqref="L12" xr:uid="{A151200D-615F-41EE-91DF-3B8DCD740A82}"/>
    <dataValidation allowBlank="1" showInputMessage="1" showErrorMessage="1" prompt="Sales / Clicks" sqref="L25" xr:uid="{007704CA-3E54-45E0-8756-A49D5CF324E6}"/>
    <dataValidation allowBlank="1" showInputMessage="1" showErrorMessage="1" prompt="Sales rate * Clicks" sqref="L24" xr:uid="{B1A6AA63-E22D-4B39-BBA6-4C5B4AB5D455}"/>
    <dataValidation allowBlank="1" showInputMessage="1" showErrorMessage="1" prompt="Buyers * Average Order Value" sqref="L27" xr:uid="{1B4E8617-1C28-4062-A9D5-EFBB773019C1}"/>
    <dataValidation allowBlank="1" showInputMessage="1" showErrorMessage="1" prompt="Buyers * LTV" sqref="L28" xr:uid="{4635A755-CC15-4EDE-A4B8-1FC77F94AD94}"/>
  </dataValidations>
  <printOptions horizontalCentered="1"/>
  <pageMargins left="0.31496062992125984" right="0.31496062992125984" top="0.31496062992125984" bottom="0.31496062992125984" header="0.31496062992125984" footer="0.31496062992125984"/>
  <pageSetup scale="6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6DB1-9793-453B-B327-78508C146E66}">
  <dimension ref="C2:N1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9.140625" style="23"/>
    <col min="3" max="3" width="27.85546875" style="23" customWidth="1"/>
    <col min="4" max="4" width="15.7109375" style="25" customWidth="1"/>
    <col min="5" max="7" width="15.7109375" style="23" customWidth="1"/>
    <col min="8" max="8" width="9.140625" style="23"/>
    <col min="9" max="9" width="22.140625" style="23" customWidth="1"/>
    <col min="10" max="10" width="23.7109375" style="23" customWidth="1"/>
    <col min="11" max="11" width="20.42578125" style="23" customWidth="1"/>
    <col min="12" max="12" width="19.28515625" style="23" customWidth="1"/>
    <col min="13" max="13" width="13.42578125" style="23" customWidth="1"/>
    <col min="14" max="14" width="14.85546875" style="23" customWidth="1"/>
    <col min="15" max="16384" width="9.140625" style="23"/>
  </cols>
  <sheetData>
    <row r="2" spans="3:14" x14ac:dyDescent="0.25">
      <c r="C2" s="199" t="s">
        <v>168</v>
      </c>
      <c r="D2" s="200"/>
      <c r="E2" s="199"/>
      <c r="F2" s="199"/>
      <c r="G2" s="199"/>
      <c r="I2" s="199" t="s">
        <v>169</v>
      </c>
      <c r="J2" s="199"/>
      <c r="K2" s="199"/>
      <c r="L2" s="199"/>
      <c r="M2" s="199"/>
      <c r="N2" s="199"/>
    </row>
    <row r="4" spans="3:14" x14ac:dyDescent="0.25">
      <c r="C4" s="194" t="s">
        <v>71</v>
      </c>
      <c r="D4" s="195" t="s">
        <v>145</v>
      </c>
      <c r="E4" s="196" t="str">
        <f>"COST (" &amp; currency &amp; ")"</f>
        <v>COST ($)</v>
      </c>
      <c r="F4" s="197" t="s">
        <v>141</v>
      </c>
      <c r="G4" s="196" t="str">
        <f>"CPC  (" &amp; currency &amp; ")"</f>
        <v>CPC  ($)</v>
      </c>
      <c r="I4" s="198" t="s">
        <v>165</v>
      </c>
      <c r="J4" s="198" t="s">
        <v>166</v>
      </c>
      <c r="K4" s="195" t="s">
        <v>145</v>
      </c>
      <c r="L4" s="196" t="str">
        <f>"COST (" &amp; currency &amp; ")"</f>
        <v>COST ($)</v>
      </c>
      <c r="M4" s="197" t="s">
        <v>141</v>
      </c>
      <c r="N4" s="196" t="str">
        <f>"CPC  (" &amp; currency &amp; ")"</f>
        <v>CPC  ($)</v>
      </c>
    </row>
    <row r="5" spans="3:14" x14ac:dyDescent="0.25">
      <c r="C5" s="190" t="s">
        <v>13</v>
      </c>
      <c r="D5" s="191">
        <f>GoogleROI</f>
        <v>-0.13043478260869565</v>
      </c>
      <c r="E5" s="192">
        <f>SUM(GoogleCost)</f>
        <v>2300</v>
      </c>
      <c r="F5" s="192">
        <f>GoogleAds!L8</f>
        <v>800</v>
      </c>
      <c r="G5" s="193">
        <f>GoogleAds!L12</f>
        <v>2.875</v>
      </c>
      <c r="I5" s="201" t="str">
        <f>IFERROR(IF(LEN(Dashboard!D9)=0,"",Dashboard!D9),"")</f>
        <v>Google Ads</v>
      </c>
      <c r="J5" s="201" t="str">
        <f t="array" ref="J5">IFERROR(INDEX($I$5:$I$12,SMALL(IF(LEN($I$5:$I$12)&gt;0,ROW($I$5:$I$12)-ROW(INDEX($I$5:$I$12,1,1))+1),ROW($H5)-ROW($H$4))),"")</f>
        <v>Google Ads</v>
      </c>
      <c r="K5" s="191">
        <f>IFERROR(IF(LEN(J5)=0,"",INDEX($D$5:$G$12,MATCH($J5,$C$5:$C$12,0),MATCH(K$4,$D$4:$G$4,0))),"")</f>
        <v>-0.13043478260869565</v>
      </c>
      <c r="L5" s="192">
        <f t="shared" ref="L5:N5" si="0">IFERROR(IF(LEN(K5)=0,"",INDEX($D$5:$G$12,MATCH($J5,$C$5:$C$12,0),MATCH(L$4,$D$4:$G$4,0))),"")</f>
        <v>2300</v>
      </c>
      <c r="M5" s="192">
        <f t="shared" si="0"/>
        <v>800</v>
      </c>
      <c r="N5" s="193">
        <f t="shared" si="0"/>
        <v>2.875</v>
      </c>
    </row>
    <row r="6" spans="3:14" x14ac:dyDescent="0.25">
      <c r="C6" s="190" t="s">
        <v>72</v>
      </c>
      <c r="D6" s="191">
        <f>EmailROI</f>
        <v>1.1428571428571428</v>
      </c>
      <c r="E6" s="192">
        <f>SUM(EmailCost)</f>
        <v>1400</v>
      </c>
      <c r="F6" s="192">
        <f>Email!L8</f>
        <v>1000</v>
      </c>
      <c r="G6" s="193">
        <f>Email!L9</f>
        <v>1.4</v>
      </c>
      <c r="I6" s="201" t="str">
        <f>IFERROR(IF(LEN(Dashboard!D10)=0,"",Dashboard!D10),"")</f>
        <v>Facebook</v>
      </c>
      <c r="J6" s="201" t="str">
        <f t="array" ref="J6">IFERROR(INDEX($I$5:$I$12,SMALL(IF(LEN($I$5:$I$12)&gt;0,ROW($I$5:$I$12)-ROW(INDEX($I$5:$I$12,1,1))+1),ROW($H6)-ROW($H$4))),"")</f>
        <v>Facebook</v>
      </c>
      <c r="K6" s="191">
        <f t="shared" ref="K6:N6" si="1">IFERROR(IF(LEN(J6)=0,"",INDEX($D$5:$G$12,MATCH($J6,$C$5:$C$12,0),MATCH(K$4,$D$4:$G$4,0))),"")</f>
        <v>0.83333333333333337</v>
      </c>
      <c r="L6" s="192">
        <f t="shared" si="1"/>
        <v>1200</v>
      </c>
      <c r="M6" s="192">
        <f t="shared" si="1"/>
        <v>500</v>
      </c>
      <c r="N6" s="193">
        <f t="shared" si="1"/>
        <v>2.4</v>
      </c>
    </row>
    <row r="7" spans="3:14" x14ac:dyDescent="0.25">
      <c r="C7" s="190" t="s">
        <v>143</v>
      </c>
      <c r="D7" s="191">
        <f>FbROI</f>
        <v>0.83333333333333337</v>
      </c>
      <c r="E7" s="192">
        <f>SUM(FbCost)</f>
        <v>1200</v>
      </c>
      <c r="F7" s="192">
        <f>Facebook!L8</f>
        <v>500</v>
      </c>
      <c r="G7" s="193">
        <f>Facebook!L10</f>
        <v>2.4</v>
      </c>
      <c r="I7" s="201" t="str">
        <f>IFERROR(IF(LEN(Dashboard!D11)=0,"",Dashboard!D11),"")</f>
        <v>Email Marketing</v>
      </c>
      <c r="J7" s="201" t="str">
        <f t="array" ref="J7">IFERROR(INDEX($I$5:$I$12,SMALL(IF(LEN($I$5:$I$12)&gt;0,ROW($I$5:$I$12)-ROW(INDEX($I$5:$I$12,1,1))+1),ROW($H7)-ROW($H$4))),"")</f>
        <v>Email Marketing</v>
      </c>
      <c r="K7" s="191">
        <f t="shared" ref="K7:N7" si="2">IFERROR(IF(LEN(J7)=0,"",INDEX($D$5:$G$12,MATCH($J7,$C$5:$C$12,0),MATCH(K$4,$D$4:$G$4,0))),"")</f>
        <v>1.1428571428571428</v>
      </c>
      <c r="L7" s="192">
        <f t="shared" si="2"/>
        <v>1400</v>
      </c>
      <c r="M7" s="192">
        <f t="shared" si="2"/>
        <v>1000</v>
      </c>
      <c r="N7" s="193">
        <f t="shared" si="2"/>
        <v>1.4</v>
      </c>
    </row>
    <row r="8" spans="3:14" x14ac:dyDescent="0.25">
      <c r="C8" s="190" t="s">
        <v>154</v>
      </c>
      <c r="D8" s="191">
        <f>InstagramROI</f>
        <v>1.07328</v>
      </c>
      <c r="E8" s="192">
        <f>SUM(InstagramCost)</f>
        <v>1500</v>
      </c>
      <c r="F8" s="192">
        <f>Instagram!F15</f>
        <v>5890</v>
      </c>
      <c r="G8" s="193">
        <f>Instagram!L10</f>
        <v>0.25466893039049238</v>
      </c>
      <c r="I8" s="201" t="str">
        <f>IFERROR(IF(LEN(Dashboard!D12)=0,"",Dashboard!D12),"")</f>
        <v>Instagram Ads</v>
      </c>
      <c r="J8" s="201" t="str">
        <f t="array" ref="J8">IFERROR(INDEX($I$5:$I$12,SMALL(IF(LEN($I$5:$I$12)&gt;0,ROW($I$5:$I$12)-ROW(INDEX($I$5:$I$12,1,1))+1),ROW($H8)-ROW($H$4))),"")</f>
        <v>Instagram Ads</v>
      </c>
      <c r="K8" s="191">
        <f t="shared" ref="K8:N8" si="3">IFERROR(IF(LEN(J8)=0,"",INDEX($D$5:$G$12,MATCH($J8,$C$5:$C$12,0),MATCH(K$4,$D$4:$G$4,0))),"")</f>
        <v>1.07328</v>
      </c>
      <c r="L8" s="192">
        <f t="shared" si="3"/>
        <v>1500</v>
      </c>
      <c r="M8" s="192">
        <f t="shared" si="3"/>
        <v>5890</v>
      </c>
      <c r="N8" s="193">
        <f t="shared" si="3"/>
        <v>0.25466893039049238</v>
      </c>
    </row>
    <row r="9" spans="3:14" x14ac:dyDescent="0.25">
      <c r="C9" s="190" t="s">
        <v>73</v>
      </c>
      <c r="D9" s="191">
        <f>InfluencerROI</f>
        <v>2.125</v>
      </c>
      <c r="E9" s="192">
        <f>SUM(InflueancerCost)</f>
        <v>1920</v>
      </c>
      <c r="F9" s="192">
        <f>Influencer!F12</f>
        <v>4300</v>
      </c>
      <c r="G9" s="193">
        <f>Influencer!L9</f>
        <v>0.44651162790697674</v>
      </c>
      <c r="I9" s="201" t="str">
        <f>IFERROR(IF(LEN(Dashboard!D13)=0,"",Dashboard!D13),"")</f>
        <v>Influencer Marketing</v>
      </c>
      <c r="J9" s="201" t="str">
        <f t="array" ref="J9">IFERROR(INDEX($I$5:$I$12,SMALL(IF(LEN($I$5:$I$12)&gt;0,ROW($I$5:$I$12)-ROW(INDEX($I$5:$I$12,1,1))+1),ROW($H9)-ROW($H$4))),"")</f>
        <v>Influencer Marketing</v>
      </c>
      <c r="K9" s="191">
        <f t="shared" ref="K9:N9" si="4">IFERROR(IF(LEN(J9)=0,"",INDEX($D$5:$G$12,MATCH($J9,$C$5:$C$12,0),MATCH(K$4,$D$4:$G$4,0))),"")</f>
        <v>2.125</v>
      </c>
      <c r="L9" s="192">
        <f t="shared" si="4"/>
        <v>1920</v>
      </c>
      <c r="M9" s="192">
        <f t="shared" si="4"/>
        <v>4300</v>
      </c>
      <c r="N9" s="193">
        <f t="shared" si="4"/>
        <v>0.44651162790697674</v>
      </c>
    </row>
    <row r="10" spans="3:14" x14ac:dyDescent="0.25">
      <c r="C10" s="190" t="s">
        <v>8</v>
      </c>
      <c r="D10" s="191">
        <f>LinkedInROI</f>
        <v>0.20749999999999999</v>
      </c>
      <c r="E10" s="192">
        <f>SUM(LInCost)</f>
        <v>1300</v>
      </c>
      <c r="F10" s="192">
        <f>LinkedIn!L8</f>
        <v>1495</v>
      </c>
      <c r="G10" s="193">
        <f>LinkedIn!L10</f>
        <v>0.86956521739130432</v>
      </c>
      <c r="I10" s="201" t="str">
        <f>IFERROR(IF(LEN(Dashboard!D14)=0,"",Dashboard!D14),"")</f>
        <v>LinkedIn</v>
      </c>
      <c r="J10" s="201" t="str">
        <f t="array" ref="J10">IFERROR(INDEX($I$5:$I$12,SMALL(IF(LEN($I$5:$I$12)&gt;0,ROW($I$5:$I$12)-ROW(INDEX($I$5:$I$12,1,1))+1),ROW($H10)-ROW($H$4))),"")</f>
        <v>LinkedIn</v>
      </c>
      <c r="K10" s="191">
        <f t="shared" ref="K10:N10" si="5">IFERROR(IF(LEN(J10)=0,"",INDEX($D$5:$G$12,MATCH($J10,$C$5:$C$12,0),MATCH(K$4,$D$4:$G$4,0))),"")</f>
        <v>0.20749999999999999</v>
      </c>
      <c r="L10" s="192">
        <f t="shared" si="5"/>
        <v>1300</v>
      </c>
      <c r="M10" s="192">
        <f t="shared" si="5"/>
        <v>1495</v>
      </c>
      <c r="N10" s="193">
        <f t="shared" si="5"/>
        <v>0.86956521739130432</v>
      </c>
    </row>
    <row r="11" spans="3:14" x14ac:dyDescent="0.25">
      <c r="C11" s="190" t="s">
        <v>74</v>
      </c>
      <c r="D11" s="191">
        <f>TwitterROI</f>
        <v>0.55100000000000005</v>
      </c>
      <c r="E11" s="192">
        <f>SUM(TwitterCost)</f>
        <v>1750</v>
      </c>
      <c r="F11" s="192">
        <f>Twitter!L8</f>
        <v>3525</v>
      </c>
      <c r="G11" s="193">
        <f>Twitter!L10</f>
        <v>0.49645390070921985</v>
      </c>
      <c r="I11" s="201" t="str">
        <f>IFERROR(IF(LEN(Dashboard!D15)=0,"",Dashboard!D15),"")</f>
        <v>Twitter</v>
      </c>
      <c r="J11" s="201" t="str">
        <f t="array" ref="J11">IFERROR(INDEX($I$5:$I$12,SMALL(IF(LEN($I$5:$I$12)&gt;0,ROW($I$5:$I$12)-ROW(INDEX($I$5:$I$12,1,1))+1),ROW($H11)-ROW($H$4))),"")</f>
        <v>Twitter</v>
      </c>
      <c r="K11" s="191">
        <f t="shared" ref="K11:N11" si="6">IFERROR(IF(LEN(J11)=0,"",INDEX($D$5:$G$12,MATCH($J11,$C$5:$C$12,0),MATCH(K$4,$D$4:$G$4,0))),"")</f>
        <v>0.55100000000000005</v>
      </c>
      <c r="L11" s="192">
        <f t="shared" si="6"/>
        <v>1750</v>
      </c>
      <c r="M11" s="192">
        <f t="shared" si="6"/>
        <v>3525</v>
      </c>
      <c r="N11" s="193">
        <f t="shared" si="6"/>
        <v>0.49645390070921985</v>
      </c>
    </row>
    <row r="12" spans="3:14" x14ac:dyDescent="0.25">
      <c r="C12" s="190" t="s">
        <v>144</v>
      </c>
      <c r="D12" s="191">
        <f>TemplateROI</f>
        <v>2.657142857142857</v>
      </c>
      <c r="E12" s="192">
        <f>SUM(TemplateCost)</f>
        <v>630</v>
      </c>
      <c r="F12" s="192">
        <f>Basic!L8</f>
        <v>3600</v>
      </c>
      <c r="G12" s="193">
        <f>Basic!L10</f>
        <v>0.17499999999999999</v>
      </c>
      <c r="I12" s="201" t="str">
        <f>IFERROR(IF(LEN(Dashboard!D16)=0,"",Dashboard!D16),"")</f>
        <v>Template</v>
      </c>
      <c r="J12" s="201" t="str">
        <f t="array" ref="J12">IFERROR(INDEX($I$5:$I$12,SMALL(IF(LEN($I$5:$I$12)&gt;0,ROW($I$5:$I$12)-ROW(INDEX($I$5:$I$12,1,1))+1),ROW($H12)-ROW($H$4))),"")</f>
        <v>Template</v>
      </c>
      <c r="K12" s="191">
        <f t="shared" ref="K12:N12" si="7">IFERROR(IF(LEN(J12)=0,"",INDEX($D$5:$G$12,MATCH($J12,$C$5:$C$12,0),MATCH(K$4,$D$4:$G$4,0))),"")</f>
        <v>2.657142857142857</v>
      </c>
      <c r="L12" s="192">
        <f t="shared" si="7"/>
        <v>630</v>
      </c>
      <c r="M12" s="192">
        <f t="shared" si="7"/>
        <v>3600</v>
      </c>
      <c r="N12" s="193">
        <f t="shared" si="7"/>
        <v>0.17499999999999999</v>
      </c>
    </row>
    <row r="14" spans="3:14" x14ac:dyDescent="0.25">
      <c r="I14" s="198" t="s">
        <v>167</v>
      </c>
      <c r="J14" s="201">
        <f>IFERROR(COUNTIF(J5:J12,"?*"),8)</f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28</vt:i4>
      </vt:variant>
    </vt:vector>
  </HeadingPairs>
  <TitlesOfParts>
    <vt:vector size="39" baseType="lpstr">
      <vt:lpstr>Dashboard</vt:lpstr>
      <vt:lpstr>GoogleAds</vt:lpstr>
      <vt:lpstr>Facebook</vt:lpstr>
      <vt:lpstr>Email</vt:lpstr>
      <vt:lpstr>Instagram</vt:lpstr>
      <vt:lpstr>Influencer</vt:lpstr>
      <vt:lpstr>LinkedIn</vt:lpstr>
      <vt:lpstr>Twitter</vt:lpstr>
      <vt:lpstr>Basic</vt:lpstr>
      <vt:lpstr>Calc</vt:lpstr>
      <vt:lpstr>ToU</vt:lpstr>
      <vt:lpstr>currency</vt:lpstr>
      <vt:lpstr>EmailCost</vt:lpstr>
      <vt:lpstr>EmailROI</vt:lpstr>
      <vt:lpstr>FbCost</vt:lpstr>
      <vt:lpstr>FbROI</vt:lpstr>
      <vt:lpstr>GoogleCost</vt:lpstr>
      <vt:lpstr>GoogleROI</vt:lpstr>
      <vt:lpstr>googleroi</vt:lpstr>
      <vt:lpstr>InflueancerCost</vt:lpstr>
      <vt:lpstr>InfluencerROI</vt:lpstr>
      <vt:lpstr>InstagramCost</vt:lpstr>
      <vt:lpstr>InstagramROI</vt:lpstr>
      <vt:lpstr>LInCost</vt:lpstr>
      <vt:lpstr>LinkedInROI</vt:lpstr>
      <vt:lpstr>Basic!Print_Area</vt:lpstr>
      <vt:lpstr>Dashboard!Print_Area</vt:lpstr>
      <vt:lpstr>Email!Print_Area</vt:lpstr>
      <vt:lpstr>Facebook!Print_Area</vt:lpstr>
      <vt:lpstr>GoogleAds!Print_Area</vt:lpstr>
      <vt:lpstr>Influencer!Print_Area</vt:lpstr>
      <vt:lpstr>Instagram!Print_Area</vt:lpstr>
      <vt:lpstr>LinkedIn!Print_Area</vt:lpstr>
      <vt:lpstr>ToU!Print_Area</vt:lpstr>
      <vt:lpstr>Twitter!Print_Area</vt:lpstr>
      <vt:lpstr>TemplateCost</vt:lpstr>
      <vt:lpstr>TemplateROI</vt:lpstr>
      <vt:lpstr>TwitterCost</vt:lpstr>
      <vt:lpstr>TwitterROI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2022-05-13T11:36:16Z</cp:lastPrinted>
  <dcterms:created xsi:type="dcterms:W3CDTF">2018-11-13T14:01:04Z</dcterms:created>
  <dcterms:modified xsi:type="dcterms:W3CDTF">2022-06-05T13:06:12Z</dcterms:modified>
  <dc:title>Marketing ROI Calculator V2 Template</dc:title>
  <dc:subject>Marketing ROI Calculator V2</dc:subject>
  <dc:description>Marketing ROI Calculator V2 template by Master Productivity Kit — masterproductivitykit.com</dc:description>
  <cp:keywords>Master Productivity Kit, Excel template, Google Sheets template</cp:keywords>
  <cp:category>Business Template</cp:category>
</cp:coreProperties>
</file>