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yşenurÖdev\Desktop\6 sigma - New  Template\free\"/>
    </mc:Choice>
  </mc:AlternateContent>
  <xr:revisionPtr revIDLastSave="0" documentId="13_ncr:1_{DA0000D8-B76B-42EB-A7FF-5D23A2FEEC33}" xr6:coauthVersionLast="47" xr6:coauthVersionMax="47" xr10:uidLastSave="{00000000-0000-0000-0000-000000000000}"/>
  <bookViews>
    <workbookView showSheetTabs="0" xWindow="-120" yWindow="-120" windowWidth="29040" windowHeight="15840" tabRatio="765" xr2:uid="{5B36CBF1-84C3-4D6A-8007-B28509267DB3}"/>
  </bookViews>
  <sheets>
    <sheet name="Menu" sheetId="9" r:id="rId1"/>
    <sheet name="MeasuredXMR" sheetId="16" r:id="rId2"/>
    <sheet name="MeasuredXbarR" sheetId="15" r:id="rId3"/>
    <sheet name="CountDefectives" sheetId="17" r:id="rId4"/>
    <sheet name="CountDefects" sheetId="18" r:id="rId5"/>
    <sheet name="SixSigmaLevels" sheetId="14" r:id="rId6"/>
    <sheet name="Calc" sheetId="12" state="hidden" r:id="rId7"/>
  </sheets>
  <definedNames>
    <definedName name="DPMOlevels">SixSigmaLevels!$G$9:$G$59</definedName>
    <definedName name="DPMOlevelswos">SixSigmaLevels!$D$9:$D$59</definedName>
    <definedName name="PCount">Calc!$CB$4</definedName>
    <definedName name="Pdata">OFFSET(Calc!$CC$9,0,0,PCount,1)</definedName>
    <definedName name="PLCL">OFFSET(Calc!$CG$9,0,0,PCount,1)</definedName>
    <definedName name="Pmean">OFFSET(Calc!$CD$9,0,0,PCount,1)</definedName>
    <definedName name="_xlnm.Print_Area" localSheetId="3">OFFSET(CountDefectives!$B$2,0,0,Calc!$I$10,14)</definedName>
    <definedName name="_xlnm.Print_Area" localSheetId="4">OFFSET(CountDefects!$B$2,0,0,Calc!$I$11,14)</definedName>
    <definedName name="_xlnm.Print_Area" localSheetId="2">OFFSET(MeasuredXbarR!$B$2,0,0,Calc!$I$9,25)</definedName>
    <definedName name="_xlnm.Print_Area" localSheetId="1">OFFSET(MeasuredXMR!$B$2,0,0,Calc!$I$8,16)</definedName>
    <definedName name="_xlnm.Print_Area" localSheetId="0">Menu!$B$2:$O$26</definedName>
    <definedName name="_xlnm.Print_Area" localSheetId="5">SixSigmaLevels!$B$2:$J$60</definedName>
    <definedName name="_xlnm.Print_Titles" localSheetId="3">CountDefectives!$7:$8</definedName>
    <definedName name="_xlnm.Print_Titles" localSheetId="4">CountDefects!$7:$8</definedName>
    <definedName name="_xlnm.Print_Titles" localSheetId="2">MeasuredXbarR!$7:$14</definedName>
    <definedName name="_xlnm.Print_Titles" localSheetId="1">MeasuredXMR!$7:$14</definedName>
    <definedName name="PUCL">OFFSET(Calc!$CF$9,0,0,PCount,1)</definedName>
    <definedName name="UCount">Calc!$CL$4</definedName>
    <definedName name="Udata">OFFSET(Calc!$CM$9,0,0,UCount,1)</definedName>
    <definedName name="ULCL">OFFSET(Calc!$CQ$9,0,0,UCount,1)</definedName>
    <definedName name="Umean">OFFSET(Calc!$CN$9,0,0,UCount,1)</definedName>
    <definedName name="UUCL">OFFSET(Calc!$CP$9,0,0,UCount,1)</definedName>
    <definedName name="Xbar">OFFSET(Calc!$AB$9,0,0,XbarCount,1)</definedName>
    <definedName name="Xbar3s">OFFSET(Calc!$AM$9,0,0,XbarCount,1)</definedName>
    <definedName name="Xbar3ss">OFFSET(Calc!$AS$9,0,0,XbarCount,1)</definedName>
    <definedName name="Xbar6s">OFFSET(Calc!$AJ$9,0,0,XbarCount,1)</definedName>
    <definedName name="Xbar6ss">OFFSET(Calc!$AV$9,0,0,XbarCount,1)</definedName>
    <definedName name="XbarBell">Calc!$AJ$5:$AV$5</definedName>
    <definedName name="XbarBellCurve">Calc!$AJ$9:$AV$9</definedName>
    <definedName name="XbarCount">Calc!$S$4</definedName>
    <definedName name="XbarLCL">OFFSET(Calc!$AF$9,0,0,XbarCount,1)</definedName>
    <definedName name="XbarMean">OFFSET(Calc!$AD$9,0,0,XbarCount,1)</definedName>
    <definedName name="Xbarmeanline">OFFSET(Calc!$AP$9,0,0,XbarCount,1)</definedName>
    <definedName name="XbarR">OFFSET(Calc!$AC$9,0,0,XbarCount,1)</definedName>
    <definedName name="XbarRmean">OFFSET(Calc!$AG$9,0,0,XbarCount,1)</definedName>
    <definedName name="XbarUCL">OFFSET(Calc!$AE$9,0,0,XbarCount,1)</definedName>
    <definedName name="XbarUCLR">OFFSET(Calc!$AH$9,0,0,XbarCount,1)</definedName>
    <definedName name="XMRBell">Calc!$BJ$5:$BV$5</definedName>
    <definedName name="XMRBellCurve">Calc!$BJ$9:$BV$9</definedName>
    <definedName name="XMRCount">Calc!$BB$4</definedName>
    <definedName name="XMRLCL">OFFSET(Calc!$BF$9,0,0,XMRCount,1)</definedName>
    <definedName name="XMRmean">OFFSET(Calc!$BC$9,0,0,XMRCount,1)</definedName>
    <definedName name="XMRmr">OFFSET(Calc!$BD$9,0,0,XMRCount,1)</definedName>
    <definedName name="XMRr">OFFSET(Calc!$BB$9,0,0,XMRCount,1)</definedName>
    <definedName name="XMRUCL">OFFSET(Calc!$BE$9,0,0,XMRCount,1)</definedName>
    <definedName name="XMRUCLR">OFFSET(Calc!$BG$9,0,0,XMRCount,1)</definedName>
    <definedName name="XMRx">OFFSET(Calc!$BA$9,0,0,XMRCount,1)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L10" i="12" l="1"/>
  <c r="CL11" i="12"/>
  <c r="CL12" i="12"/>
  <c r="CL13" i="12"/>
  <c r="CL14" i="12"/>
  <c r="CL15" i="12"/>
  <c r="CL16" i="12"/>
  <c r="CL17" i="12"/>
  <c r="CL18" i="12"/>
  <c r="CL19" i="12"/>
  <c r="CL20" i="12"/>
  <c r="CL21" i="12"/>
  <c r="CL22" i="12"/>
  <c r="CL23" i="12"/>
  <c r="CL9" i="12"/>
  <c r="CK10" i="12"/>
  <c r="CK11" i="12"/>
  <c r="CK12" i="12"/>
  <c r="CK13" i="12"/>
  <c r="CK14" i="12"/>
  <c r="CK15" i="12"/>
  <c r="CK16" i="12"/>
  <c r="CK17" i="12"/>
  <c r="CK18" i="12"/>
  <c r="CK19" i="12"/>
  <c r="CK20" i="12"/>
  <c r="CK21" i="12"/>
  <c r="CK22" i="12"/>
  <c r="CK23" i="12"/>
  <c r="CK9" i="12"/>
  <c r="CB10" i="12"/>
  <c r="CB11" i="12"/>
  <c r="CB12" i="12"/>
  <c r="CB13" i="12"/>
  <c r="CB14" i="12"/>
  <c r="CB15" i="12"/>
  <c r="CB16" i="12"/>
  <c r="CB17" i="12"/>
  <c r="CB18" i="12"/>
  <c r="CB19" i="12"/>
  <c r="CB20" i="12"/>
  <c r="CB21" i="12"/>
  <c r="CB22" i="12"/>
  <c r="CB23" i="12"/>
  <c r="CB9" i="12"/>
  <c r="CA10" i="12"/>
  <c r="CA11" i="12"/>
  <c r="CA12" i="12"/>
  <c r="CA13" i="12"/>
  <c r="CA14" i="12"/>
  <c r="CA15" i="12"/>
  <c r="CA16" i="12"/>
  <c r="CA17" i="12"/>
  <c r="CA18" i="12"/>
  <c r="CA19" i="12"/>
  <c r="CA20" i="12"/>
  <c r="CA21" i="12"/>
  <c r="CA22" i="12"/>
  <c r="CA23" i="12"/>
  <c r="CA9" i="12"/>
  <c r="BA10" i="12"/>
  <c r="BA11" i="12"/>
  <c r="BA12" i="12"/>
  <c r="BA13" i="12"/>
  <c r="BA14" i="12"/>
  <c r="BA15" i="12"/>
  <c r="BA16" i="12"/>
  <c r="BA17" i="12"/>
  <c r="BA18" i="12"/>
  <c r="BA19" i="12"/>
  <c r="BA20" i="12"/>
  <c r="BA21" i="12"/>
  <c r="BA22" i="12"/>
  <c r="BA23" i="12"/>
  <c r="BA9" i="12"/>
  <c r="AE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9" i="12"/>
  <c r="R10" i="12"/>
  <c r="S10" i="12"/>
  <c r="T10" i="12"/>
  <c r="U10" i="12"/>
  <c r="V10" i="12"/>
  <c r="W10" i="12"/>
  <c r="X10" i="12"/>
  <c r="Y10" i="12"/>
  <c r="Z10" i="12"/>
  <c r="AA10" i="12"/>
  <c r="R11" i="12"/>
  <c r="S11" i="12"/>
  <c r="T11" i="12"/>
  <c r="U11" i="12"/>
  <c r="V11" i="12"/>
  <c r="W11" i="12"/>
  <c r="X11" i="12"/>
  <c r="Y11" i="12"/>
  <c r="Z11" i="12"/>
  <c r="AA11" i="12"/>
  <c r="R12" i="12"/>
  <c r="S12" i="12"/>
  <c r="T12" i="12"/>
  <c r="U12" i="12"/>
  <c r="V12" i="12"/>
  <c r="W12" i="12"/>
  <c r="X12" i="12"/>
  <c r="Y12" i="12"/>
  <c r="Z12" i="12"/>
  <c r="AA12" i="12"/>
  <c r="R13" i="12"/>
  <c r="S13" i="12"/>
  <c r="T13" i="12"/>
  <c r="U13" i="12"/>
  <c r="V13" i="12"/>
  <c r="W13" i="12"/>
  <c r="X13" i="12"/>
  <c r="Y13" i="12"/>
  <c r="Z13" i="12"/>
  <c r="AA13" i="12"/>
  <c r="R14" i="12"/>
  <c r="S14" i="12"/>
  <c r="T14" i="12"/>
  <c r="U14" i="12"/>
  <c r="V14" i="12"/>
  <c r="W14" i="12"/>
  <c r="X14" i="12"/>
  <c r="Y14" i="12"/>
  <c r="Z14" i="12"/>
  <c r="AA14" i="12"/>
  <c r="R15" i="12"/>
  <c r="S15" i="12"/>
  <c r="T15" i="12"/>
  <c r="U15" i="12"/>
  <c r="V15" i="12"/>
  <c r="W15" i="12"/>
  <c r="X15" i="12"/>
  <c r="Y15" i="12"/>
  <c r="Z15" i="12"/>
  <c r="AA15" i="12"/>
  <c r="R16" i="12"/>
  <c r="S16" i="12"/>
  <c r="T16" i="12"/>
  <c r="U16" i="12"/>
  <c r="V16" i="12"/>
  <c r="W16" i="12"/>
  <c r="X16" i="12"/>
  <c r="Y16" i="12"/>
  <c r="Z16" i="12"/>
  <c r="AA16" i="12"/>
  <c r="R17" i="12"/>
  <c r="S17" i="12"/>
  <c r="T17" i="12"/>
  <c r="U17" i="12"/>
  <c r="V17" i="12"/>
  <c r="W17" i="12"/>
  <c r="X17" i="12"/>
  <c r="Y17" i="12"/>
  <c r="Z17" i="12"/>
  <c r="AA17" i="12"/>
  <c r="R18" i="12"/>
  <c r="S18" i="12"/>
  <c r="T18" i="12"/>
  <c r="U18" i="12"/>
  <c r="V18" i="12"/>
  <c r="W18" i="12"/>
  <c r="X18" i="12"/>
  <c r="Y18" i="12"/>
  <c r="Z18" i="12"/>
  <c r="AA18" i="12"/>
  <c r="R19" i="12"/>
  <c r="S19" i="12"/>
  <c r="T19" i="12"/>
  <c r="U19" i="12"/>
  <c r="V19" i="12"/>
  <c r="W19" i="12"/>
  <c r="X19" i="12"/>
  <c r="Y19" i="12"/>
  <c r="Z19" i="12"/>
  <c r="AA19" i="12"/>
  <c r="R20" i="12"/>
  <c r="S20" i="12"/>
  <c r="T20" i="12"/>
  <c r="U20" i="12"/>
  <c r="V20" i="12"/>
  <c r="W20" i="12"/>
  <c r="X20" i="12"/>
  <c r="Y20" i="12"/>
  <c r="Z20" i="12"/>
  <c r="AA20" i="12"/>
  <c r="R21" i="12"/>
  <c r="S21" i="12"/>
  <c r="T21" i="12"/>
  <c r="U21" i="12"/>
  <c r="V21" i="12"/>
  <c r="W21" i="12"/>
  <c r="X21" i="12"/>
  <c r="Y21" i="12"/>
  <c r="Z21" i="12"/>
  <c r="AA21" i="12"/>
  <c r="R22" i="12"/>
  <c r="S22" i="12"/>
  <c r="T22" i="12"/>
  <c r="U22" i="12"/>
  <c r="V22" i="12"/>
  <c r="W22" i="12"/>
  <c r="X22" i="12"/>
  <c r="Y22" i="12"/>
  <c r="Z22" i="12"/>
  <c r="AA22" i="12"/>
  <c r="R23" i="12"/>
  <c r="S23" i="12"/>
  <c r="T23" i="12"/>
  <c r="U23" i="12"/>
  <c r="V23" i="12"/>
  <c r="W23" i="12"/>
  <c r="X23" i="12"/>
  <c r="Y23" i="12"/>
  <c r="Z23" i="12"/>
  <c r="AA23" i="12"/>
  <c r="S9" i="12"/>
  <c r="T9" i="12"/>
  <c r="U9" i="12"/>
  <c r="V9" i="12"/>
  <c r="W9" i="12"/>
  <c r="X9" i="12"/>
  <c r="Y9" i="12"/>
  <c r="Z9" i="12"/>
  <c r="AA9" i="12"/>
  <c r="R9" i="12"/>
  <c r="N8" i="18"/>
  <c r="M8" i="18"/>
  <c r="L8" i="18"/>
  <c r="I8" i="18"/>
  <c r="N8" i="17"/>
  <c r="M8" i="17"/>
  <c r="L8" i="17"/>
  <c r="I8" i="17"/>
  <c r="V11" i="15"/>
  <c r="V10" i="15"/>
  <c r="R8" i="15"/>
  <c r="R9" i="15"/>
  <c r="H9" i="16"/>
  <c r="L10" i="16"/>
  <c r="AR23" i="12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15" i="15"/>
  <c r="N16" i="15"/>
  <c r="N17" i="15"/>
  <c r="N18" i="15"/>
  <c r="N19" i="15"/>
  <c r="N20" i="15"/>
  <c r="N21" i="15"/>
  <c r="N22" i="15"/>
  <c r="N23" i="15"/>
  <c r="N24" i="15"/>
  <c r="N25" i="15"/>
  <c r="N26" i="15"/>
  <c r="N27" i="15"/>
  <c r="N28" i="15"/>
  <c r="N29" i="15"/>
  <c r="N15" i="15"/>
  <c r="BD23" i="12"/>
  <c r="BD9" i="12" l="1"/>
  <c r="W4" i="12" a="1"/>
  <c r="W4" i="12" s="1"/>
  <c r="H8" i="16"/>
  <c r="L11" i="16" s="1"/>
  <c r="S4" i="12" l="1" a="1"/>
  <c r="S4" i="12" s="1"/>
  <c r="CL4" i="12" a="1"/>
  <c r="CL4" i="12" s="1"/>
  <c r="CB4" i="12" a="1"/>
  <c r="CB4" i="12" s="1"/>
  <c r="BI16" i="12" a="1"/>
  <c r="BI16" i="12" s="1"/>
  <c r="BI22" i="12" a="1"/>
  <c r="BI22" i="12" s="1"/>
  <c r="BI10" i="12" a="1"/>
  <c r="BI10" i="12" s="1"/>
  <c r="BI17" i="12" a="1"/>
  <c r="BI17" i="12" s="1"/>
  <c r="BI23" i="12" a="1"/>
  <c r="BI23" i="12" s="1"/>
  <c r="BI11" i="12" a="1"/>
  <c r="BI11" i="12" s="1"/>
  <c r="BI9" i="12" a="1"/>
  <c r="BI9" i="12" s="1"/>
  <c r="BB4" i="12" a="1"/>
  <c r="BB4" i="12" s="1"/>
  <c r="BI12" i="12" a="1"/>
  <c r="BI12" i="12" s="1"/>
  <c r="BI18" i="12" a="1"/>
  <c r="BI18" i="12" s="1"/>
  <c r="BI13" i="12" a="1"/>
  <c r="BI13" i="12" s="1"/>
  <c r="BI19" i="12" a="1"/>
  <c r="BI19" i="12" s="1"/>
  <c r="BI20" i="12" a="1"/>
  <c r="BI20" i="12" s="1"/>
  <c r="BI14" i="12" a="1"/>
  <c r="BI14" i="12" s="1"/>
  <c r="BI21" i="12" a="1"/>
  <c r="BI21" i="12" s="1"/>
  <c r="BI15" i="12" a="1"/>
  <c r="BI15" i="12" s="1"/>
  <c r="CC9" i="12"/>
  <c r="CM22" i="12"/>
  <c r="CM9" i="12"/>
  <c r="CM23" i="12"/>
  <c r="CM15" i="12"/>
  <c r="CM14" i="12"/>
  <c r="CM11" i="12"/>
  <c r="CM13" i="12"/>
  <c r="CM20" i="12"/>
  <c r="CM18" i="12"/>
  <c r="CM21" i="12"/>
  <c r="CM19" i="12"/>
  <c r="CM12" i="12"/>
  <c r="CM17" i="12"/>
  <c r="CM10" i="12"/>
  <c r="CM16" i="12"/>
  <c r="CC23" i="12"/>
  <c r="CC19" i="12"/>
  <c r="CC15" i="12"/>
  <c r="CC11" i="12"/>
  <c r="CC17" i="12"/>
  <c r="CC14" i="12"/>
  <c r="CC16" i="12"/>
  <c r="CC20" i="12"/>
  <c r="CC12" i="12"/>
  <c r="CC18" i="12"/>
  <c r="CC10" i="12"/>
  <c r="CC22" i="12"/>
  <c r="CC21" i="12"/>
  <c r="CC13" i="12"/>
  <c r="E18" i="9"/>
  <c r="E17" i="9"/>
  <c r="C24" i="9"/>
  <c r="C23" i="9"/>
  <c r="C22" i="9"/>
  <c r="C21" i="9"/>
  <c r="C20" i="9"/>
  <c r="C19" i="9"/>
  <c r="C18" i="9"/>
  <c r="C17" i="9"/>
  <c r="BC9" i="12" l="1" a="1"/>
  <c r="BC9" i="12" s="1"/>
  <c r="BC13" i="12" a="1"/>
  <c r="BC13" i="12" s="1"/>
  <c r="BC14" i="12" a="1"/>
  <c r="BC14" i="12" s="1"/>
  <c r="BC15" i="12" a="1"/>
  <c r="BC15" i="12" s="1"/>
  <c r="BC16" i="12" a="1"/>
  <c r="BC16" i="12" s="1"/>
  <c r="BC10" i="12" a="1"/>
  <c r="BC10" i="12" s="1"/>
  <c r="BC17" i="12" a="1"/>
  <c r="BC17" i="12" s="1"/>
  <c r="BC23" i="12" a="1"/>
  <c r="BC23" i="12" s="1"/>
  <c r="BC11" i="12" a="1"/>
  <c r="BC11" i="12" s="1"/>
  <c r="BC12" i="12" a="1"/>
  <c r="BC12" i="12" s="1"/>
  <c r="BC18" i="12" a="1"/>
  <c r="BC18" i="12" s="1"/>
  <c r="BC19" i="12" s="1" a="1"/>
  <c r="BC19" i="12" s="1"/>
  <c r="BC20" i="12" s="1" a="1"/>
  <c r="BC20" i="12" s="1"/>
  <c r="BC21" i="12" s="1" a="1"/>
  <c r="BC21" i="12" s="1"/>
  <c r="BC22" i="12" s="1" a="1"/>
  <c r="BC22" i="12" s="1"/>
  <c r="CN14" i="12"/>
  <c r="CN22" i="12"/>
  <c r="CN15" i="12"/>
  <c r="CN23" i="12"/>
  <c r="CN16" i="12"/>
  <c r="CN18" i="12"/>
  <c r="CN17" i="12"/>
  <c r="CN10" i="12"/>
  <c r="CN11" i="12"/>
  <c r="CN19" i="12"/>
  <c r="CN12" i="12"/>
  <c r="CN20" i="12"/>
  <c r="CN9" i="12"/>
  <c r="CN21" i="12"/>
  <c r="CN13" i="12"/>
  <c r="CD9" i="12"/>
  <c r="BH14" i="12"/>
  <c r="BH15" i="12"/>
  <c r="BH23" i="12"/>
  <c r="BH16" i="12"/>
  <c r="BH17" i="12"/>
  <c r="BH9" i="12"/>
  <c r="BH13" i="12"/>
  <c r="BH10" i="12"/>
  <c r="BH18" i="12"/>
  <c r="BH11" i="12"/>
  <c r="BH19" i="12"/>
  <c r="BH20" i="12" s="1"/>
  <c r="BH21" i="12" s="1"/>
  <c r="BH22" i="12" s="1"/>
  <c r="BH12" i="12"/>
  <c r="CD16" i="12"/>
  <c r="CD15" i="12"/>
  <c r="CD17" i="12"/>
  <c r="CD10" i="12"/>
  <c r="CD18" i="12"/>
  <c r="CD14" i="12"/>
  <c r="CD11" i="12"/>
  <c r="CD19" i="12"/>
  <c r="CD12" i="12"/>
  <c r="CD20" i="12"/>
  <c r="CD23" i="12"/>
  <c r="CD13" i="12"/>
  <c r="CD21" i="12"/>
  <c r="CD22" i="12"/>
  <c r="C14" i="9"/>
  <c r="C13" i="9"/>
  <c r="CE19" i="12" l="1"/>
  <c r="CE11" i="12"/>
  <c r="CE15" i="12"/>
  <c r="CE12" i="12"/>
  <c r="CE16" i="12"/>
  <c r="CE20" i="12"/>
  <c r="CE21" i="12"/>
  <c r="CE17" i="12"/>
  <c r="CE23" i="12"/>
  <c r="CE13" i="12"/>
  <c r="CE18" i="12"/>
  <c r="CE14" i="12"/>
  <c r="CE22" i="12"/>
  <c r="CE9" i="12"/>
  <c r="CF9" i="12" s="1"/>
  <c r="CE10" i="12"/>
  <c r="CO14" i="12"/>
  <c r="CO9" i="12"/>
  <c r="CP9" i="12" s="1"/>
  <c r="CO16" i="12"/>
  <c r="CQ16" i="12" s="1"/>
  <c r="CO15" i="12"/>
  <c r="CO23" i="12"/>
  <c r="CO17" i="12"/>
  <c r="CQ17" i="12" s="1"/>
  <c r="CO18" i="12"/>
  <c r="CQ18" i="12" s="1"/>
  <c r="CO22" i="12"/>
  <c r="CO20" i="12"/>
  <c r="CQ20" i="12" s="1"/>
  <c r="CO11" i="12"/>
  <c r="CQ11" i="12" s="1"/>
  <c r="CO13" i="12"/>
  <c r="CQ13" i="12" s="1"/>
  <c r="CO19" i="12"/>
  <c r="CO10" i="12"/>
  <c r="CO12" i="12"/>
  <c r="CP12" i="12" s="1"/>
  <c r="CO21" i="12"/>
  <c r="CP21" i="12" s="1"/>
  <c r="E19" i="9"/>
  <c r="CP16" i="12" l="1"/>
  <c r="CP17" i="12"/>
  <c r="CQ22" i="12"/>
  <c r="CP22" i="12"/>
  <c r="CQ21" i="12"/>
  <c r="CP11" i="12"/>
  <c r="CQ10" i="12"/>
  <c r="CP10" i="12"/>
  <c r="CQ23" i="12"/>
  <c r="CP23" i="12"/>
  <c r="CQ9" i="12"/>
  <c r="CP15" i="12"/>
  <c r="CQ15" i="12"/>
  <c r="CQ12" i="12"/>
  <c r="CP19" i="12"/>
  <c r="CQ19" i="12"/>
  <c r="CP20" i="12"/>
  <c r="CP13" i="12"/>
  <c r="CQ14" i="12"/>
  <c r="CP14" i="12"/>
  <c r="CP18" i="12"/>
  <c r="CF19" i="12"/>
  <c r="CG19" i="12"/>
  <c r="CG10" i="12"/>
  <c r="CF10" i="12"/>
  <c r="CF21" i="12"/>
  <c r="CG21" i="12"/>
  <c r="CF20" i="12"/>
  <c r="CG20" i="12"/>
  <c r="CG22" i="12"/>
  <c r="CF22" i="12"/>
  <c r="CF16" i="12"/>
  <c r="CG16" i="12"/>
  <c r="CF17" i="12"/>
  <c r="CG17" i="12"/>
  <c r="CF12" i="12"/>
  <c r="CG12" i="12"/>
  <c r="CG18" i="12"/>
  <c r="CF18" i="12"/>
  <c r="CF15" i="12"/>
  <c r="CG15" i="12"/>
  <c r="CG14" i="12"/>
  <c r="CF14" i="12"/>
  <c r="CF13" i="12"/>
  <c r="CG13" i="12"/>
  <c r="CF11" i="12"/>
  <c r="CG11" i="12"/>
  <c r="CG9" i="12"/>
  <c r="CF23" i="12"/>
  <c r="CG23" i="12"/>
  <c r="E20" i="9"/>
  <c r="E21" i="9" s="1" a="1"/>
  <c r="E21" i="9" s="1"/>
  <c r="E22" i="9" s="1" a="1"/>
  <c r="E22" i="9" s="1"/>
  <c r="J8" i="18" l="1"/>
  <c r="K8" i="18"/>
  <c r="J8" i="17"/>
  <c r="K8" i="17"/>
  <c r="E23" i="9" a="1"/>
  <c r="E23" i="9" s="1"/>
  <c r="E24" i="9" a="1"/>
  <c r="E24" i="9" s="1"/>
  <c r="F14" i="18"/>
  <c r="F17" i="18"/>
  <c r="F20" i="18"/>
  <c r="F21" i="18"/>
  <c r="F22" i="18"/>
  <c r="F13" i="18"/>
  <c r="F16" i="18"/>
  <c r="F19" i="18"/>
  <c r="F12" i="18"/>
  <c r="F9" i="18"/>
  <c r="F23" i="18"/>
  <c r="F18" i="18"/>
  <c r="F15" i="18"/>
  <c r="F11" i="18"/>
  <c r="F10" i="18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AI10" i="12" l="1" a="1"/>
  <c r="AI10" i="12" s="1"/>
  <c r="AI16" i="12" a="1"/>
  <c r="AI16" i="12" s="1"/>
  <c r="AI22" i="12" a="1"/>
  <c r="AI22" i="12" s="1"/>
  <c r="AI11" i="12" a="1"/>
  <c r="AI11" i="12" s="1"/>
  <c r="AI17" i="12" a="1"/>
  <c r="AI17" i="12" s="1"/>
  <c r="AI23" i="12" a="1"/>
  <c r="AI23" i="12" s="1"/>
  <c r="AI12" i="12" a="1"/>
  <c r="AI12" i="12" s="1"/>
  <c r="AI18" i="12" a="1"/>
  <c r="AI18" i="12" s="1"/>
  <c r="AI13" i="12" a="1"/>
  <c r="AI13" i="12" s="1"/>
  <c r="AI19" i="12" a="1"/>
  <c r="AI19" i="12" s="1"/>
  <c r="AI9" i="12" a="1"/>
  <c r="AI9" i="12" s="1"/>
  <c r="AI20" i="12" a="1"/>
  <c r="AI20" i="12" s="1"/>
  <c r="AI14" i="12" a="1"/>
  <c r="AI14" i="12" s="1"/>
  <c r="AI21" i="12" a="1"/>
  <c r="AI21" i="12" s="1"/>
  <c r="AI15" i="12" a="1"/>
  <c r="AI15" i="12" s="1"/>
  <c r="AD13" i="12" a="1"/>
  <c r="AD13" i="12" s="1"/>
  <c r="AD19" i="12" a="1"/>
  <c r="AD19" i="12" s="1"/>
  <c r="AD20" i="12" a="1"/>
  <c r="AD20" i="12" s="1"/>
  <c r="AD11" i="12" a="1"/>
  <c r="AD11" i="12" s="1"/>
  <c r="AD15" i="12" a="1"/>
  <c r="AD15" i="12" s="1"/>
  <c r="AD16" i="12" a="1"/>
  <c r="AD16" i="12" s="1"/>
  <c r="AD10" i="12" a="1"/>
  <c r="AD10" i="12" s="1"/>
  <c r="AD22" i="12" a="1"/>
  <c r="AD22" i="12" s="1"/>
  <c r="AD17" i="12" a="1"/>
  <c r="AD17" i="12" s="1"/>
  <c r="AD14" i="12" a="1"/>
  <c r="AD14" i="12" s="1"/>
  <c r="AD23" i="12" a="1"/>
  <c r="AD23" i="12" s="1"/>
  <c r="AD18" i="12" a="1"/>
  <c r="AD18" i="12" s="1"/>
  <c r="AD12" i="12" a="1"/>
  <c r="AD12" i="12" s="1"/>
  <c r="AD21" i="12" a="1"/>
  <c r="AD21" i="12" s="1"/>
  <c r="AD9" i="12" a="1"/>
  <c r="AD9" i="12" s="1"/>
  <c r="BD20" i="12" l="1"/>
  <c r="BD22" i="12"/>
  <c r="BD14" i="12"/>
  <c r="BD18" i="12"/>
  <c r="BD12" i="12"/>
  <c r="BD19" i="12"/>
  <c r="BD11" i="12"/>
  <c r="BD10" i="12"/>
  <c r="BD16" i="12"/>
  <c r="BD17" i="12"/>
  <c r="BD15" i="12"/>
  <c r="BD21" i="12"/>
  <c r="BD13" i="12"/>
  <c r="BB9" i="12" l="1"/>
  <c r="H10" i="16" s="1"/>
  <c r="BE9" i="12"/>
  <c r="BB10" i="12"/>
  <c r="BB18" i="12"/>
  <c r="BB19" i="12" s="1"/>
  <c r="BB20" i="12" s="1"/>
  <c r="BB21" i="12" s="1"/>
  <c r="BB22" i="12" s="1"/>
  <c r="BB17" i="12"/>
  <c r="BB12" i="12"/>
  <c r="BB16" i="12"/>
  <c r="BB14" i="12"/>
  <c r="BB13" i="12"/>
  <c r="BB15" i="12"/>
  <c r="BB23" i="12"/>
  <c r="BB11" i="12"/>
  <c r="BF17" i="12"/>
  <c r="BG10" i="12"/>
  <c r="BE10" i="12"/>
  <c r="BG11" i="12"/>
  <c r="BG9" i="12"/>
  <c r="H11" i="16" s="1"/>
  <c r="BG18" i="12"/>
  <c r="BG19" i="12" s="1"/>
  <c r="BG20" i="12" s="1"/>
  <c r="BG21" i="12" s="1"/>
  <c r="BG22" i="12" s="1"/>
  <c r="BG12" i="12"/>
  <c r="BG17" i="12"/>
  <c r="BE17" i="12"/>
  <c r="BG13" i="12"/>
  <c r="BG14" i="12"/>
  <c r="BG15" i="12"/>
  <c r="BG16" i="12"/>
  <c r="BG23" i="12"/>
  <c r="BE11" i="12"/>
  <c r="BF14" i="12"/>
  <c r="BF18" i="12"/>
  <c r="BF19" i="12" s="1"/>
  <c r="BF20" i="12" s="1"/>
  <c r="BF21" i="12" s="1"/>
  <c r="BF22" i="12" s="1"/>
  <c r="BF12" i="12"/>
  <c r="BF23" i="12"/>
  <c r="BF10" i="12"/>
  <c r="BF9" i="12"/>
  <c r="J9" i="16" s="1"/>
  <c r="BE16" i="12"/>
  <c r="BF11" i="12"/>
  <c r="BE15" i="12"/>
  <c r="BE14" i="12"/>
  <c r="BE12" i="12"/>
  <c r="BE23" i="12"/>
  <c r="BE13" i="12"/>
  <c r="BF16" i="12"/>
  <c r="BF15" i="12"/>
  <c r="J8" i="16"/>
  <c r="BF13" i="12"/>
  <c r="BE18" i="12"/>
  <c r="BE19" i="12" s="1"/>
  <c r="BE20" i="12" s="1"/>
  <c r="BE21" i="12" s="1"/>
  <c r="BE22" i="12" s="1"/>
  <c r="J10" i="16" l="1"/>
  <c r="J11" i="16" s="1"/>
  <c r="L8" i="16" s="1"/>
  <c r="BB5" i="12"/>
  <c r="D9" i="12"/>
  <c r="D10" i="12"/>
  <c r="D11" i="12"/>
  <c r="D12" i="12"/>
  <c r="D17" i="12"/>
  <c r="D13" i="12"/>
  <c r="D14" i="12"/>
  <c r="D15" i="12"/>
  <c r="D16" i="12"/>
  <c r="L9" i="16" l="1"/>
  <c r="BR22" i="12"/>
  <c r="BU13" i="12"/>
  <c r="BJ9" i="12"/>
  <c r="BJ5" i="12" s="1"/>
  <c r="BO14" i="12"/>
  <c r="BV16" i="12"/>
  <c r="BP15" i="12"/>
  <c r="BT9" i="12"/>
  <c r="BJ21" i="12"/>
  <c r="BN12" i="12"/>
  <c r="BJ19" i="12"/>
  <c r="BN19" i="12"/>
  <c r="BN18" i="12"/>
  <c r="BS18" i="12"/>
  <c r="BK11" i="12"/>
  <c r="BV11" i="12"/>
  <c r="BT17" i="12"/>
  <c r="BP17" i="12"/>
  <c r="BT20" i="12"/>
  <c r="BJ20" i="12"/>
  <c r="BQ23" i="12"/>
  <c r="BU15" i="12"/>
  <c r="BS15" i="12"/>
  <c r="BN22" i="12"/>
  <c r="BL9" i="12"/>
  <c r="BO21" i="12"/>
  <c r="BT23" i="12"/>
  <c r="BS14" i="12"/>
  <c r="BR16" i="12"/>
  <c r="BL21" i="12"/>
  <c r="BV23" i="12"/>
  <c r="BT22" i="12"/>
  <c r="BO16" i="12"/>
  <c r="BN13" i="12"/>
  <c r="BP12" i="12"/>
  <c r="BT11" i="12"/>
  <c r="BJ17" i="12"/>
  <c r="BN23" i="12"/>
  <c r="BO15" i="12"/>
  <c r="BL22" i="12"/>
  <c r="BS9" i="12"/>
  <c r="BU21" i="12"/>
  <c r="BR12" i="12"/>
  <c r="BQ18" i="12"/>
  <c r="BM11" i="12"/>
  <c r="BV17" i="12"/>
  <c r="BQ14" i="12"/>
  <c r="BT16" i="12"/>
  <c r="BL12" i="12"/>
  <c r="BS19" i="12"/>
  <c r="BP18" i="12"/>
  <c r="BP11" i="12"/>
  <c r="BN17" i="12"/>
  <c r="BU20" i="12"/>
  <c r="BS23" i="12"/>
  <c r="BO22" i="12"/>
  <c r="BO9" i="12"/>
  <c r="BL16" i="12"/>
  <c r="BQ21" i="12"/>
  <c r="BR13" i="12"/>
  <c r="BT12" i="12"/>
  <c r="BL19" i="12"/>
  <c r="BR17" i="12"/>
  <c r="BN20" i="12"/>
  <c r="BJ23" i="12"/>
  <c r="BM14" i="12"/>
  <c r="BK13" i="12"/>
  <c r="BK12" i="12"/>
  <c r="BM20" i="12"/>
  <c r="BP21" i="12"/>
  <c r="BR20" i="12"/>
  <c r="BS10" i="12"/>
  <c r="BS21" i="12"/>
  <c r="BJ22" i="12"/>
  <c r="BL20" i="12"/>
  <c r="BU18" i="12"/>
  <c r="BK21" i="12"/>
  <c r="BM22" i="12"/>
  <c r="BR18" i="12"/>
  <c r="BR21" i="12"/>
  <c r="BK17" i="12"/>
  <c r="BQ12" i="12"/>
  <c r="BP13" i="12"/>
  <c r="BJ13" i="12"/>
  <c r="BR15" i="12"/>
  <c r="BU17" i="12"/>
  <c r="BV19" i="12"/>
  <c r="BU16" i="12"/>
  <c r="BM17" i="12"/>
  <c r="BO19" i="12"/>
  <c r="BJ10" i="12"/>
  <c r="BN10" i="12"/>
  <c r="BV21" i="12"/>
  <c r="BQ17" i="12"/>
  <c r="BN21" i="12"/>
  <c r="BQ22" i="12"/>
  <c r="BO20" i="12"/>
  <c r="BM18" i="12"/>
  <c r="BM16" i="12"/>
  <c r="BL15" i="12"/>
  <c r="BM21" i="12"/>
  <c r="BL18" i="12"/>
  <c r="BJ11" i="12"/>
  <c r="BT21" i="12"/>
  <c r="BV15" i="12"/>
  <c r="BK19" i="12"/>
  <c r="BK16" i="12"/>
  <c r="BJ15" i="12"/>
  <c r="BR19" i="12"/>
  <c r="BM10" i="12"/>
  <c r="BV10" i="12"/>
  <c r="BJ16" i="12"/>
  <c r="BK15" i="12"/>
  <c r="BL17" i="12"/>
  <c r="BN16" i="12"/>
  <c r="BS20" i="12"/>
  <c r="BP16" i="12"/>
  <c r="BO23" i="12"/>
  <c r="BU11" i="12"/>
  <c r="BQ20" i="12"/>
  <c r="BL10" i="12"/>
  <c r="BR14" i="12"/>
  <c r="BS16" i="12"/>
  <c r="BR23" i="12"/>
  <c r="BO12" i="12"/>
  <c r="BU9" i="12"/>
  <c r="BN15" i="12"/>
  <c r="BV12" i="12"/>
  <c r="BR10" i="12"/>
  <c r="BK10" i="12"/>
  <c r="BV9" i="12"/>
  <c r="BM15" i="12"/>
  <c r="BU19" i="12"/>
  <c r="BQ16" i="12"/>
  <c r="BS17" i="12"/>
  <c r="BM19" i="12"/>
  <c r="BM9" i="12"/>
  <c r="BQ11" i="12"/>
  <c r="BR11" i="12"/>
  <c r="BT19" i="12"/>
  <c r="BS22" i="12"/>
  <c r="BO13" i="12"/>
  <c r="BO17" i="12"/>
  <c r="BK9" i="12"/>
  <c r="BU23" i="12"/>
  <c r="BL11" i="12"/>
  <c r="BS12" i="12"/>
  <c r="BP14" i="12"/>
  <c r="BK23" i="12"/>
  <c r="BS11" i="12"/>
  <c r="BT10" i="12"/>
  <c r="BO10" i="12"/>
  <c r="BR9" i="12"/>
  <c r="BL23" i="12"/>
  <c r="BQ19" i="12"/>
  <c r="BN9" i="12"/>
  <c r="BQ15" i="12"/>
  <c r="BJ12" i="12"/>
  <c r="BP9" i="12"/>
  <c r="BJ18" i="12"/>
  <c r="BK14" i="12"/>
  <c r="BP20" i="12"/>
  <c r="BV13" i="12"/>
  <c r="BT14" i="12"/>
  <c r="BK18" i="12"/>
  <c r="BL13" i="12"/>
  <c r="BL14" i="12"/>
  <c r="BM23" i="12"/>
  <c r="BT18" i="12"/>
  <c r="BP10" i="12"/>
  <c r="BQ10" i="12"/>
  <c r="BV14" i="12"/>
  <c r="BO11" i="12"/>
  <c r="BU12" i="12"/>
  <c r="BQ9" i="12"/>
  <c r="BT15" i="12"/>
  <c r="BM12" i="12"/>
  <c r="BU14" i="12"/>
  <c r="BV20" i="12"/>
  <c r="BP22" i="12"/>
  <c r="BO18" i="12"/>
  <c r="BQ13" i="12"/>
  <c r="BV22" i="12"/>
  <c r="BV18" i="12"/>
  <c r="BU10" i="12"/>
  <c r="BT13" i="12"/>
  <c r="BM13" i="12"/>
  <c r="BN14" i="12"/>
  <c r="BP23" i="12"/>
  <c r="BN11" i="12"/>
  <c r="BS13" i="12"/>
  <c r="BJ14" i="12"/>
  <c r="BK20" i="12"/>
  <c r="BK22" i="12"/>
  <c r="BU22" i="12"/>
  <c r="BP19" i="12"/>
  <c r="C15" i="9"/>
  <c r="BK5" i="12" l="1"/>
  <c r="BL5" i="12" s="1"/>
  <c r="C12" i="9"/>
  <c r="BM5" i="12" l="1"/>
  <c r="BN5" i="12" s="1"/>
  <c r="BO5" i="12" l="1"/>
  <c r="BP5" i="12" l="1"/>
  <c r="BQ5" i="12" s="1"/>
  <c r="BR5" i="12" s="1"/>
  <c r="BS5" i="12" l="1"/>
  <c r="BT5" i="12" s="1"/>
  <c r="BU5" i="12" s="1"/>
  <c r="BV5" i="12" s="1"/>
  <c r="BW5" i="12" s="1"/>
  <c r="T8" i="15" l="1"/>
  <c r="AE23" i="12"/>
  <c r="AF15" i="12"/>
  <c r="AE10" i="12"/>
  <c r="AE16" i="12"/>
  <c r="AF21" i="12"/>
  <c r="AE17" i="12"/>
  <c r="AE12" i="12"/>
  <c r="AE11" i="12"/>
  <c r="AE20" i="12"/>
  <c r="AH13" i="12"/>
  <c r="AG11" i="12"/>
  <c r="AG9" i="12"/>
  <c r="AH18" i="12"/>
  <c r="AH23" i="12"/>
  <c r="AH21" i="12"/>
  <c r="AG22" i="12"/>
  <c r="AF14" i="12"/>
  <c r="AG13" i="12"/>
  <c r="AH11" i="12"/>
  <c r="AH16" i="12"/>
  <c r="AG19" i="12"/>
  <c r="AG12" i="12"/>
  <c r="AH9" i="12"/>
  <c r="R11" i="15" s="1"/>
  <c r="AH19" i="12"/>
  <c r="AG17" i="12"/>
  <c r="AG20" i="12"/>
  <c r="AH12" i="12"/>
  <c r="AG16" i="12"/>
  <c r="AH22" i="12"/>
  <c r="AG10" i="12"/>
  <c r="AG23" i="12"/>
  <c r="AG14" i="12"/>
  <c r="AH15" i="12"/>
  <c r="AH17" i="12"/>
  <c r="AG15" i="12"/>
  <c r="AH20" i="12"/>
  <c r="AH14" i="12"/>
  <c r="AH10" i="12"/>
  <c r="AF22" i="12"/>
  <c r="AE19" i="12"/>
  <c r="AG21" i="12"/>
  <c r="AG18" i="12"/>
  <c r="AF13" i="12"/>
  <c r="AF11" i="12"/>
  <c r="AF12" i="12"/>
  <c r="R10" i="15" l="1"/>
  <c r="T10" i="15" s="1"/>
  <c r="S5" i="12"/>
  <c r="AR16" i="12" s="1"/>
  <c r="AF10" i="12"/>
  <c r="AF20" i="12"/>
  <c r="AQ23" i="12"/>
  <c r="AF19" i="12"/>
  <c r="AE14" i="12"/>
  <c r="AE15" i="12"/>
  <c r="AF16" i="12"/>
  <c r="AF23" i="12"/>
  <c r="AE21" i="12"/>
  <c r="AE22" i="12"/>
  <c r="AE18" i="12"/>
  <c r="AF18" i="12"/>
  <c r="AF9" i="12"/>
  <c r="T9" i="15" s="1"/>
  <c r="AF17" i="12"/>
  <c r="AE13" i="12"/>
  <c r="AN21" i="12"/>
  <c r="AS23" i="12"/>
  <c r="AL22" i="12"/>
  <c r="AU21" i="12"/>
  <c r="AO23" i="12"/>
  <c r="AP19" i="12"/>
  <c r="AL19" i="12"/>
  <c r="AR20" i="12"/>
  <c r="AP21" i="12"/>
  <c r="AO19" i="12"/>
  <c r="AP22" i="12"/>
  <c r="AR19" i="12"/>
  <c r="AM21" i="12"/>
  <c r="AP20" i="12"/>
  <c r="AS19" i="12"/>
  <c r="AV23" i="12"/>
  <c r="AT23" i="12"/>
  <c r="AR22" i="12"/>
  <c r="AS20" i="12"/>
  <c r="AK21" i="12"/>
  <c r="AM19" i="12"/>
  <c r="AJ19" i="12"/>
  <c r="AT22" i="12"/>
  <c r="AK22" i="12"/>
  <c r="AQ20" i="12"/>
  <c r="AQ21" i="12"/>
  <c r="AL20" i="12"/>
  <c r="AU20" i="12"/>
  <c r="AK23" i="12"/>
  <c r="AL23" i="12"/>
  <c r="AN22" i="12"/>
  <c r="AJ20" i="12"/>
  <c r="AP23" i="12"/>
  <c r="AQ19" i="12"/>
  <c r="AU23" i="12"/>
  <c r="AN19" i="12"/>
  <c r="AL21" i="12"/>
  <c r="AO20" i="12"/>
  <c r="AJ22" i="12"/>
  <c r="AS21" i="12"/>
  <c r="AQ22" i="12"/>
  <c r="AT21" i="12"/>
  <c r="AT19" i="12"/>
  <c r="AV20" i="12"/>
  <c r="AM23" i="12"/>
  <c r="AM22" i="12"/>
  <c r="AT20" i="12"/>
  <c r="AM20" i="12"/>
  <c r="AK20" i="12"/>
  <c r="AO21" i="12"/>
  <c r="AV19" i="12"/>
  <c r="AK19" i="12"/>
  <c r="AN20" i="12"/>
  <c r="AO22" i="12"/>
  <c r="AV21" i="12"/>
  <c r="AV22" i="12"/>
  <c r="AN23" i="12"/>
  <c r="AU22" i="12"/>
  <c r="AJ21" i="12"/>
  <c r="AS22" i="12"/>
  <c r="AJ23" i="12"/>
  <c r="AR21" i="12"/>
  <c r="AU19" i="12"/>
  <c r="AU14" i="12" l="1"/>
  <c r="AS15" i="12"/>
  <c r="AR11" i="12"/>
  <c r="AP15" i="12"/>
  <c r="AU17" i="12"/>
  <c r="AR14" i="12"/>
  <c r="AV17" i="12"/>
  <c r="AO17" i="12"/>
  <c r="AM9" i="12"/>
  <c r="AM17" i="12"/>
  <c r="AP11" i="12"/>
  <c r="AQ15" i="12"/>
  <c r="AN12" i="12"/>
  <c r="AM12" i="12"/>
  <c r="AN10" i="12"/>
  <c r="AO14" i="12"/>
  <c r="AM18" i="12"/>
  <c r="AT10" i="12"/>
  <c r="AT16" i="12"/>
  <c r="AO10" i="12"/>
  <c r="AQ17" i="12"/>
  <c r="AO18" i="12"/>
  <c r="AO16" i="12"/>
  <c r="AR13" i="12"/>
  <c r="AR12" i="12"/>
  <c r="AL14" i="12"/>
  <c r="AJ18" i="12"/>
  <c r="AM13" i="12"/>
  <c r="AR10" i="12"/>
  <c r="AK12" i="12"/>
  <c r="AT9" i="12"/>
  <c r="AK10" i="12"/>
  <c r="AL16" i="12"/>
  <c r="AS14" i="12"/>
  <c r="AJ10" i="12"/>
  <c r="AJ16" i="12"/>
  <c r="AP17" i="12"/>
  <c r="AP13" i="12"/>
  <c r="AQ10" i="12"/>
  <c r="AM16" i="12"/>
  <c r="AV15" i="12"/>
  <c r="AS12" i="12"/>
  <c r="AR15" i="12"/>
  <c r="AL10" i="12"/>
  <c r="AU16" i="12"/>
  <c r="AN16" i="12"/>
  <c r="AM10" i="12"/>
  <c r="AR17" i="12"/>
  <c r="AV11" i="12"/>
  <c r="AU18" i="12"/>
  <c r="AS13" i="12"/>
  <c r="AT13" i="12"/>
  <c r="AN13" i="12"/>
  <c r="AU12" i="12"/>
  <c r="AN15" i="12"/>
  <c r="AV9" i="12"/>
  <c r="AN17" i="12"/>
  <c r="AV10" i="12"/>
  <c r="AK9" i="12"/>
  <c r="AT17" i="12"/>
  <c r="AS16" i="12"/>
  <c r="AQ18" i="12"/>
  <c r="AV14" i="12"/>
  <c r="AM14" i="12"/>
  <c r="AN9" i="12"/>
  <c r="AS9" i="12"/>
  <c r="AT18" i="12"/>
  <c r="AK17" i="12"/>
  <c r="AK14" i="12"/>
  <c r="AS18" i="12"/>
  <c r="AL18" i="12"/>
  <c r="AT14" i="12"/>
  <c r="AU11" i="12"/>
  <c r="AV13" i="12"/>
  <c r="AV12" i="12"/>
  <c r="AO9" i="12"/>
  <c r="AU13" i="12"/>
  <c r="AN18" i="12"/>
  <c r="AK15" i="12"/>
  <c r="AT12" i="12"/>
  <c r="AM11" i="12"/>
  <c r="AP12" i="12"/>
  <c r="AL13" i="12"/>
  <c r="AV18" i="12"/>
  <c r="AO12" i="12"/>
  <c r="AK13" i="12"/>
  <c r="AQ16" i="12"/>
  <c r="AL11" i="12"/>
  <c r="AN14" i="12"/>
  <c r="AL17" i="12"/>
  <c r="AU9" i="12"/>
  <c r="AQ9" i="12"/>
  <c r="AJ13" i="12"/>
  <c r="AL9" i="12"/>
  <c r="AR9" i="12"/>
  <c r="AP14" i="12"/>
  <c r="AO15" i="12"/>
  <c r="AO13" i="12"/>
  <c r="AM15" i="12"/>
  <c r="AP9" i="12"/>
  <c r="AJ11" i="12"/>
  <c r="AL15" i="12"/>
  <c r="AJ14" i="12"/>
  <c r="AR18" i="12"/>
  <c r="AP16" i="12"/>
  <c r="AO11" i="12"/>
  <c r="AV16" i="12"/>
  <c r="AS10" i="12"/>
  <c r="AP10" i="12"/>
  <c r="AJ9" i="12"/>
  <c r="AJ5" i="12" s="1"/>
  <c r="AT15" i="12"/>
  <c r="AK16" i="12"/>
  <c r="AJ15" i="12"/>
  <c r="AQ11" i="12"/>
  <c r="AQ14" i="12"/>
  <c r="AK11" i="12"/>
  <c r="AQ13" i="12"/>
  <c r="AJ12" i="12"/>
  <c r="AU10" i="12"/>
  <c r="AN11" i="12"/>
  <c r="AS17" i="12"/>
  <c r="AU15" i="12"/>
  <c r="AQ12" i="12"/>
  <c r="AL12" i="12"/>
  <c r="AT11" i="12"/>
  <c r="AJ17" i="12"/>
  <c r="AS11" i="12"/>
  <c r="AK18" i="12"/>
  <c r="AP18" i="12"/>
  <c r="T11" i="15"/>
  <c r="V8" i="15" s="1"/>
  <c r="V9" i="15"/>
  <c r="AK5" i="12" l="1"/>
  <c r="AL5" i="12" s="1"/>
  <c r="AM5" i="12" s="1"/>
  <c r="AN5" i="12" l="1"/>
  <c r="AO5" i="12" s="1"/>
  <c r="AP5" i="12" l="1"/>
  <c r="AQ5" i="12" s="1"/>
  <c r="AR5" i="12" s="1"/>
  <c r="AS5" i="12" s="1"/>
  <c r="AT5" i="12" s="1"/>
  <c r="AU5" i="12" s="1"/>
  <c r="AV5" i="12" s="1"/>
  <c r="AW5" i="12" s="1"/>
</calcChain>
</file>

<file path=xl/sharedStrings.xml><?xml version="1.0" encoding="utf-8"?>
<sst xmlns="http://schemas.openxmlformats.org/spreadsheetml/2006/main" count="416" uniqueCount="331">
  <si>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</si>
  <si>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</si>
  <si>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</si>
  <si>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</si>
  <si>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</si>
  <si>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</si>
  <si>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</si>
  <si>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</si>
  <si>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</si>
  <si>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SIX SIGMA CALCULATOR TEMPLATE</t>
  </si>
  <si>
    <t>DPMO</t>
  </si>
  <si>
    <t>Yield</t>
  </si>
  <si>
    <t>Sigma Level</t>
  </si>
  <si>
    <t>Defect Rate</t>
  </si>
  <si>
    <t>68.2690000%</t>
  </si>
  <si>
    <t>31.7310000%</t>
  </si>
  <si>
    <t>30.23880%</t>
  </si>
  <si>
    <t>69.76120%</t>
  </si>
  <si>
    <t>72.8668000%</t>
  </si>
  <si>
    <t>27.1332000%</t>
  </si>
  <si>
    <t>33.99180%</t>
  </si>
  <si>
    <t>66.00820%</t>
  </si>
  <si>
    <t>76.9861000%</t>
  </si>
  <si>
    <t>23.0139000%</t>
  </si>
  <si>
    <t>37.86220%</t>
  </si>
  <si>
    <t>62.13780%</t>
  </si>
  <si>
    <t>80.6399000%</t>
  </si>
  <si>
    <t>19.3601000%</t>
  </si>
  <si>
    <t>41.81860%</t>
  </si>
  <si>
    <t>58.18140%</t>
  </si>
  <si>
    <t>83.8487000%</t>
  </si>
  <si>
    <t>16.1513000%</t>
  </si>
  <si>
    <t>45.83070%</t>
  </si>
  <si>
    <t>54.16930%</t>
  </si>
  <si>
    <t>86.6386000%</t>
  </si>
  <si>
    <t>13.3614000%</t>
  </si>
  <si>
    <t>49.86510%</t>
  </si>
  <si>
    <t>50.13490%</t>
  </si>
  <si>
    <t>89.0402000%</t>
  </si>
  <si>
    <t>10.9598000%</t>
  </si>
  <si>
    <t>53.88610%</t>
  </si>
  <si>
    <t>46.11390%</t>
  </si>
  <si>
    <t>91.0870000%</t>
  </si>
  <si>
    <t>8.9130000%</t>
  </si>
  <si>
    <t>57.85730%</t>
  </si>
  <si>
    <t>42.14270%</t>
  </si>
  <si>
    <t>92.8140000%</t>
  </si>
  <si>
    <t>7.1860000%</t>
  </si>
  <si>
    <t>61.74280%</t>
  </si>
  <si>
    <t>38.25720%</t>
  </si>
  <si>
    <t>94.2568000%</t>
  </si>
  <si>
    <t>5.7432000%</t>
  </si>
  <si>
    <t>65.50850%</t>
  </si>
  <si>
    <t>34.49150%</t>
  </si>
  <si>
    <t>95.4500000%</t>
  </si>
  <si>
    <t>4.5500000%</t>
  </si>
  <si>
    <t>69.12300%</t>
  </si>
  <si>
    <t>30.87700%</t>
  </si>
  <si>
    <t>96.4272000%</t>
  </si>
  <si>
    <t>3.5728000%</t>
  </si>
  <si>
    <t>72.55880%</t>
  </si>
  <si>
    <t>27.44120%</t>
  </si>
  <si>
    <t>97.2194000%</t>
  </si>
  <si>
    <t>2.7806000%</t>
  </si>
  <si>
    <t>75.79290%</t>
  </si>
  <si>
    <t>24.20710%</t>
  </si>
  <si>
    <t>97.8552000%</t>
  </si>
  <si>
    <t>2.1448000%</t>
  </si>
  <si>
    <t>78.80730%</t>
  </si>
  <si>
    <t>21.19270%</t>
  </si>
  <si>
    <t>98.3605000%</t>
  </si>
  <si>
    <t>1.6395000%</t>
  </si>
  <si>
    <t>81.58920%</t>
  </si>
  <si>
    <t>18.41080%</t>
  </si>
  <si>
    <t>98.7581000%</t>
  </si>
  <si>
    <t>1.2419000%</t>
  </si>
  <si>
    <t>84.13140%</t>
  </si>
  <si>
    <t>15.86860%</t>
  </si>
  <si>
    <t>99.0678000%</t>
  </si>
  <si>
    <t>0.9322000%</t>
  </si>
  <si>
    <t>86.43140%</t>
  </si>
  <si>
    <t>13.56860%</t>
  </si>
  <si>
    <t>99.3066000%</t>
  </si>
  <si>
    <t>0.6934000%</t>
  </si>
  <si>
    <t>88.49170%</t>
  </si>
  <si>
    <t>11.50830%</t>
  </si>
  <si>
    <t>99.4890000%</t>
  </si>
  <si>
    <t>0.5110000%</t>
  </si>
  <si>
    <t>90.31910%</t>
  </si>
  <si>
    <t>9.68090%</t>
  </si>
  <si>
    <t>99.6269000%</t>
  </si>
  <si>
    <t>0.3731000%</t>
  </si>
  <si>
    <t>91.92380%</t>
  </si>
  <si>
    <t>8.07620%</t>
  </si>
  <si>
    <t>99.7301000%</t>
  </si>
  <si>
    <t>0.2699000%</t>
  </si>
  <si>
    <t>93.31900%</t>
  </si>
  <si>
    <t>6.68100%</t>
  </si>
  <si>
    <t>99.8065000%</t>
  </si>
  <si>
    <t>0.1935000%</t>
  </si>
  <si>
    <t>94.51990%</t>
  </si>
  <si>
    <t>5.48010%</t>
  </si>
  <si>
    <t>99.8626000%</t>
  </si>
  <si>
    <t>0.1374000%</t>
  </si>
  <si>
    <t>95.54340%</t>
  </si>
  <si>
    <t>4.45660%</t>
  </si>
  <si>
    <t>99.9034000%</t>
  </si>
  <si>
    <t>0.0966000%</t>
  </si>
  <si>
    <t>96.40690%</t>
  </si>
  <si>
    <t>3.59310%</t>
  </si>
  <si>
    <t>99.9327000%</t>
  </si>
  <si>
    <t>0.0673000%</t>
  </si>
  <si>
    <t>97.12840%</t>
  </si>
  <si>
    <t>2.87160%</t>
  </si>
  <si>
    <t>99.9535000%</t>
  </si>
  <si>
    <t>0.0465000%</t>
  </si>
  <si>
    <t>97.72500%</t>
  </si>
  <si>
    <t>2.27500%</t>
  </si>
  <si>
    <t>99.9682000%</t>
  </si>
  <si>
    <t>0.0318000%</t>
  </si>
  <si>
    <t>98.21360%</t>
  </si>
  <si>
    <t>1.78640%</t>
  </si>
  <si>
    <t>99.9785000%</t>
  </si>
  <si>
    <t>0.0215000%</t>
  </si>
  <si>
    <t>98.60970%</t>
  </si>
  <si>
    <t>1.39030%</t>
  </si>
  <si>
    <t>99.9856000%</t>
  </si>
  <si>
    <t>0.0144000%</t>
  </si>
  <si>
    <t>98.92760%</t>
  </si>
  <si>
    <t>1.07240%</t>
  </si>
  <si>
    <t>99.9904000%</t>
  </si>
  <si>
    <t>0.0096000%</t>
  </si>
  <si>
    <t>99.18030%</t>
  </si>
  <si>
    <t>0.81970%</t>
  </si>
  <si>
    <t>99.9937000%</t>
  </si>
  <si>
    <t>0.0063000%</t>
  </si>
  <si>
    <t>99.37910%</t>
  </si>
  <si>
    <t>0.62090%</t>
  </si>
  <si>
    <t>99.9959000%</t>
  </si>
  <si>
    <t>0.0041000%</t>
  </si>
  <si>
    <t>99.53390%</t>
  </si>
  <si>
    <t>0.46610%</t>
  </si>
  <si>
    <t>99.9974000%</t>
  </si>
  <si>
    <t>0.0026000%</t>
  </si>
  <si>
    <t>99.65330%</t>
  </si>
  <si>
    <t>0.34670%</t>
  </si>
  <si>
    <t>99.9983000%</t>
  </si>
  <si>
    <t>0.0017000%</t>
  </si>
  <si>
    <t>99.74450%</t>
  </si>
  <si>
    <t>0.25550%</t>
  </si>
  <si>
    <t>99.9990000%</t>
  </si>
  <si>
    <t>0.0010000%</t>
  </si>
  <si>
    <t>99.81350%</t>
  </si>
  <si>
    <t>0.18650%</t>
  </si>
  <si>
    <t>99.9994000%</t>
  </si>
  <si>
    <t>0.0006000%</t>
  </si>
  <si>
    <t>99.86510%</t>
  </si>
  <si>
    <t>0.13490%</t>
  </si>
  <si>
    <t>99.9996000%</t>
  </si>
  <si>
    <t>0.0004000%</t>
  </si>
  <si>
    <t>99.90330%</t>
  </si>
  <si>
    <t>0.09670%</t>
  </si>
  <si>
    <t>99.9998000%</t>
  </si>
  <si>
    <t>0.0002000%</t>
  </si>
  <si>
    <t>99.93130%</t>
  </si>
  <si>
    <t>0.06870%</t>
  </si>
  <si>
    <t>99.9999000%</t>
  </si>
  <si>
    <t>0.0001000%</t>
  </si>
  <si>
    <t>99.95170%</t>
  </si>
  <si>
    <t>0.04830%</t>
  </si>
  <si>
    <t>99.9999040%</t>
  </si>
  <si>
    <t>0.0000960%</t>
  </si>
  <si>
    <t>99.96640%</t>
  </si>
  <si>
    <t>0.03360%</t>
  </si>
  <si>
    <t>99.9999426%</t>
  </si>
  <si>
    <t>0.0000574%</t>
  </si>
  <si>
    <t>99.97680%</t>
  </si>
  <si>
    <t>0.02320%</t>
  </si>
  <si>
    <t>99.9999660%</t>
  </si>
  <si>
    <t>0.0000340%</t>
  </si>
  <si>
    <t>99.98410%</t>
  </si>
  <si>
    <t>0.01590%</t>
  </si>
  <si>
    <t>99.9999800%</t>
  </si>
  <si>
    <t>0.0000200%</t>
  </si>
  <si>
    <t>99.98930%</t>
  </si>
  <si>
    <t>0.01070%</t>
  </si>
  <si>
    <t>99.9999884%</t>
  </si>
  <si>
    <t>0.0000116%</t>
  </si>
  <si>
    <t>99.99280%</t>
  </si>
  <si>
    <t>0.00720%</t>
  </si>
  <si>
    <t>99.9999933%</t>
  </si>
  <si>
    <t>0.0000067%</t>
  </si>
  <si>
    <t>99.99520%</t>
  </si>
  <si>
    <t>0.00480%</t>
  </si>
  <si>
    <t>99.9999962%</t>
  </si>
  <si>
    <t>0.0000038%</t>
  </si>
  <si>
    <t>99.99690%</t>
  </si>
  <si>
    <t>0.00310%</t>
  </si>
  <si>
    <t>99.9999979%</t>
  </si>
  <si>
    <t>0.0000021%</t>
  </si>
  <si>
    <t>99.99800%</t>
  </si>
  <si>
    <t>0.00200%</t>
  </si>
  <si>
    <t>99.9999988%</t>
  </si>
  <si>
    <t>0.0000012%</t>
  </si>
  <si>
    <t>99.99867%</t>
  </si>
  <si>
    <t>0.00134%</t>
  </si>
  <si>
    <t>99.9999993%</t>
  </si>
  <si>
    <t>0.0000007%</t>
  </si>
  <si>
    <t>99.99915%</t>
  </si>
  <si>
    <t>0.00086%</t>
  </si>
  <si>
    <t>99.9999996%</t>
  </si>
  <si>
    <t>0.0000004%</t>
  </si>
  <si>
    <t>99.99946%</t>
  </si>
  <si>
    <t>0.00054%</t>
  </si>
  <si>
    <t>99.9999998%</t>
  </si>
  <si>
    <t>0.0000002%</t>
  </si>
  <si>
    <t>99.99966%</t>
  </si>
  <si>
    <t>0.00034%</t>
  </si>
  <si>
    <t>Range</t>
  </si>
  <si>
    <t>Unit</t>
  </si>
  <si>
    <t>Data Type</t>
  </si>
  <si>
    <t>Z</t>
  </si>
  <si>
    <t>mm</t>
  </si>
  <si>
    <t>X1</t>
  </si>
  <si>
    <t>X2</t>
  </si>
  <si>
    <t>X3</t>
  </si>
  <si>
    <t>X4</t>
  </si>
  <si>
    <t>X5</t>
  </si>
  <si>
    <t>Data Input Area</t>
  </si>
  <si>
    <t>X-bar</t>
  </si>
  <si>
    <t>R</t>
  </si>
  <si>
    <t>Statistics</t>
  </si>
  <si>
    <t>X̅</t>
  </si>
  <si>
    <t>R̄</t>
  </si>
  <si>
    <t>UCL-X</t>
  </si>
  <si>
    <t>LCL-X</t>
  </si>
  <si>
    <t>UCL-R</t>
  </si>
  <si>
    <t>Cp</t>
  </si>
  <si>
    <t>Cpk</t>
  </si>
  <si>
    <t>Pp</t>
  </si>
  <si>
    <t>Ppk</t>
  </si>
  <si>
    <t>s</t>
  </si>
  <si>
    <t>3s</t>
  </si>
  <si>
    <t>6s</t>
  </si>
  <si>
    <t>Continuous</t>
  </si>
  <si>
    <t>SIMPLE CALCULATOR</t>
  </si>
  <si>
    <t>SIX SIGMA LEVELS</t>
  </si>
  <si>
    <t>Measured, X-bar, R chart</t>
  </si>
  <si>
    <t>ADVANCED CHARTS</t>
  </si>
  <si>
    <t>sorted</t>
  </si>
  <si>
    <t>Xbar-6s</t>
  </si>
  <si>
    <t>Xbar-3s</t>
  </si>
  <si>
    <t>Xbar</t>
  </si>
  <si>
    <t>Xbar+3s</t>
  </si>
  <si>
    <t>Xbar+6s</t>
  </si>
  <si>
    <t>X6</t>
  </si>
  <si>
    <t>X7</t>
  </si>
  <si>
    <t>X8</t>
  </si>
  <si>
    <t>X9</t>
  </si>
  <si>
    <t>X10</t>
  </si>
  <si>
    <t>Measurement</t>
  </si>
  <si>
    <t>MR</t>
  </si>
  <si>
    <t>Measured, X- MR chart</t>
  </si>
  <si>
    <t>LCL-R</t>
  </si>
  <si>
    <t>Number of Defectives</t>
  </si>
  <si>
    <t>Day / Lot</t>
  </si>
  <si>
    <t>Lot Size</t>
  </si>
  <si>
    <t>Chart Data Points</t>
  </si>
  <si>
    <t>Defective Rate</t>
  </si>
  <si>
    <t>Average, p</t>
  </si>
  <si>
    <t>UCL-p</t>
  </si>
  <si>
    <t>LCL-p</t>
  </si>
  <si>
    <t>MR-ave</t>
  </si>
  <si>
    <t>P CHART</t>
  </si>
  <si>
    <t>U CHART</t>
  </si>
  <si>
    <t>Number of Defective Units, D</t>
  </si>
  <si>
    <t>Lot Size, n</t>
  </si>
  <si>
    <t>Units, n</t>
  </si>
  <si>
    <t>Sample</t>
  </si>
  <si>
    <t>Total Defects, C</t>
  </si>
  <si>
    <t>Defects per Unit</t>
  </si>
  <si>
    <t>Average, U</t>
  </si>
  <si>
    <t>Defects per Unit, U</t>
  </si>
  <si>
    <t>UCL-U</t>
  </si>
  <si>
    <t>LCL-U</t>
  </si>
  <si>
    <t>Defective Rate, P</t>
  </si>
  <si>
    <t>Average, P</t>
  </si>
  <si>
    <t>Average, X̅</t>
  </si>
  <si>
    <t>X-bar, R CHART</t>
  </si>
  <si>
    <t>X, MR CHART</t>
  </si>
  <si>
    <t>Measurements</t>
  </si>
  <si>
    <t>Long Term (without 1.5 Sigma Shift)</t>
  </si>
  <si>
    <t>Short Term (with 1.5 Sigma Shift)</t>
  </si>
  <si>
    <t>Constants for Cpk-Ppk Calculations</t>
  </si>
  <si>
    <t>Z-scores for simple 6 sigma calculation</t>
  </si>
  <si>
    <t>Constant multipliers for 6 sigma distribution diagram</t>
  </si>
  <si>
    <t>Number of samples</t>
  </si>
  <si>
    <t>Std.dev</t>
  </si>
  <si>
    <t>max</t>
  </si>
  <si>
    <t>Distribution Diagram, Number of Data in Ranges</t>
  </si>
  <si>
    <t>Xbar-5s</t>
  </si>
  <si>
    <t>Xbar-4s</t>
  </si>
  <si>
    <t>Xbar-2s</t>
  </si>
  <si>
    <t>Xbar-1s</t>
  </si>
  <si>
    <t>Xbar+1s</t>
  </si>
  <si>
    <t>Xbar+2s</t>
  </si>
  <si>
    <t>Xbar+4s</t>
  </si>
  <si>
    <t>Xbar+5s</t>
  </si>
  <si>
    <t>Measured, X-bar, R chart, Distribution Diagram Ranges</t>
  </si>
  <si>
    <t>Number of Lots</t>
  </si>
  <si>
    <t>Number of Sample</t>
  </si>
  <si>
    <t>Counted, P chart</t>
  </si>
  <si>
    <t>Counted, U chart</t>
  </si>
  <si>
    <r>
      <t xml:space="preserve">Specifications </t>
    </r>
    <r>
      <rPr>
        <b/>
        <i/>
        <sz val="10"/>
        <color theme="0"/>
        <rFont val="Arial"/>
        <family val="2"/>
        <scheme val="minor"/>
      </rPr>
      <t>(for reference)</t>
    </r>
  </si>
  <si>
    <t>MEASURED DATA</t>
  </si>
  <si>
    <t>COUNTED DATA</t>
  </si>
  <si>
    <t>MENU</t>
  </si>
  <si>
    <t>Number of Measurements</t>
  </si>
  <si>
    <t>Index</t>
  </si>
  <si>
    <t>Target</t>
  </si>
  <si>
    <t>Lower Limit</t>
  </si>
  <si>
    <t>Upper Limit</t>
  </si>
  <si>
    <t>X-MR</t>
  </si>
  <si>
    <t>Xbar-R</t>
  </si>
  <si>
    <t>P-chart</t>
  </si>
  <si>
    <t>U-chart</t>
  </si>
  <si>
    <t>Print Area settings</t>
  </si>
  <si>
    <t>Mean, UCL-P</t>
  </si>
  <si>
    <t>Mean, LCL-P</t>
  </si>
  <si>
    <t>Mean, UCL-U</t>
  </si>
  <si>
    <t>Mean, LCL-U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</si>
</sst>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"/>
    <numFmt numFmtId="165" formatCode="0.000"/>
    <numFmt numFmtId="166" formatCode="0.00000"/>
    <numFmt numFmtId="167" formatCode="#,##0.0"/>
    <numFmt numFmtId="168" formatCode="#,##0.0000"/>
    <numFmt numFmtId="169" formatCode="0.0000"/>
    <numFmt numFmtId="170" formatCode="#,##0.000"/>
  </numFmts>
  <fonts count="4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i/>
      <sz val="11"/>
      <color theme="4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b/>
      <sz val="11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8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1"/>
      <color theme="4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i/>
      <sz val="1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0"/>
      <color theme="0"/>
      <name val="Arial"/>
      <family val="2"/>
      <scheme val="minor"/>
    </font>
    <font>
      <i/>
      <sz val="11"/>
      <color theme="2" tint="-0.499984740745262"/>
      <name val="Arial"/>
      <family val="2"/>
      <scheme val="minor"/>
    </font>
    <font>
      <sz val="11"/>
      <color theme="2" tint="-0.499984740745262"/>
      <name val="Arial"/>
      <family val="2"/>
      <scheme val="minor"/>
    </font>
    <font>
      <sz val="11"/>
      <color theme="0" tint="-0.499984740745262"/>
      <name val="Arial"/>
      <family val="2"/>
      <scheme val="minor"/>
    </font>
    <font>
      <i/>
      <sz val="11"/>
      <color theme="0" tint="-0.499984740745262"/>
      <name val="Arial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2" tint="-0.49998474074526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2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2" tint="-0.499984740745262"/>
      </right>
      <top style="thin">
        <color theme="0" tint="-0.14996795556505021"/>
      </top>
      <bottom style="thin">
        <color auto="1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indexed="64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2" tint="-0.24994659260841701"/>
      </bottom>
      <diagonal/>
    </border>
    <border>
      <left style="thin">
        <color theme="3"/>
      </left>
      <right style="thin">
        <color theme="3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3"/>
      </left>
      <right style="thin">
        <color theme="3"/>
      </right>
      <top style="thin">
        <color theme="2" tint="-0.24994659260841701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0" tint="-0.34998626667073579"/>
      </bottom>
      <diagonal/>
    </border>
    <border>
      <left style="thin">
        <color theme="3"/>
      </left>
      <right style="thin">
        <color theme="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3"/>
      </left>
      <right style="thin">
        <color theme="3"/>
      </right>
      <top style="thin">
        <color theme="0" tint="-0.34998626667073579"/>
      </top>
      <bottom style="thin">
        <color theme="3"/>
      </bottom>
      <diagonal/>
    </border>
    <border>
      <left style="thin">
        <color theme="3"/>
      </left>
      <right style="thin">
        <color theme="2" tint="-0.24994659260841701"/>
      </right>
      <top style="thin">
        <color theme="3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3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3"/>
      </right>
      <top style="thin">
        <color theme="3"/>
      </top>
      <bottom style="thin">
        <color theme="2" tint="-0.24994659260841701"/>
      </bottom>
      <diagonal/>
    </border>
    <border>
      <left style="thin">
        <color theme="3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3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3"/>
      </left>
      <right style="thin">
        <color theme="2" tint="-0.24994659260841701"/>
      </right>
      <top style="thin">
        <color theme="2" tint="-0.24994659260841701"/>
      </top>
      <bottom style="thin">
        <color theme="3"/>
      </bottom>
      <diagonal/>
    </border>
    <border>
      <left style="thin">
        <color theme="2" tint="-0.24994659260841701"/>
      </left>
      <right style="thin">
        <color theme="3"/>
      </right>
      <top style="thin">
        <color theme="2" tint="-0.24994659260841701"/>
      </top>
      <bottom style="thin">
        <color theme="3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3"/>
      </bottom>
      <diagonal/>
    </border>
    <border>
      <left style="thin">
        <color theme="3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3"/>
      </left>
      <right/>
      <top style="thin">
        <color theme="2" tint="-0.24994659260841701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 style="thin">
        <color theme="0" tint="-0.24994659260841701"/>
      </right>
      <top style="thin">
        <color theme="3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3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3"/>
      </right>
      <top style="thin">
        <color theme="3"/>
      </top>
      <bottom style="thin">
        <color theme="0" tint="-0.24994659260841701"/>
      </bottom>
      <diagonal/>
    </border>
    <border>
      <left style="thin">
        <color theme="3"/>
      </left>
      <right style="thin">
        <color theme="0" tint="-0.24994659260841701"/>
      </right>
      <top style="thin">
        <color theme="0" tint="-0.24994659260841701"/>
      </top>
      <bottom style="thin">
        <color theme="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3"/>
      </bottom>
      <diagonal/>
    </border>
    <border>
      <left style="thin">
        <color theme="0" tint="-0.24994659260841701"/>
      </left>
      <right style="thin">
        <color theme="3"/>
      </right>
      <top style="thin">
        <color theme="0" tint="-0.24994659260841701"/>
      </top>
      <bottom style="thin">
        <color theme="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 style="thin">
        <color theme="0" tint="-4.9989318521683403E-2"/>
      </right>
      <top style="thin">
        <color theme="0" tint="-0.2499465926084170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4659260841701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24994659260841701"/>
      </right>
      <top style="thin">
        <color theme="0" tint="-0.24994659260841701"/>
      </top>
      <bottom style="thin">
        <color theme="0" tint="-4.9989318521683403E-2"/>
      </bottom>
      <diagonal/>
    </border>
    <border>
      <left style="thin">
        <color theme="0" tint="-0.2499465926084170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2499465926084170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 style="thin">
        <color theme="0" tint="-4.9989318521683403E-2"/>
      </right>
      <top style="thin">
        <color theme="0" tint="-4.9989318521683403E-2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0.24994659260841701"/>
      </right>
      <top style="thin">
        <color theme="0" tint="-4.9989318521683403E-2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4.9989318521683403E-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3"/>
      </left>
      <right style="thin">
        <color theme="2" tint="-9.9948118533890809E-2"/>
      </right>
      <top style="thin">
        <color theme="3"/>
      </top>
      <bottom/>
      <diagonal/>
    </border>
    <border>
      <left style="thin">
        <color theme="2" tint="-9.9948118533890809E-2"/>
      </left>
      <right style="thin">
        <color theme="3"/>
      </right>
      <top style="thin">
        <color theme="3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499984740745262"/>
      </bottom>
      <diagonal/>
    </border>
    <border>
      <left style="thin">
        <color rgb="FFA6A6A6"/>
      </left>
      <right style="thin">
        <color theme="0" tint="-0.499984740745262"/>
      </right>
      <top style="thin">
        <color rgb="FFA6A6A6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theme="0" tint="-0.499984740745262"/>
      </right>
      <top/>
      <bottom style="thin">
        <color rgb="FFA6A6A6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rgb="FFA6A6A6"/>
      </right>
      <top style="thin">
        <color theme="0" tint="-0.499984740745262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theme="0" tint="-0.499984740745262"/>
      </top>
      <bottom style="thin">
        <color rgb="FFA6A6A6"/>
      </bottom>
      <diagonal/>
    </border>
    <border>
      <left style="thin">
        <color rgb="FFA6A6A6"/>
      </left>
      <right style="thin">
        <color theme="0" tint="-0.24994659260841701"/>
      </right>
      <top style="thin">
        <color theme="0" tint="-0.499984740745262"/>
      </top>
      <bottom style="thin">
        <color rgb="FFA6A6A6"/>
      </bottom>
      <diagonal/>
    </border>
    <border>
      <left style="thin">
        <color theme="0" tint="-0.2499465926084170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0" tint="-0.24994659260841701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384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26" fillId="0" borderId="0" xfId="0" applyFont="1"/>
    <xf numFmtId="0" fontId="24" fillId="0" borderId="0" xfId="0" applyFont="1"/>
    <xf numFmtId="0" fontId="1" fillId="12" borderId="1" xfId="6" applyFill="1" applyBorder="1" applyAlignment="1">
      <alignment horizontal="center" vertical="center"/>
    </xf>
    <xf numFmtId="165" fontId="23" fillId="0" borderId="0" xfId="0" applyNumberFormat="1" applyFont="1" applyProtection="1">
      <protection hidden="1"/>
    </xf>
    <xf numFmtId="0" fontId="6" fillId="0" borderId="64" xfId="0" applyFont="1" applyBorder="1" applyAlignment="1">
      <alignment horizontal="center" vertical="center"/>
    </xf>
    <xf numFmtId="0" fontId="6" fillId="2" borderId="0" xfId="0" applyFont="1" applyFill="1" applyAlignment="1" applyProtection="1">
      <alignment vertical="center"/>
      <protection hidden="1"/>
    </xf>
    <xf numFmtId="49" fontId="6" fillId="2" borderId="0" xfId="0" applyNumberFormat="1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49" fontId="11" fillId="3" borderId="0" xfId="0" applyNumberFormat="1" applyFont="1" applyFill="1" applyAlignment="1" applyProtection="1">
      <alignment horizontal="left" vertical="center" indent="1"/>
      <protection hidden="1"/>
    </xf>
    <xf numFmtId="49" fontId="11" fillId="3" borderId="0" xfId="0" applyNumberFormat="1" applyFont="1" applyFill="1" applyAlignment="1" applyProtection="1">
      <alignment horizontal="left" vertical="center" indent="3"/>
      <protection hidden="1"/>
    </xf>
    <xf numFmtId="0" fontId="22" fillId="3" borderId="0" xfId="0" applyFont="1" applyFill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vertical="center"/>
      <protection hidden="1"/>
    </xf>
    <xf numFmtId="49" fontId="8" fillId="5" borderId="0" xfId="0" applyNumberFormat="1" applyFont="1" applyFill="1" applyAlignment="1" applyProtection="1">
      <alignment horizontal="left" vertical="center" indent="1"/>
      <protection hidden="1"/>
    </xf>
    <xf numFmtId="49" fontId="8" fillId="5" borderId="0" xfId="0" applyNumberFormat="1" applyFont="1" applyFill="1" applyAlignment="1" applyProtection="1">
      <alignment horizontal="left" vertical="center" indent="3"/>
      <protection hidden="1"/>
    </xf>
    <xf numFmtId="0" fontId="8" fillId="5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5" fillId="2" borderId="0" xfId="1" applyFill="1" applyAlignment="1" applyProtection="1">
      <alignment vertical="center"/>
      <protection hidden="1"/>
    </xf>
    <xf numFmtId="0" fontId="6" fillId="2" borderId="0" xfId="0" applyFont="1" applyFill="1" applyProtection="1">
      <protection hidden="1"/>
    </xf>
    <xf numFmtId="0" fontId="0" fillId="0" borderId="1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0" xfId="0" applyProtection="1">
      <protection hidden="1"/>
    </xf>
    <xf numFmtId="0" fontId="0" fillId="0" borderId="5" xfId="0" applyBorder="1" applyProtection="1">
      <protection hidden="1"/>
    </xf>
    <xf numFmtId="0" fontId="0" fillId="0" borderId="7" xfId="0" applyBorder="1" applyAlignment="1" applyProtection="1">
      <alignment horizontal="centerContinuous"/>
      <protection hidden="1"/>
    </xf>
    <xf numFmtId="0" fontId="0" fillId="0" borderId="4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hidden="1"/>
    </xf>
    <xf numFmtId="0" fontId="28" fillId="10" borderId="12" xfId="0" applyFont="1" applyFill="1" applyBorder="1" applyAlignment="1" applyProtection="1">
      <alignment horizontal="left" vertical="center"/>
      <protection hidden="1"/>
    </xf>
    <xf numFmtId="0" fontId="25" fillId="0" borderId="7" xfId="0" applyFont="1" applyBorder="1" applyAlignment="1" applyProtection="1">
      <alignment horizontal="centerContinuous"/>
      <protection hidden="1"/>
    </xf>
    <xf numFmtId="0" fontId="28" fillId="11" borderId="37" xfId="0" applyFont="1" applyFill="1" applyBorder="1" applyAlignment="1" applyProtection="1">
      <alignment vertical="center"/>
      <protection hidden="1"/>
    </xf>
    <xf numFmtId="0" fontId="28" fillId="11" borderId="31" xfId="0" applyFont="1" applyFill="1" applyBorder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28" fillId="11" borderId="34" xfId="0" applyFont="1" applyFill="1" applyBorder="1" applyAlignment="1" applyProtection="1">
      <alignment vertical="center"/>
      <protection hidden="1"/>
    </xf>
    <xf numFmtId="0" fontId="28" fillId="11" borderId="35" xfId="0" applyFont="1" applyFill="1" applyBorder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165" fontId="0" fillId="0" borderId="5" xfId="0" applyNumberFormat="1" applyBorder="1" applyProtection="1">
      <protection hidden="1"/>
    </xf>
    <xf numFmtId="0" fontId="28" fillId="11" borderId="32" xfId="0" applyFont="1" applyFill="1" applyBorder="1" applyAlignment="1" applyProtection="1">
      <alignment vertical="center"/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6" fillId="2" borderId="0" xfId="0" quotePrefix="1" applyFont="1" applyFill="1" applyProtection="1">
      <protection hidden="1"/>
    </xf>
    <xf numFmtId="0" fontId="0" fillId="7" borderId="0" xfId="0" applyFill="1" applyProtection="1">
      <protection hidden="1"/>
    </xf>
    <xf numFmtId="0" fontId="10" fillId="7" borderId="0" xfId="2" applyFont="1" applyFill="1" applyBorder="1" applyAlignment="1" applyProtection="1">
      <alignment vertical="center"/>
      <protection hidden="1"/>
    </xf>
    <xf numFmtId="0" fontId="0" fillId="7" borderId="0" xfId="0" applyFill="1" applyAlignment="1" applyProtection="1">
      <alignment horizont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24" fillId="8" borderId="1" xfId="0" applyFont="1" applyFill="1" applyBorder="1" applyAlignment="1" applyProtection="1">
      <alignment horizontal="centerContinuous"/>
      <protection hidden="1"/>
    </xf>
    <xf numFmtId="0" fontId="24" fillId="8" borderId="2" xfId="0" applyFont="1" applyFill="1" applyBorder="1" applyAlignment="1" applyProtection="1">
      <alignment horizontal="centerContinuous"/>
      <protection hidden="1"/>
    </xf>
    <xf numFmtId="0" fontId="24" fillId="8" borderId="3" xfId="0" applyFont="1" applyFill="1" applyBorder="1" applyAlignment="1" applyProtection="1">
      <alignment horizontal="centerContinuous"/>
      <protection hidden="1"/>
    </xf>
    <xf numFmtId="0" fontId="24" fillId="9" borderId="1" xfId="0" applyFont="1" applyFill="1" applyBorder="1" applyAlignment="1" applyProtection="1">
      <alignment horizontal="centerContinuous"/>
      <protection hidden="1"/>
    </xf>
    <xf numFmtId="0" fontId="24" fillId="9" borderId="2" xfId="0" applyFont="1" applyFill="1" applyBorder="1" applyAlignment="1" applyProtection="1">
      <alignment horizontal="centerContinuous"/>
      <protection hidden="1"/>
    </xf>
    <xf numFmtId="0" fontId="0" fillId="9" borderId="3" xfId="0" applyFill="1" applyBorder="1" applyAlignment="1" applyProtection="1">
      <alignment horizontal="centerContinuous"/>
      <protection hidden="1"/>
    </xf>
    <xf numFmtId="0" fontId="24" fillId="8" borderId="13" xfId="0" applyFont="1" applyFill="1" applyBorder="1" applyAlignment="1" applyProtection="1">
      <alignment horizontal="center" vertical="center"/>
      <protection hidden="1"/>
    </xf>
    <xf numFmtId="0" fontId="24" fillId="8" borderId="14" xfId="0" applyFont="1" applyFill="1" applyBorder="1" applyAlignment="1" applyProtection="1">
      <alignment horizontal="center" vertical="center"/>
      <protection hidden="1"/>
    </xf>
    <xf numFmtId="0" fontId="24" fillId="8" borderId="15" xfId="0" applyFont="1" applyFill="1" applyBorder="1" applyAlignment="1" applyProtection="1">
      <alignment horizontal="center" vertical="center"/>
      <protection hidden="1"/>
    </xf>
    <xf numFmtId="0" fontId="24" fillId="9" borderId="14" xfId="0" applyFont="1" applyFill="1" applyBorder="1" applyAlignment="1" applyProtection="1">
      <alignment horizontal="center" vertical="center"/>
      <protection hidden="1"/>
    </xf>
    <xf numFmtId="0" fontId="24" fillId="9" borderId="15" xfId="0" applyFont="1" applyFill="1" applyBorder="1" applyAlignment="1" applyProtection="1">
      <alignment horizontal="center" vertical="center"/>
      <protection hidden="1"/>
    </xf>
    <xf numFmtId="164" fontId="0" fillId="0" borderId="16" xfId="0" applyNumberFormat="1" applyBorder="1" applyAlignment="1" applyProtection="1">
      <alignment horizontal="center" vertical="center"/>
      <protection hidden="1"/>
    </xf>
    <xf numFmtId="164" fontId="0" fillId="0" borderId="19" xfId="0" applyNumberFormat="1" applyBorder="1" applyAlignment="1" applyProtection="1">
      <alignment horizontal="center" vertical="center"/>
      <protection hidden="1"/>
    </xf>
    <xf numFmtId="0" fontId="6" fillId="0" borderId="4" xfId="0" applyFont="1" applyBorder="1" applyProtection="1">
      <protection hidden="1"/>
    </xf>
    <xf numFmtId="0" fontId="6" fillId="0" borderId="5" xfId="0" applyFont="1" applyBorder="1" applyProtection="1">
      <protection hidden="1"/>
    </xf>
    <xf numFmtId="164" fontId="0" fillId="0" borderId="22" xfId="0" applyNumberFormat="1" applyBorder="1" applyAlignment="1" applyProtection="1">
      <alignment horizontal="center" vertical="center"/>
      <protection hidden="1"/>
    </xf>
    <xf numFmtId="0" fontId="6" fillId="0" borderId="6" xfId="0" applyFont="1" applyBorder="1" applyProtection="1">
      <protection hidden="1"/>
    </xf>
    <xf numFmtId="0" fontId="6" fillId="0" borderId="7" xfId="0" applyFont="1" applyBorder="1" applyProtection="1">
      <protection hidden="1"/>
    </xf>
    <xf numFmtId="0" fontId="6" fillId="0" borderId="8" xfId="0" applyFont="1" applyBorder="1" applyProtection="1">
      <protection hidden="1"/>
    </xf>
    <xf numFmtId="49" fontId="11" fillId="3" borderId="0" xfId="0" applyNumberFormat="1" applyFont="1" applyFill="1" applyAlignment="1" applyProtection="1">
      <alignment vertical="center"/>
      <protection hidden="1"/>
    </xf>
    <xf numFmtId="0" fontId="20" fillId="4" borderId="0" xfId="0" applyFont="1" applyFill="1" applyAlignment="1" applyProtection="1">
      <alignment horizontal="right" vertical="center"/>
      <protection hidden="1"/>
    </xf>
    <xf numFmtId="49" fontId="8" fillId="5" borderId="0" xfId="0" applyNumberFormat="1" applyFont="1" applyFill="1" applyAlignment="1" applyProtection="1">
      <alignment vertical="center"/>
      <protection hidden="1"/>
    </xf>
    <xf numFmtId="0" fontId="21" fillId="6" borderId="0" xfId="0" applyFont="1" applyFill="1" applyAlignment="1" applyProtection="1">
      <alignment horizontal="right" vertical="center"/>
      <protection hidden="1"/>
    </xf>
    <xf numFmtId="0" fontId="34" fillId="10" borderId="45" xfId="0" applyFont="1" applyFill="1" applyBorder="1" applyAlignment="1" applyProtection="1">
      <alignment horizontal="centerContinuous" vertical="center"/>
      <protection hidden="1"/>
    </xf>
    <xf numFmtId="0" fontId="35" fillId="10" borderId="46" xfId="0" applyFont="1" applyFill="1" applyBorder="1" applyAlignment="1" applyProtection="1">
      <alignment horizontal="centerContinuous"/>
      <protection hidden="1"/>
    </xf>
    <xf numFmtId="0" fontId="0" fillId="10" borderId="47" xfId="0" applyFill="1" applyBorder="1" applyAlignment="1" applyProtection="1">
      <alignment horizontal="centerContinuous"/>
      <protection hidden="1"/>
    </xf>
    <xf numFmtId="0" fontId="28" fillId="11" borderId="48" xfId="0" applyFont="1" applyFill="1" applyBorder="1" applyAlignment="1" applyProtection="1">
      <alignment horizontal="center" vertical="center" wrapText="1"/>
      <protection hidden="1"/>
    </xf>
    <xf numFmtId="0" fontId="28" fillId="11" borderId="52" xfId="0" applyFont="1" applyFill="1" applyBorder="1" applyAlignment="1" applyProtection="1">
      <alignment horizontal="center" vertical="center" wrapText="1"/>
      <protection hidden="1"/>
    </xf>
    <xf numFmtId="165" fontId="36" fillId="0" borderId="0" xfId="0" applyNumberFormat="1" applyFont="1" applyAlignment="1" applyProtection="1">
      <alignment horizontal="center" vertical="center"/>
      <protection hidden="1"/>
    </xf>
    <xf numFmtId="0" fontId="28" fillId="11" borderId="50" xfId="0" applyFont="1" applyFill="1" applyBorder="1" applyAlignment="1" applyProtection="1">
      <alignment horizontal="center" vertical="center" wrapText="1"/>
      <protection hidden="1"/>
    </xf>
    <xf numFmtId="0" fontId="28" fillId="11" borderId="53" xfId="0" applyFont="1" applyFill="1" applyBorder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left"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2" fontId="1" fillId="0" borderId="0" xfId="6" applyNumberFormat="1" applyProtection="1">
      <protection hidden="1"/>
    </xf>
    <xf numFmtId="2" fontId="6" fillId="0" borderId="0" xfId="0" applyNumberFormat="1" applyFont="1" applyProtection="1">
      <protection hidden="1"/>
    </xf>
    <xf numFmtId="2" fontId="0" fillId="0" borderId="0" xfId="0" applyNumberFormat="1" applyProtection="1">
      <protection hidden="1"/>
    </xf>
    <xf numFmtId="49" fontId="11" fillId="3" borderId="0" xfId="0" applyNumberFormat="1" applyFont="1" applyFill="1" applyAlignment="1" applyProtection="1">
      <alignment horizontal="left" vertical="center" indent="5"/>
      <protection hidden="1"/>
    </xf>
    <xf numFmtId="49" fontId="8" fillId="5" borderId="0" xfId="0" applyNumberFormat="1" applyFont="1" applyFill="1" applyAlignment="1" applyProtection="1">
      <alignment horizontal="left" vertical="center" indent="5"/>
      <protection hidden="1"/>
    </xf>
    <xf numFmtId="0" fontId="0" fillId="0" borderId="58" xfId="0" applyBorder="1" applyProtection="1">
      <protection hidden="1"/>
    </xf>
    <xf numFmtId="0" fontId="0" fillId="0" borderId="59" xfId="0" applyBorder="1" applyProtection="1">
      <protection hidden="1"/>
    </xf>
    <xf numFmtId="0" fontId="29" fillId="10" borderId="46" xfId="0" applyFont="1" applyFill="1" applyBorder="1" applyAlignment="1" applyProtection="1">
      <alignment horizontal="centerContinuous"/>
      <protection hidden="1"/>
    </xf>
    <xf numFmtId="0" fontId="29" fillId="10" borderId="47" xfId="0" applyFont="1" applyFill="1" applyBorder="1" applyAlignment="1" applyProtection="1">
      <alignment horizontal="centerContinuous"/>
      <protection hidden="1"/>
    </xf>
    <xf numFmtId="0" fontId="28" fillId="11" borderId="54" xfId="0" applyFont="1" applyFill="1" applyBorder="1" applyAlignment="1" applyProtection="1">
      <alignment horizontal="left" vertical="center"/>
      <protection hidden="1"/>
    </xf>
    <xf numFmtId="0" fontId="28" fillId="11" borderId="62" xfId="0" applyFont="1" applyFill="1" applyBorder="1" applyAlignment="1" applyProtection="1">
      <alignment horizontal="left" vertical="center"/>
      <protection hidden="1"/>
    </xf>
    <xf numFmtId="0" fontId="28" fillId="11" borderId="52" xfId="0" applyFont="1" applyFill="1" applyBorder="1" applyAlignment="1" applyProtection="1">
      <alignment horizontal="left" vertical="center"/>
      <protection hidden="1"/>
    </xf>
    <xf numFmtId="0" fontId="28" fillId="11" borderId="55" xfId="0" applyFont="1" applyFill="1" applyBorder="1" applyAlignment="1" applyProtection="1">
      <alignment horizontal="left" vertical="center"/>
      <protection hidden="1"/>
    </xf>
    <xf numFmtId="0" fontId="28" fillId="11" borderId="63" xfId="0" applyFont="1" applyFill="1" applyBorder="1" applyAlignment="1" applyProtection="1">
      <alignment horizontal="left" vertical="center"/>
      <protection hidden="1"/>
    </xf>
    <xf numFmtId="0" fontId="28" fillId="11" borderId="53" xfId="0" applyFont="1" applyFill="1" applyBorder="1" applyAlignment="1" applyProtection="1">
      <alignment horizontal="left" vertical="center"/>
      <protection hidden="1"/>
    </xf>
    <xf numFmtId="0" fontId="29" fillId="2" borderId="0" xfId="0" applyFont="1" applyFill="1" applyProtection="1">
      <protection hidden="1"/>
    </xf>
    <xf numFmtId="0" fontId="29" fillId="0" borderId="0" xfId="0" applyFont="1" applyProtection="1">
      <protection hidden="1"/>
    </xf>
    <xf numFmtId="165" fontId="14" fillId="12" borderId="1" xfId="6" applyNumberFormat="1" applyFont="1" applyFill="1" applyBorder="1" applyAlignment="1">
      <alignment vertical="center"/>
    </xf>
    <xf numFmtId="165" fontId="14" fillId="12" borderId="9" xfId="6" applyNumberFormat="1" applyFont="1" applyFill="1" applyBorder="1" applyAlignment="1">
      <alignment vertical="center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 vertical="top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34" fillId="0" borderId="56" xfId="0" applyFont="1" applyBorder="1" applyAlignment="1" applyProtection="1">
      <alignment vertical="center"/>
      <protection hidden="1"/>
    </xf>
    <xf numFmtId="0" fontId="0" fillId="0" borderId="49" xfId="0" applyBorder="1" applyAlignment="1" applyProtection="1">
      <alignment horizontal="center" vertical="center" shrinkToFit="1"/>
      <protection locked="0"/>
    </xf>
    <xf numFmtId="0" fontId="29" fillId="0" borderId="0" xfId="0" applyFont="1"/>
    <xf numFmtId="0" fontId="26" fillId="13" borderId="14" xfId="0" applyFont="1" applyFill="1" applyBorder="1" applyAlignment="1">
      <alignment horizontal="centerContinuous" vertical="center"/>
    </xf>
    <xf numFmtId="0" fontId="26" fillId="13" borderId="15" xfId="0" applyFont="1" applyFill="1" applyBorder="1" applyAlignment="1">
      <alignment horizontal="centerContinuous" vertical="center"/>
    </xf>
    <xf numFmtId="0" fontId="37" fillId="13" borderId="13" xfId="0" applyFont="1" applyFill="1" applyBorder="1" applyAlignment="1">
      <alignment horizontal="centerContinuous" vertical="center"/>
    </xf>
    <xf numFmtId="0" fontId="29" fillId="0" borderId="80" xfId="0" applyFont="1" applyBorder="1"/>
    <xf numFmtId="0" fontId="29" fillId="0" borderId="81" xfId="0" applyFont="1" applyBorder="1"/>
    <xf numFmtId="0" fontId="29" fillId="0" borderId="64" xfId="0" applyFont="1" applyBorder="1" applyProtection="1">
      <protection hidden="1"/>
    </xf>
    <xf numFmtId="0" fontId="6" fillId="8" borderId="64" xfId="0" applyFont="1" applyFill="1" applyBorder="1" applyAlignment="1">
      <alignment horizontal="centerContinuous"/>
    </xf>
    <xf numFmtId="0" fontId="26" fillId="8" borderId="64" xfId="0" applyFont="1" applyFill="1" applyBorder="1" applyAlignment="1">
      <alignment horizontal="centerContinuous"/>
    </xf>
    <xf numFmtId="1" fontId="0" fillId="0" borderId="83" xfId="0" applyNumberFormat="1" applyBorder="1" applyProtection="1">
      <protection hidden="1"/>
    </xf>
    <xf numFmtId="0" fontId="29" fillId="8" borderId="85" xfId="0" applyFont="1" applyFill="1" applyBorder="1" applyAlignment="1">
      <alignment horizontal="centerContinuous"/>
    </xf>
    <xf numFmtId="0" fontId="29" fillId="8" borderId="86" xfId="0" applyFont="1" applyFill="1" applyBorder="1" applyAlignment="1">
      <alignment horizontal="center" vertical="center"/>
    </xf>
    <xf numFmtId="0" fontId="26" fillId="8" borderId="80" xfId="0" applyFont="1" applyFill="1" applyBorder="1" applyAlignment="1">
      <alignment horizontal="centerContinuous"/>
    </xf>
    <xf numFmtId="0" fontId="26" fillId="8" borderId="89" xfId="0" applyFont="1" applyFill="1" applyBorder="1" applyAlignment="1">
      <alignment horizontal="centerContinuous"/>
    </xf>
    <xf numFmtId="0" fontId="26" fillId="8" borderId="81" xfId="0" applyFont="1" applyFill="1" applyBorder="1" applyAlignment="1">
      <alignment horizontal="centerContinuous"/>
    </xf>
    <xf numFmtId="0" fontId="6" fillId="9" borderId="64" xfId="0" applyFont="1" applyFill="1" applyBorder="1" applyAlignment="1">
      <alignment horizontal="centerContinuous"/>
    </xf>
    <xf numFmtId="0" fontId="6" fillId="15" borderId="64" xfId="0" applyFont="1" applyFill="1" applyBorder="1" applyAlignment="1">
      <alignment horizontal="centerContinuous"/>
    </xf>
    <xf numFmtId="0" fontId="29" fillId="14" borderId="85" xfId="0" applyFont="1" applyFill="1" applyBorder="1" applyAlignment="1">
      <alignment horizontal="centerContinuous"/>
    </xf>
    <xf numFmtId="0" fontId="29" fillId="14" borderId="86" xfId="0" applyFont="1" applyFill="1" applyBorder="1" applyAlignment="1">
      <alignment horizontal="center" vertical="center"/>
    </xf>
    <xf numFmtId="0" fontId="6" fillId="14" borderId="64" xfId="0" applyFont="1" applyFill="1" applyBorder="1" applyAlignment="1">
      <alignment horizontal="centerContinuous"/>
    </xf>
    <xf numFmtId="0" fontId="26" fillId="14" borderId="64" xfId="0" applyFont="1" applyFill="1" applyBorder="1" applyAlignment="1">
      <alignment horizontal="centerContinuous"/>
    </xf>
    <xf numFmtId="0" fontId="26" fillId="14" borderId="82" xfId="0" applyFont="1" applyFill="1" applyBorder="1" applyAlignment="1">
      <alignment horizontal="centerContinuous"/>
    </xf>
    <xf numFmtId="0" fontId="24" fillId="8" borderId="64" xfId="0" applyFont="1" applyFill="1" applyBorder="1" applyAlignment="1">
      <alignment horizontal="centerContinuous"/>
    </xf>
    <xf numFmtId="0" fontId="24" fillId="14" borderId="64" xfId="0" applyFont="1" applyFill="1" applyBorder="1" applyAlignment="1">
      <alignment horizontal="centerContinuous"/>
    </xf>
    <xf numFmtId="0" fontId="24" fillId="8" borderId="84" xfId="0" applyFont="1" applyFill="1" applyBorder="1" applyAlignment="1">
      <alignment horizontal="centerContinuous" vertical="center"/>
    </xf>
    <xf numFmtId="0" fontId="24" fillId="14" borderId="81" xfId="0" applyFont="1" applyFill="1" applyBorder="1" applyAlignment="1">
      <alignment horizontal="centerContinuous"/>
    </xf>
    <xf numFmtId="0" fontId="24" fillId="14" borderId="84" xfId="0" applyFont="1" applyFill="1" applyBorder="1" applyAlignment="1">
      <alignment horizontal="centerContinuous" vertical="center"/>
    </xf>
    <xf numFmtId="0" fontId="24" fillId="9" borderId="64" xfId="0" applyFont="1" applyFill="1" applyBorder="1" applyAlignment="1">
      <alignment horizontal="centerContinuous"/>
    </xf>
    <xf numFmtId="0" fontId="24" fillId="15" borderId="64" xfId="0" applyFont="1" applyFill="1" applyBorder="1" applyAlignment="1">
      <alignment horizontal="centerContinuous"/>
    </xf>
    <xf numFmtId="0" fontId="24" fillId="0" borderId="64" xfId="0" applyFont="1" applyBorder="1"/>
    <xf numFmtId="0" fontId="24" fillId="0" borderId="64" xfId="0" applyFont="1" applyBorder="1" applyAlignment="1">
      <alignment horizontal="center" vertical="center"/>
    </xf>
    <xf numFmtId="0" fontId="37" fillId="0" borderId="64" xfId="0" applyFont="1" applyBorder="1" applyAlignment="1">
      <alignment horizontal="center" vertical="center"/>
    </xf>
    <xf numFmtId="0" fontId="24" fillId="0" borderId="82" xfId="0" applyFont="1" applyBorder="1" applyAlignment="1">
      <alignment horizontal="center" vertical="center"/>
    </xf>
    <xf numFmtId="0" fontId="24" fillId="0" borderId="87" xfId="0" quotePrefix="1" applyFont="1" applyBorder="1" applyAlignment="1">
      <alignment horizontal="center" vertical="center"/>
    </xf>
    <xf numFmtId="0" fontId="24" fillId="0" borderId="88" xfId="0" quotePrefix="1" applyFont="1" applyBorder="1" applyAlignment="1">
      <alignment horizontal="center" vertical="center"/>
    </xf>
    <xf numFmtId="0" fontId="24" fillId="0" borderId="88" xfId="0" applyFont="1" applyBorder="1" applyAlignment="1">
      <alignment horizontal="center" vertical="center"/>
    </xf>
    <xf numFmtId="0" fontId="38" fillId="0" borderId="0" xfId="0" applyFont="1"/>
    <xf numFmtId="0" fontId="24" fillId="0" borderId="64" xfId="0" applyFont="1" applyBorder="1" applyAlignment="1">
      <alignment horizontal="center" vertical="center" wrapText="1"/>
    </xf>
    <xf numFmtId="0" fontId="0" fillId="0" borderId="12" xfId="0" applyBorder="1" applyAlignment="1" applyProtection="1">
      <alignment horizontal="center" vertical="center"/>
      <protection locked="0"/>
    </xf>
    <xf numFmtId="4" fontId="0" fillId="0" borderId="49" xfId="0" applyNumberFormat="1" applyBorder="1" applyAlignment="1" applyProtection="1">
      <alignment horizontal="center" vertical="center" shrinkToFit="1"/>
      <protection locked="0"/>
    </xf>
    <xf numFmtId="4" fontId="0" fillId="0" borderId="51" xfId="0" applyNumberFormat="1" applyBorder="1" applyAlignment="1" applyProtection="1">
      <alignment horizontal="center" vertical="center" shrinkToFit="1"/>
      <protection locked="0"/>
    </xf>
    <xf numFmtId="0" fontId="0" fillId="2" borderId="10" xfId="0" applyFill="1" applyBorder="1" applyProtection="1">
      <protection hidden="1"/>
    </xf>
    <xf numFmtId="0" fontId="0" fillId="2" borderId="10" xfId="0" applyFill="1" applyBorder="1" applyAlignment="1" applyProtection="1">
      <alignment vertical="center"/>
      <protection hidden="1"/>
    </xf>
    <xf numFmtId="0" fontId="6" fillId="2" borderId="10" xfId="0" applyFont="1" applyFill="1" applyBorder="1" applyProtection="1">
      <protection hidden="1"/>
    </xf>
    <xf numFmtId="0" fontId="0" fillId="16" borderId="2" xfId="0" applyFill="1" applyBorder="1" applyProtection="1">
      <protection hidden="1"/>
    </xf>
    <xf numFmtId="0" fontId="0" fillId="16" borderId="3" xfId="0" applyFill="1" applyBorder="1" applyProtection="1">
      <protection hidden="1"/>
    </xf>
    <xf numFmtId="0" fontId="0" fillId="16" borderId="0" xfId="0" applyFill="1" applyProtection="1">
      <protection hidden="1"/>
    </xf>
    <xf numFmtId="0" fontId="38" fillId="16" borderId="0" xfId="0" applyFont="1" applyFill="1" applyAlignment="1" applyProtection="1">
      <alignment horizontal="centerContinuous"/>
      <protection hidden="1"/>
    </xf>
    <xf numFmtId="0" fontId="0" fillId="16" borderId="0" xfId="0" applyFill="1" applyAlignment="1" applyProtection="1">
      <alignment horizontal="centerContinuous"/>
      <protection hidden="1"/>
    </xf>
    <xf numFmtId="0" fontId="0" fillId="16" borderId="5" xfId="0" applyFill="1" applyBorder="1" applyProtection="1">
      <protection hidden="1"/>
    </xf>
    <xf numFmtId="0" fontId="30" fillId="16" borderId="0" xfId="0" applyFont="1" applyFill="1" applyAlignment="1" applyProtection="1">
      <alignment horizontal="centerContinuous"/>
      <protection hidden="1"/>
    </xf>
    <xf numFmtId="0" fontId="0" fillId="17" borderId="1" xfId="0" applyFill="1" applyBorder="1" applyProtection="1">
      <protection hidden="1"/>
    </xf>
    <xf numFmtId="0" fontId="0" fillId="17" borderId="2" xfId="0" applyFill="1" applyBorder="1" applyProtection="1">
      <protection hidden="1"/>
    </xf>
    <xf numFmtId="0" fontId="0" fillId="17" borderId="4" xfId="0" applyFill="1" applyBorder="1" applyProtection="1">
      <protection hidden="1"/>
    </xf>
    <xf numFmtId="0" fontId="38" fillId="17" borderId="0" xfId="0" applyFont="1" applyFill="1" applyAlignment="1" applyProtection="1">
      <alignment horizontal="centerContinuous"/>
      <protection hidden="1"/>
    </xf>
    <xf numFmtId="0" fontId="0" fillId="17" borderId="0" xfId="0" applyFill="1" applyAlignment="1" applyProtection="1">
      <alignment horizontal="centerContinuous"/>
      <protection hidden="1"/>
    </xf>
    <xf numFmtId="0" fontId="0" fillId="17" borderId="0" xfId="0" applyFill="1" applyProtection="1">
      <protection hidden="1"/>
    </xf>
    <xf numFmtId="0" fontId="30" fillId="17" borderId="0" xfId="0" applyFont="1" applyFill="1" applyAlignment="1" applyProtection="1">
      <alignment horizontal="centerContinuous"/>
      <protection hidden="1"/>
    </xf>
    <xf numFmtId="0" fontId="0" fillId="0" borderId="0" xfId="0" applyAlignment="1" applyProtection="1">
      <alignment horizontal="centerContinuous" vertical="center"/>
      <protection hidden="1"/>
    </xf>
    <xf numFmtId="0" fontId="25" fillId="0" borderId="0" xfId="0" applyFont="1" applyAlignment="1" applyProtection="1">
      <alignment horizontal="centerContinuous"/>
      <protection hidden="1"/>
    </xf>
    <xf numFmtId="0" fontId="30" fillId="0" borderId="0" xfId="0" applyFont="1" applyAlignment="1" applyProtection="1">
      <alignment horizontal="centerContinuous" vertical="center"/>
      <protection hidden="1"/>
    </xf>
    <xf numFmtId="0" fontId="0" fillId="0" borderId="90" xfId="0" applyBorder="1" applyProtection="1">
      <protection hidden="1"/>
    </xf>
    <xf numFmtId="1" fontId="0" fillId="0" borderId="0" xfId="0" applyNumberFormat="1" applyProtection="1">
      <protection hidden="1"/>
    </xf>
    <xf numFmtId="0" fontId="0" fillId="0" borderId="84" xfId="0" applyBorder="1" applyProtection="1">
      <protection hidden="1"/>
    </xf>
    <xf numFmtId="1" fontId="0" fillId="0" borderId="85" xfId="0" applyNumberFormat="1" applyBorder="1" applyProtection="1">
      <protection hidden="1"/>
    </xf>
    <xf numFmtId="165" fontId="29" fillId="0" borderId="80" xfId="0" applyNumberFormat="1" applyFont="1" applyBorder="1"/>
    <xf numFmtId="0" fontId="29" fillId="0" borderId="89" xfId="0" applyFont="1" applyBorder="1"/>
    <xf numFmtId="0" fontId="28" fillId="11" borderId="65" xfId="0" applyFont="1" applyFill="1" applyBorder="1" applyAlignment="1" applyProtection="1">
      <alignment horizontal="center" vertical="center" wrapText="1"/>
      <protection hidden="1"/>
    </xf>
    <xf numFmtId="0" fontId="28" fillId="11" borderId="66" xfId="0" applyFont="1" applyFill="1" applyBorder="1" applyAlignment="1" applyProtection="1">
      <alignment horizontal="center" vertical="center" wrapText="1"/>
      <protection hidden="1"/>
    </xf>
    <xf numFmtId="0" fontId="28" fillId="11" borderId="67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shrinkToFit="1"/>
    </xf>
    <xf numFmtId="0" fontId="25" fillId="0" borderId="0" xfId="0" applyFont="1" applyAlignment="1">
      <alignment shrinkToFit="1"/>
    </xf>
    <xf numFmtId="0" fontId="25" fillId="0" borderId="0" xfId="0" applyFont="1" applyAlignment="1">
      <alignment horizontal="centerContinuous" shrinkToFit="1"/>
    </xf>
    <xf numFmtId="0" fontId="24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6" fillId="0" borderId="64" xfId="0" applyFont="1" applyBorder="1" applyAlignment="1">
      <alignment horizontal="center" vertical="center" shrinkToFit="1"/>
    </xf>
    <xf numFmtId="0" fontId="1" fillId="12" borderId="1" xfId="6" applyFill="1" applyBorder="1" applyAlignment="1">
      <alignment horizontal="center" vertical="center" shrinkToFit="1"/>
    </xf>
    <xf numFmtId="165" fontId="1" fillId="12" borderId="13" xfId="6" applyNumberFormat="1" applyFill="1" applyBorder="1" applyAlignment="1" applyProtection="1">
      <alignment vertical="center" shrinkToFit="1"/>
      <protection hidden="1"/>
    </xf>
    <xf numFmtId="165" fontId="1" fillId="12" borderId="1" xfId="6" applyNumberFormat="1" applyFill="1" applyBorder="1" applyAlignment="1">
      <alignment vertical="center" shrinkToFit="1"/>
    </xf>
    <xf numFmtId="165" fontId="1" fillId="12" borderId="9" xfId="6" applyNumberFormat="1" applyFill="1" applyBorder="1" applyAlignment="1">
      <alignment vertical="center" shrinkToFit="1"/>
    </xf>
    <xf numFmtId="165" fontId="0" fillId="0" borderId="64" xfId="0" applyNumberFormat="1" applyBorder="1" applyAlignment="1" applyProtection="1">
      <alignment shrinkToFit="1"/>
      <protection hidden="1"/>
    </xf>
    <xf numFmtId="2" fontId="0" fillId="0" borderId="64" xfId="0" applyNumberFormat="1" applyBorder="1" applyAlignment="1" applyProtection="1">
      <alignment shrinkToFit="1"/>
      <protection hidden="1"/>
    </xf>
    <xf numFmtId="165" fontId="0" fillId="0" borderId="64" xfId="0" applyNumberFormat="1" applyBorder="1" applyAlignment="1" applyProtection="1">
      <alignment horizontal="center" vertical="center" shrinkToFit="1"/>
      <protection hidden="1"/>
    </xf>
    <xf numFmtId="165" fontId="0" fillId="0" borderId="82" xfId="0" applyNumberFormat="1" applyBorder="1" applyAlignment="1" applyProtection="1">
      <alignment horizontal="center" vertical="center" shrinkToFit="1"/>
      <protection hidden="1"/>
    </xf>
    <xf numFmtId="165" fontId="0" fillId="0" borderId="81" xfId="0" applyNumberFormat="1" applyBorder="1" applyAlignment="1" applyProtection="1">
      <alignment shrinkToFit="1"/>
      <protection hidden="1"/>
    </xf>
    <xf numFmtId="169" fontId="0" fillId="0" borderId="64" xfId="0" applyNumberFormat="1" applyBorder="1" applyAlignment="1" applyProtection="1">
      <alignment horizontal="center" vertical="center" shrinkToFit="1"/>
      <protection hidden="1"/>
    </xf>
    <xf numFmtId="0" fontId="1" fillId="12" borderId="13" xfId="6" applyFill="1" applyBorder="1" applyAlignment="1">
      <alignment horizontal="center" vertical="center" shrinkToFit="1"/>
    </xf>
    <xf numFmtId="165" fontId="1" fillId="12" borderId="13" xfId="6" applyNumberFormat="1" applyFill="1" applyBorder="1" applyAlignment="1">
      <alignment vertical="center" shrinkToFit="1"/>
    </xf>
    <xf numFmtId="165" fontId="1" fillId="12" borderId="12" xfId="6" applyNumberFormat="1" applyFill="1" applyBorder="1" applyAlignment="1">
      <alignment vertical="center" shrinkToFit="1"/>
    </xf>
    <xf numFmtId="0" fontId="0" fillId="0" borderId="64" xfId="0" applyBorder="1" applyAlignment="1">
      <alignment horizontal="center" vertical="center" shrinkToFit="1"/>
    </xf>
    <xf numFmtId="0" fontId="1" fillId="12" borderId="12" xfId="6" applyFill="1" applyBorder="1" applyAlignment="1">
      <alignment horizontal="center" vertical="center" shrinkToFit="1"/>
    </xf>
    <xf numFmtId="0" fontId="24" fillId="15" borderId="72" xfId="0" applyFont="1" applyFill="1" applyBorder="1" applyAlignment="1">
      <alignment horizontal="centerContinuous" shrinkToFit="1"/>
    </xf>
    <xf numFmtId="0" fontId="0" fillId="15" borderId="73" xfId="0" applyFill="1" applyBorder="1" applyAlignment="1">
      <alignment horizontal="centerContinuous" shrinkToFit="1"/>
    </xf>
    <xf numFmtId="0" fontId="0" fillId="15" borderId="74" xfId="0" applyFill="1" applyBorder="1" applyAlignment="1">
      <alignment horizontal="centerContinuous" shrinkToFit="1"/>
    </xf>
    <xf numFmtId="0" fontId="0" fillId="0" borderId="77" xfId="0" applyBorder="1" applyAlignment="1">
      <alignment shrinkToFit="1"/>
    </xf>
    <xf numFmtId="0" fontId="0" fillId="0" borderId="78" xfId="0" applyBorder="1" applyAlignment="1">
      <alignment shrinkToFit="1"/>
    </xf>
    <xf numFmtId="0" fontId="0" fillId="0" borderId="79" xfId="0" applyBorder="1" applyAlignment="1">
      <alignment shrinkToFit="1"/>
    </xf>
    <xf numFmtId="0" fontId="24" fillId="14" borderId="72" xfId="0" applyFont="1" applyFill="1" applyBorder="1" applyAlignment="1">
      <alignment horizontal="centerContinuous" shrinkToFit="1"/>
    </xf>
    <xf numFmtId="0" fontId="0" fillId="14" borderId="73" xfId="0" applyFill="1" applyBorder="1" applyAlignment="1">
      <alignment horizontal="centerContinuous" shrinkToFit="1"/>
    </xf>
    <xf numFmtId="0" fontId="0" fillId="14" borderId="74" xfId="0" applyFill="1" applyBorder="1" applyAlignment="1">
      <alignment horizontal="centerContinuous" shrinkToFit="1"/>
    </xf>
    <xf numFmtId="0" fontId="24" fillId="14" borderId="75" xfId="0" applyFont="1" applyFill="1" applyBorder="1" applyAlignment="1">
      <alignment shrinkToFit="1"/>
    </xf>
    <xf numFmtId="2" fontId="24" fillId="14" borderId="71" xfId="0" quotePrefix="1" applyNumberFormat="1" applyFont="1" applyFill="1" applyBorder="1" applyAlignment="1">
      <alignment horizontal="right" shrinkToFit="1"/>
    </xf>
    <xf numFmtId="2" fontId="24" fillId="14" borderId="76" xfId="0" quotePrefix="1" applyNumberFormat="1" applyFont="1" applyFill="1" applyBorder="1" applyAlignment="1">
      <alignment horizontal="right" shrinkToFit="1"/>
    </xf>
    <xf numFmtId="164" fontId="24" fillId="14" borderId="75" xfId="0" applyNumberFormat="1" applyFont="1" applyFill="1" applyBorder="1" applyAlignment="1">
      <alignment horizontal="left" shrinkToFit="1"/>
    </xf>
    <xf numFmtId="166" fontId="0" fillId="0" borderId="71" xfId="0" applyNumberFormat="1" applyBorder="1" applyAlignment="1">
      <alignment shrinkToFit="1"/>
    </xf>
    <xf numFmtId="166" fontId="0" fillId="0" borderId="76" xfId="0" applyNumberFormat="1" applyBorder="1" applyAlignment="1">
      <alignment shrinkToFit="1"/>
    </xf>
    <xf numFmtId="164" fontId="24" fillId="14" borderId="77" xfId="0" applyNumberFormat="1" applyFont="1" applyFill="1" applyBorder="1" applyAlignment="1">
      <alignment horizontal="left" shrinkToFit="1"/>
    </xf>
    <xf numFmtId="166" fontId="0" fillId="0" borderId="78" xfId="0" applyNumberFormat="1" applyBorder="1" applyAlignment="1">
      <alignment shrinkToFit="1"/>
    </xf>
    <xf numFmtId="166" fontId="0" fillId="0" borderId="79" xfId="0" applyNumberFormat="1" applyBorder="1" applyAlignment="1">
      <alignment shrinkToFit="1"/>
    </xf>
    <xf numFmtId="0" fontId="0" fillId="0" borderId="0" xfId="0" applyAlignment="1">
      <alignment horizontal="centerContinuous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4" fillId="10" borderId="93" xfId="0" applyFont="1" applyFill="1" applyBorder="1" applyAlignment="1" applyProtection="1">
      <alignment horizontal="centerContinuous" vertical="center"/>
      <protection hidden="1"/>
    </xf>
    <xf numFmtId="0" fontId="34" fillId="10" borderId="94" xfId="0" applyFont="1" applyFill="1" applyBorder="1" applyAlignment="1" applyProtection="1">
      <alignment horizontal="centerContinuous" vertical="center"/>
      <protection hidden="1"/>
    </xf>
    <xf numFmtId="0" fontId="34" fillId="10" borderId="95" xfId="0" applyFont="1" applyFill="1" applyBorder="1" applyAlignment="1" applyProtection="1">
      <alignment horizontal="centerContinuous" vertical="center"/>
      <protection hidden="1"/>
    </xf>
    <xf numFmtId="165" fontId="36" fillId="2" borderId="49" xfId="0" applyNumberFormat="1" applyFont="1" applyFill="1" applyBorder="1" applyAlignment="1" applyProtection="1">
      <alignment horizontal="center" vertical="center" shrinkToFit="1"/>
      <protection hidden="1"/>
    </xf>
    <xf numFmtId="165" fontId="36" fillId="2" borderId="51" xfId="0" applyNumberFormat="1" applyFont="1" applyFill="1" applyBorder="1" applyAlignment="1" applyProtection="1">
      <alignment horizontal="center" vertical="center" shrinkToFit="1"/>
      <protection hidden="1"/>
    </xf>
    <xf numFmtId="165" fontId="23" fillId="2" borderId="42" xfId="0" applyNumberFormat="1" applyFont="1" applyFill="1" applyBorder="1" applyAlignment="1" applyProtection="1">
      <alignment horizontal="right" vertical="center"/>
      <protection hidden="1"/>
    </xf>
    <xf numFmtId="165" fontId="23" fillId="2" borderId="43" xfId="0" applyNumberFormat="1" applyFont="1" applyFill="1" applyBorder="1" applyAlignment="1" applyProtection="1">
      <alignment horizontal="right" vertical="center"/>
      <protection hidden="1"/>
    </xf>
    <xf numFmtId="4" fontId="23" fillId="2" borderId="43" xfId="0" applyNumberFormat="1" applyFont="1" applyFill="1" applyBorder="1" applyAlignment="1" applyProtection="1">
      <alignment horizontal="right" vertical="center"/>
      <protection hidden="1"/>
    </xf>
    <xf numFmtId="3" fontId="23" fillId="2" borderId="44" xfId="0" applyNumberFormat="1" applyFont="1" applyFill="1" applyBorder="1" applyAlignment="1" applyProtection="1">
      <alignment horizontal="right" vertical="center"/>
      <protection hidden="1"/>
    </xf>
    <xf numFmtId="167" fontId="23" fillId="2" borderId="41" xfId="0" applyNumberFormat="1" applyFont="1" applyFill="1" applyBorder="1" applyAlignment="1" applyProtection="1">
      <alignment horizontal="right" vertical="center"/>
      <protection hidden="1"/>
    </xf>
    <xf numFmtId="164" fontId="23" fillId="2" borderId="33" xfId="0" applyNumberFormat="1" applyFont="1" applyFill="1" applyBorder="1" applyAlignment="1" applyProtection="1">
      <alignment horizontal="right" vertical="center"/>
      <protection hidden="1"/>
    </xf>
    <xf numFmtId="4" fontId="27" fillId="0" borderId="17" xfId="0" applyNumberFormat="1" applyFont="1" applyBorder="1" applyAlignment="1" applyProtection="1">
      <alignment horizontal="center" vertical="center" shrinkToFit="1"/>
      <protection hidden="1"/>
    </xf>
    <xf numFmtId="0" fontId="27" fillId="0" borderId="17" xfId="0" applyFont="1" applyBorder="1" applyAlignment="1" applyProtection="1">
      <alignment horizontal="center" vertical="center" shrinkToFit="1"/>
      <protection hidden="1"/>
    </xf>
    <xf numFmtId="0" fontId="27" fillId="0" borderId="28" xfId="0" applyFont="1" applyBorder="1" applyAlignment="1" applyProtection="1">
      <alignment horizontal="center" vertical="center" shrinkToFit="1"/>
      <protection hidden="1"/>
    </xf>
    <xf numFmtId="4" fontId="27" fillId="0" borderId="25" xfId="0" applyNumberFormat="1" applyFont="1" applyBorder="1" applyAlignment="1" applyProtection="1">
      <alignment horizontal="center" vertical="center" shrinkToFit="1"/>
      <protection hidden="1"/>
    </xf>
    <xf numFmtId="0" fontId="27" fillId="0" borderId="18" xfId="0" applyFont="1" applyBorder="1" applyAlignment="1" applyProtection="1">
      <alignment horizontal="center" vertical="center" shrinkToFit="1"/>
      <protection hidden="1"/>
    </xf>
    <xf numFmtId="4" fontId="27" fillId="0" borderId="20" xfId="0" applyNumberFormat="1" applyFont="1" applyBorder="1" applyAlignment="1" applyProtection="1">
      <alignment horizontal="center" vertical="center" shrinkToFit="1"/>
      <protection hidden="1"/>
    </xf>
    <xf numFmtId="0" fontId="27" fillId="0" borderId="20" xfId="0" applyFont="1" applyBorder="1" applyAlignment="1" applyProtection="1">
      <alignment horizontal="center" vertical="center" shrinkToFit="1"/>
      <protection hidden="1"/>
    </xf>
    <xf numFmtId="0" fontId="27" fillId="0" borderId="29" xfId="0" applyFont="1" applyBorder="1" applyAlignment="1" applyProtection="1">
      <alignment horizontal="center" vertical="center" shrinkToFit="1"/>
      <protection hidden="1"/>
    </xf>
    <xf numFmtId="4" fontId="27" fillId="0" borderId="26" xfId="0" applyNumberFormat="1" applyFont="1" applyBorder="1" applyAlignment="1" applyProtection="1">
      <alignment horizontal="center" vertical="center" shrinkToFit="1"/>
      <protection hidden="1"/>
    </xf>
    <xf numFmtId="0" fontId="27" fillId="0" borderId="21" xfId="0" applyFont="1" applyBorder="1" applyAlignment="1" applyProtection="1">
      <alignment horizontal="center" vertical="center" shrinkToFit="1"/>
      <protection hidden="1"/>
    </xf>
    <xf numFmtId="4" fontId="27" fillId="0" borderId="23" xfId="0" applyNumberFormat="1" applyFont="1" applyBorder="1" applyAlignment="1" applyProtection="1">
      <alignment horizontal="center" vertical="center" shrinkToFit="1"/>
      <protection hidden="1"/>
    </xf>
    <xf numFmtId="0" fontId="27" fillId="0" borderId="23" xfId="0" applyFont="1" applyBorder="1" applyAlignment="1" applyProtection="1">
      <alignment horizontal="center" vertical="center" shrinkToFit="1"/>
      <protection hidden="1"/>
    </xf>
    <xf numFmtId="0" fontId="27" fillId="0" borderId="30" xfId="0" applyFont="1" applyBorder="1" applyAlignment="1" applyProtection="1">
      <alignment horizontal="center" vertical="center" shrinkToFit="1"/>
      <protection hidden="1"/>
    </xf>
    <xf numFmtId="4" fontId="27" fillId="0" borderId="27" xfId="0" applyNumberFormat="1" applyFont="1" applyBorder="1" applyAlignment="1" applyProtection="1">
      <alignment horizontal="center" vertical="center" shrinkToFit="1"/>
      <protection hidden="1"/>
    </xf>
    <xf numFmtId="0" fontId="27" fillId="0" borderId="24" xfId="0" applyFont="1" applyBorder="1" applyAlignment="1" applyProtection="1">
      <alignment horizontal="center" vertical="center" shrinkToFit="1"/>
      <protection hidden="1"/>
    </xf>
    <xf numFmtId="0" fontId="34" fillId="10" borderId="98" xfId="0" applyFont="1" applyFill="1" applyBorder="1" applyAlignment="1" applyProtection="1">
      <alignment horizontal="centerContinuous" vertical="center"/>
      <protection hidden="1"/>
    </xf>
    <xf numFmtId="0" fontId="34" fillId="10" borderId="99" xfId="0" applyFont="1" applyFill="1" applyBorder="1" applyAlignment="1" applyProtection="1">
      <alignment horizontal="centerContinuous" vertical="center"/>
      <protection hidden="1"/>
    </xf>
    <xf numFmtId="0" fontId="34" fillId="10" borderId="91" xfId="0" applyFont="1" applyFill="1" applyBorder="1" applyAlignment="1" applyProtection="1">
      <alignment horizontal="centerContinuous" vertical="center"/>
      <protection hidden="1"/>
    </xf>
    <xf numFmtId="0" fontId="28" fillId="10" borderId="99" xfId="0" applyFont="1" applyFill="1" applyBorder="1" applyAlignment="1" applyProtection="1">
      <alignment horizontal="centerContinuous" vertical="center"/>
      <protection hidden="1"/>
    </xf>
    <xf numFmtId="0" fontId="28" fillId="10" borderId="91" xfId="0" applyFont="1" applyFill="1" applyBorder="1" applyAlignment="1" applyProtection="1">
      <alignment horizontal="centerContinuous" vertical="center"/>
      <protection hidden="1"/>
    </xf>
    <xf numFmtId="0" fontId="1" fillId="12" borderId="1" xfId="6" applyFill="1" applyBorder="1" applyAlignment="1">
      <alignment horizontal="left" vertical="center"/>
    </xf>
    <xf numFmtId="0" fontId="1" fillId="12" borderId="1" xfId="6" applyFill="1" applyBorder="1" applyAlignment="1">
      <alignment horizontal="left" vertical="center" shrinkToFit="1"/>
    </xf>
    <xf numFmtId="0" fontId="1" fillId="12" borderId="13" xfId="6" applyFill="1" applyBorder="1" applyAlignment="1">
      <alignment horizontal="left" vertical="center" shrinkToFit="1"/>
    </xf>
    <xf numFmtId="0" fontId="1" fillId="12" borderId="0" xfId="6" applyFill="1" applyAlignment="1">
      <alignment horizontal="left" vertical="center"/>
    </xf>
    <xf numFmtId="0" fontId="1" fillId="12" borderId="0" xfId="6" applyFill="1" applyAlignment="1">
      <alignment horizontal="left" vertical="center" shrinkToFit="1"/>
    </xf>
    <xf numFmtId="2" fontId="29" fillId="13" borderId="13" xfId="0" applyNumberFormat="1" applyFont="1" applyFill="1" applyBorder="1" applyAlignment="1">
      <alignment horizontal="centerContinuous" vertical="center" shrinkToFit="1"/>
    </xf>
    <xf numFmtId="2" fontId="29" fillId="13" borderId="12" xfId="0" applyNumberFormat="1" applyFont="1" applyFill="1" applyBorder="1" applyAlignment="1">
      <alignment horizontal="centerContinuous" vertical="center" shrinkToFit="1"/>
    </xf>
    <xf numFmtId="0" fontId="0" fillId="10" borderId="94" xfId="0" applyFill="1" applyBorder="1" applyAlignment="1" applyProtection="1">
      <alignment horizontal="centerContinuous" vertical="top"/>
      <protection hidden="1"/>
    </xf>
    <xf numFmtId="0" fontId="0" fillId="10" borderId="95" xfId="0" applyFill="1" applyBorder="1" applyAlignment="1" applyProtection="1">
      <alignment horizontal="centerContinuous"/>
      <protection hidden="1"/>
    </xf>
    <xf numFmtId="0" fontId="29" fillId="10" borderId="94" xfId="0" applyFont="1" applyFill="1" applyBorder="1" applyAlignment="1" applyProtection="1">
      <alignment horizontal="centerContinuous"/>
      <protection hidden="1"/>
    </xf>
    <xf numFmtId="0" fontId="29" fillId="10" borderId="96" xfId="0" applyFont="1" applyFill="1" applyBorder="1" applyAlignment="1" applyProtection="1">
      <alignment horizontal="centerContinuous"/>
      <protection hidden="1"/>
    </xf>
    <xf numFmtId="0" fontId="29" fillId="10" borderId="95" xfId="0" applyFont="1" applyFill="1" applyBorder="1" applyAlignment="1" applyProtection="1">
      <alignment horizontal="centerContinuous"/>
      <protection hidden="1"/>
    </xf>
    <xf numFmtId="0" fontId="1" fillId="12" borderId="9" xfId="6" applyFill="1" applyBorder="1" applyAlignment="1" applyProtection="1">
      <alignment horizontal="left" vertical="center"/>
      <protection hidden="1"/>
    </xf>
    <xf numFmtId="0" fontId="1" fillId="12" borderId="9" xfId="6" applyFill="1" applyBorder="1" applyAlignment="1" applyProtection="1">
      <alignment horizontal="left" vertical="center" shrinkToFit="1"/>
      <protection hidden="1"/>
    </xf>
    <xf numFmtId="0" fontId="1" fillId="12" borderId="12" xfId="6" applyFill="1" applyBorder="1" applyAlignment="1" applyProtection="1">
      <alignment horizontal="left" vertical="center"/>
      <protection hidden="1"/>
    </xf>
    <xf numFmtId="0" fontId="0" fillId="0" borderId="38" xfId="0" applyBorder="1" applyAlignment="1" applyProtection="1">
      <alignment horizontal="center" vertical="center" shrinkToFit="1"/>
      <protection locked="0"/>
    </xf>
    <xf numFmtId="0" fontId="0" fillId="0" borderId="39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169" fontId="32" fillId="2" borderId="68" xfId="0" applyNumberFormat="1" applyFont="1" applyFill="1" applyBorder="1" applyAlignment="1" applyProtection="1">
      <alignment horizontal="center" vertical="center" shrinkToFit="1"/>
      <protection hidden="1"/>
    </xf>
    <xf numFmtId="169" fontId="32" fillId="2" borderId="69" xfId="0" applyNumberFormat="1" applyFont="1" applyFill="1" applyBorder="1" applyAlignment="1" applyProtection="1">
      <alignment horizontal="center" vertical="center" shrinkToFit="1"/>
      <protection hidden="1"/>
    </xf>
    <xf numFmtId="169" fontId="32" fillId="2" borderId="70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60" xfId="1" applyFill="1" applyBorder="1" applyAlignment="1" applyProtection="1">
      <alignment vertical="center"/>
      <protection hidden="1"/>
    </xf>
    <xf numFmtId="0" fontId="6" fillId="2" borderId="60" xfId="0" applyFont="1" applyFill="1" applyBorder="1" applyProtection="1">
      <protection hidden="1"/>
    </xf>
    <xf numFmtId="0" fontId="6" fillId="2" borderId="58" xfId="0" applyFont="1" applyFill="1" applyBorder="1" applyProtection="1">
      <protection hidden="1"/>
    </xf>
    <xf numFmtId="0" fontId="6" fillId="2" borderId="59" xfId="0" applyFont="1" applyFill="1" applyBorder="1" applyProtection="1">
      <protection hidden="1"/>
    </xf>
    <xf numFmtId="0" fontId="5" fillId="2" borderId="61" xfId="1" applyFill="1" applyBorder="1" applyAlignment="1" applyProtection="1">
      <alignment vertical="center"/>
      <protection hidden="1"/>
    </xf>
    <xf numFmtId="0" fontId="6" fillId="2" borderId="61" xfId="0" applyFont="1" applyFill="1" applyBorder="1" applyProtection="1">
      <protection hidden="1"/>
    </xf>
    <xf numFmtId="0" fontId="29" fillId="2" borderId="60" xfId="0" applyFont="1" applyFill="1" applyBorder="1" applyProtection="1">
      <protection hidden="1"/>
    </xf>
    <xf numFmtId="0" fontId="29" fillId="2" borderId="59" xfId="0" applyFont="1" applyFill="1" applyBorder="1" applyProtection="1">
      <protection hidden="1"/>
    </xf>
    <xf numFmtId="0" fontId="28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Continuous" vertical="top" wrapText="1"/>
      <protection hidden="1"/>
    </xf>
    <xf numFmtId="0" fontId="0" fillId="0" borderId="0" xfId="0" applyAlignment="1" applyProtection="1">
      <alignment horizontal="centerContinuous" vertical="top"/>
      <protection hidden="1"/>
    </xf>
    <xf numFmtId="0" fontId="0" fillId="0" borderId="0" xfId="0" applyAlignment="1" applyProtection="1">
      <alignment horizontal="centerContinuous"/>
      <protection hidden="1"/>
    </xf>
    <xf numFmtId="0" fontId="5" fillId="2" borderId="59" xfId="1" applyFill="1" applyBorder="1" applyAlignment="1" applyProtection="1">
      <alignment vertical="center"/>
      <protection hidden="1"/>
    </xf>
    <xf numFmtId="0" fontId="6" fillId="18" borderId="0" xfId="0" applyFont="1" applyFill="1" applyProtection="1">
      <protection hidden="1"/>
    </xf>
    <xf numFmtId="0" fontId="34" fillId="11" borderId="57" xfId="0" applyFont="1" applyFill="1" applyBorder="1" applyAlignment="1">
      <alignment horizontal="center" vertical="center"/>
    </xf>
    <xf numFmtId="0" fontId="34" fillId="11" borderId="97" xfId="0" applyFont="1" applyFill="1" applyBorder="1" applyAlignment="1">
      <alignment horizontal="center" vertical="center"/>
    </xf>
    <xf numFmtId="0" fontId="40" fillId="19" borderId="102" xfId="0" applyFont="1" applyFill="1" applyBorder="1" applyAlignment="1" applyProtection="1">
      <alignment horizontal="centerContinuous" vertical="center"/>
      <protection hidden="1"/>
    </xf>
    <xf numFmtId="0" fontId="40" fillId="19" borderId="100" xfId="0" applyFont="1" applyFill="1" applyBorder="1" applyAlignment="1" applyProtection="1">
      <alignment horizontal="centerContinuous" vertical="center"/>
      <protection hidden="1"/>
    </xf>
    <xf numFmtId="0" fontId="40" fillId="19" borderId="104" xfId="0" applyFont="1" applyFill="1" applyBorder="1" applyAlignment="1" applyProtection="1">
      <alignment horizontal="centerContinuous" vertical="center"/>
      <protection hidden="1"/>
    </xf>
    <xf numFmtId="0" fontId="40" fillId="19" borderId="105" xfId="0" applyFont="1" applyFill="1" applyBorder="1" applyAlignment="1" applyProtection="1">
      <alignment horizontal="centerContinuous" vertical="center"/>
      <protection hidden="1"/>
    </xf>
    <xf numFmtId="0" fontId="0" fillId="19" borderId="102" xfId="0" applyFill="1" applyBorder="1" applyAlignment="1">
      <alignment horizontal="center" vertical="center"/>
    </xf>
    <xf numFmtId="2" fontId="1" fillId="19" borderId="100" xfId="6" applyNumberFormat="1" applyFill="1" applyBorder="1" applyAlignment="1">
      <alignment horizontal="center" vertical="center" shrinkToFit="1"/>
    </xf>
    <xf numFmtId="2" fontId="0" fillId="19" borderId="100" xfId="0" applyNumberFormat="1" applyFill="1" applyBorder="1" applyAlignment="1">
      <alignment horizontal="center" vertical="center" shrinkToFit="1"/>
    </xf>
    <xf numFmtId="165" fontId="23" fillId="19" borderId="100" xfId="0" applyNumberFormat="1" applyFont="1" applyFill="1" applyBorder="1" applyAlignment="1">
      <alignment horizontal="center" vertical="center" shrinkToFit="1"/>
    </xf>
    <xf numFmtId="165" fontId="23" fillId="19" borderId="103" xfId="0" applyNumberFormat="1" applyFont="1" applyFill="1" applyBorder="1" applyAlignment="1">
      <alignment horizontal="center" vertical="center" shrinkToFit="1"/>
    </xf>
    <xf numFmtId="0" fontId="0" fillId="19" borderId="104" xfId="0" applyFill="1" applyBorder="1" applyAlignment="1">
      <alignment horizontal="center" vertical="center"/>
    </xf>
    <xf numFmtId="2" fontId="1" fillId="19" borderId="105" xfId="6" applyNumberFormat="1" applyFill="1" applyBorder="1" applyAlignment="1">
      <alignment horizontal="center" vertical="center" shrinkToFit="1"/>
    </xf>
    <xf numFmtId="2" fontId="0" fillId="19" borderId="105" xfId="0" applyNumberFormat="1" applyFill="1" applyBorder="1" applyAlignment="1">
      <alignment horizontal="center" vertical="center" shrinkToFit="1"/>
    </xf>
    <xf numFmtId="165" fontId="23" fillId="19" borderId="105" xfId="0" applyNumberFormat="1" applyFont="1" applyFill="1" applyBorder="1" applyAlignment="1">
      <alignment horizontal="center" vertical="center" shrinkToFit="1"/>
    </xf>
    <xf numFmtId="165" fontId="23" fillId="19" borderId="106" xfId="0" applyNumberFormat="1" applyFont="1" applyFill="1" applyBorder="1" applyAlignment="1">
      <alignment horizontal="center" vertical="center" shrinkToFit="1"/>
    </xf>
    <xf numFmtId="0" fontId="0" fillId="0" borderId="101" xfId="0" applyBorder="1" applyProtection="1">
      <protection hidden="1"/>
    </xf>
    <xf numFmtId="0" fontId="42" fillId="19" borderId="102" xfId="0" applyFont="1" applyFill="1" applyBorder="1" applyAlignment="1">
      <alignment horizontal="center" vertical="center"/>
    </xf>
    <xf numFmtId="0" fontId="28" fillId="11" borderId="57" xfId="0" applyFont="1" applyFill="1" applyBorder="1" applyAlignment="1">
      <alignment horizontal="center" vertical="center"/>
    </xf>
    <xf numFmtId="0" fontId="28" fillId="11" borderId="57" xfId="0" applyFont="1" applyFill="1" applyBorder="1" applyAlignment="1">
      <alignment horizontal="center" vertical="center" wrapText="1"/>
    </xf>
    <xf numFmtId="0" fontId="28" fillId="11" borderId="97" xfId="0" applyFont="1" applyFill="1" applyBorder="1" applyAlignment="1">
      <alignment horizontal="center" vertical="center" wrapText="1"/>
    </xf>
    <xf numFmtId="0" fontId="43" fillId="19" borderId="102" xfId="0" applyFont="1" applyFill="1" applyBorder="1" applyAlignment="1">
      <alignment horizontal="center" vertical="center"/>
    </xf>
    <xf numFmtId="3" fontId="42" fillId="19" borderId="100" xfId="6" applyNumberFormat="1" applyFont="1" applyFill="1" applyBorder="1" applyAlignment="1">
      <alignment horizontal="center" vertical="center" shrinkToFit="1"/>
    </xf>
    <xf numFmtId="170" fontId="43" fillId="19" borderId="103" xfId="6" applyNumberFormat="1" applyFont="1" applyFill="1" applyBorder="1" applyAlignment="1">
      <alignment horizontal="center" vertical="center" shrinkToFit="1"/>
    </xf>
    <xf numFmtId="0" fontId="43" fillId="19" borderId="104" xfId="0" applyFont="1" applyFill="1" applyBorder="1" applyAlignment="1">
      <alignment horizontal="center" vertical="center"/>
    </xf>
    <xf numFmtId="3" fontId="42" fillId="19" borderId="105" xfId="6" applyNumberFormat="1" applyFont="1" applyFill="1" applyBorder="1" applyAlignment="1">
      <alignment horizontal="center" vertical="center" shrinkToFit="1"/>
    </xf>
    <xf numFmtId="170" fontId="43" fillId="19" borderId="106" xfId="6" applyNumberFormat="1" applyFont="1" applyFill="1" applyBorder="1" applyAlignment="1">
      <alignment horizontal="center" vertical="center" shrinkToFit="1"/>
    </xf>
    <xf numFmtId="0" fontId="6" fillId="0" borderId="101" xfId="0" applyFont="1" applyBorder="1" applyProtection="1">
      <protection hidden="1"/>
    </xf>
    <xf numFmtId="168" fontId="43" fillId="19" borderId="103" xfId="6" applyNumberFormat="1" applyFont="1" applyFill="1" applyBorder="1" applyAlignment="1">
      <alignment horizontal="center" vertical="center" shrinkToFit="1"/>
    </xf>
    <xf numFmtId="168" fontId="43" fillId="19" borderId="106" xfId="6" applyNumberFormat="1" applyFont="1" applyFill="1" applyBorder="1" applyAlignment="1">
      <alignment horizontal="center" vertical="center" shrinkToFit="1"/>
    </xf>
    <xf numFmtId="0" fontId="28" fillId="11" borderId="107" xfId="0" applyFont="1" applyFill="1" applyBorder="1" applyAlignment="1" applyProtection="1">
      <alignment horizontal="centerContinuous" vertical="center"/>
      <protection hidden="1"/>
    </xf>
    <xf numFmtId="0" fontId="28" fillId="11" borderId="108" xfId="0" applyFont="1" applyFill="1" applyBorder="1" applyAlignment="1" applyProtection="1">
      <alignment horizontal="centerContinuous" vertical="center"/>
      <protection hidden="1"/>
    </xf>
    <xf numFmtId="0" fontId="28" fillId="11" borderId="109" xfId="0" applyFont="1" applyFill="1" applyBorder="1" applyAlignment="1" applyProtection="1">
      <alignment horizontal="center" vertical="center"/>
      <protection hidden="1"/>
    </xf>
    <xf numFmtId="0" fontId="32" fillId="2" borderId="110" xfId="0" applyFont="1" applyFill="1" applyBorder="1" applyAlignment="1" applyProtection="1">
      <alignment horizontal="centerContinuous" vertical="center"/>
      <protection hidden="1"/>
    </xf>
    <xf numFmtId="0" fontId="32" fillId="2" borderId="89" xfId="0" applyFont="1" applyFill="1" applyBorder="1" applyAlignment="1" applyProtection="1">
      <alignment horizontal="centerContinuous" vertical="center"/>
      <protection hidden="1"/>
    </xf>
    <xf numFmtId="2" fontId="1" fillId="0" borderId="82" xfId="6" applyNumberFormat="1" applyBorder="1" applyAlignment="1" applyProtection="1">
      <alignment horizontal="center" vertical="center" shrinkToFit="1"/>
      <protection locked="0"/>
    </xf>
    <xf numFmtId="0" fontId="40" fillId="19" borderId="111" xfId="0" applyFont="1" applyFill="1" applyBorder="1" applyAlignment="1" applyProtection="1">
      <alignment horizontal="centerContinuous" vertical="center"/>
      <protection hidden="1"/>
    </xf>
    <xf numFmtId="0" fontId="40" fillId="19" borderId="112" xfId="0" applyFont="1" applyFill="1" applyBorder="1" applyAlignment="1" applyProtection="1">
      <alignment horizontal="centerContinuous" vertical="center"/>
      <protection hidden="1"/>
    </xf>
    <xf numFmtId="0" fontId="0" fillId="2" borderId="114" xfId="0" applyFill="1" applyBorder="1" applyAlignment="1">
      <alignment horizontal="center" vertical="center"/>
    </xf>
    <xf numFmtId="0" fontId="0" fillId="2" borderId="117" xfId="0" applyFill="1" applyBorder="1" applyAlignment="1">
      <alignment horizontal="center" vertical="center"/>
    </xf>
    <xf numFmtId="0" fontId="42" fillId="19" borderId="111" xfId="0" applyFont="1" applyFill="1" applyBorder="1" applyAlignment="1">
      <alignment horizontal="center" vertical="center"/>
    </xf>
    <xf numFmtId="2" fontId="1" fillId="19" borderId="112" xfId="6" applyNumberFormat="1" applyFill="1" applyBorder="1" applyAlignment="1">
      <alignment horizontal="center" vertical="center" shrinkToFit="1"/>
    </xf>
    <xf numFmtId="2" fontId="0" fillId="19" borderId="112" xfId="0" applyNumberFormat="1" applyFill="1" applyBorder="1" applyAlignment="1">
      <alignment horizontal="center" vertical="center" shrinkToFit="1"/>
    </xf>
    <xf numFmtId="165" fontId="23" fillId="19" borderId="112" xfId="0" applyNumberFormat="1" applyFont="1" applyFill="1" applyBorder="1" applyAlignment="1">
      <alignment horizontal="center" vertical="center" shrinkToFit="1"/>
    </xf>
    <xf numFmtId="165" fontId="23" fillId="19" borderId="113" xfId="0" applyNumberFormat="1" applyFont="1" applyFill="1" applyBorder="1" applyAlignment="1">
      <alignment horizontal="center" vertical="center" shrinkToFit="1"/>
    </xf>
    <xf numFmtId="0" fontId="43" fillId="19" borderId="111" xfId="0" applyFont="1" applyFill="1" applyBorder="1" applyAlignment="1">
      <alignment horizontal="center" vertical="center"/>
    </xf>
    <xf numFmtId="3" fontId="42" fillId="19" borderId="112" xfId="6" applyNumberFormat="1" applyFont="1" applyFill="1" applyBorder="1" applyAlignment="1">
      <alignment horizontal="center" vertical="center" shrinkToFit="1"/>
    </xf>
    <xf numFmtId="170" fontId="43" fillId="19" borderId="113" xfId="6" applyNumberFormat="1" applyFont="1" applyFill="1" applyBorder="1" applyAlignment="1">
      <alignment horizontal="center" vertical="center" shrinkToFit="1"/>
    </xf>
    <xf numFmtId="0" fontId="32" fillId="2" borderId="114" xfId="0" applyFont="1" applyFill="1" applyBorder="1" applyAlignment="1">
      <alignment horizontal="center" vertical="center"/>
    </xf>
    <xf numFmtId="0" fontId="32" fillId="2" borderId="117" xfId="0" applyFont="1" applyFill="1" applyBorder="1" applyAlignment="1">
      <alignment horizontal="center" vertical="center"/>
    </xf>
    <xf numFmtId="168" fontId="43" fillId="19" borderId="113" xfId="6" applyNumberFormat="1" applyFont="1" applyFill="1" applyBorder="1" applyAlignment="1">
      <alignment horizontal="center" vertical="center" shrinkToFit="1"/>
    </xf>
    <xf numFmtId="2" fontId="6" fillId="2" borderId="0" xfId="0" applyNumberFormat="1" applyFont="1" applyFill="1" applyProtection="1">
      <protection hidden="1"/>
    </xf>
    <xf numFmtId="165" fontId="23" fillId="2" borderId="115" xfId="0" applyNumberFormat="1" applyFont="1" applyFill="1" applyBorder="1" applyAlignment="1" applyProtection="1">
      <alignment horizontal="center" vertical="center" shrinkToFit="1"/>
      <protection hidden="1"/>
    </xf>
    <xf numFmtId="165" fontId="23" fillId="2" borderId="116" xfId="0" applyNumberFormat="1" applyFont="1" applyFill="1" applyBorder="1" applyAlignment="1" applyProtection="1">
      <alignment horizontal="center" vertical="center" shrinkToFit="1"/>
      <protection hidden="1"/>
    </xf>
    <xf numFmtId="165" fontId="23" fillId="2" borderId="64" xfId="0" applyNumberFormat="1" applyFont="1" applyFill="1" applyBorder="1" applyAlignment="1" applyProtection="1">
      <alignment horizontal="center" vertical="center" shrinkToFit="1"/>
      <protection hidden="1"/>
    </xf>
    <xf numFmtId="165" fontId="23" fillId="2" borderId="82" xfId="0" applyNumberFormat="1" applyFont="1" applyFill="1" applyBorder="1" applyAlignment="1" applyProtection="1">
      <alignment horizontal="center" vertical="center" shrinkToFit="1"/>
      <protection hidden="1"/>
    </xf>
    <xf numFmtId="170" fontId="33" fillId="2" borderId="116" xfId="6" applyNumberFormat="1" applyFont="1" applyFill="1" applyBorder="1" applyAlignment="1" applyProtection="1">
      <alignment horizontal="center" vertical="center" shrinkToFit="1"/>
      <protection hidden="1"/>
    </xf>
    <xf numFmtId="170" fontId="33" fillId="2" borderId="82" xfId="6" applyNumberFormat="1" applyFont="1" applyFill="1" applyBorder="1" applyAlignment="1" applyProtection="1">
      <alignment horizontal="center" vertical="center" shrinkToFit="1"/>
      <protection hidden="1"/>
    </xf>
    <xf numFmtId="168" fontId="33" fillId="2" borderId="116" xfId="6" applyNumberFormat="1" applyFont="1" applyFill="1" applyBorder="1" applyAlignment="1" applyProtection="1">
      <alignment horizontal="center" vertical="center" shrinkToFit="1"/>
      <protection hidden="1"/>
    </xf>
    <xf numFmtId="168" fontId="33" fillId="2" borderId="82" xfId="6" applyNumberFormat="1" applyFont="1" applyFill="1" applyBorder="1" applyAlignment="1" applyProtection="1">
      <alignment horizontal="center" vertical="center" shrinkToFit="1"/>
      <protection hidden="1"/>
    </xf>
    <xf numFmtId="2" fontId="41" fillId="19" borderId="113" xfId="6" applyNumberFormat="1" applyFont="1" applyFill="1" applyBorder="1" applyAlignment="1" applyProtection="1">
      <alignment horizontal="center" vertical="center" shrinkToFit="1"/>
      <protection hidden="1"/>
    </xf>
    <xf numFmtId="2" fontId="41" fillId="19" borderId="103" xfId="6" applyNumberFormat="1" applyFont="1" applyFill="1" applyBorder="1" applyAlignment="1" applyProtection="1">
      <alignment horizontal="center" vertical="center" shrinkToFit="1"/>
      <protection hidden="1"/>
    </xf>
    <xf numFmtId="2" fontId="41" fillId="19" borderId="106" xfId="6" applyNumberFormat="1" applyFont="1" applyFill="1" applyBorder="1" applyAlignment="1" applyProtection="1">
      <alignment horizontal="center" vertical="center" shrinkToFit="1"/>
      <protection hidden="1"/>
    </xf>
    <xf numFmtId="2" fontId="0" fillId="19" borderId="118" xfId="0" applyNumberFormat="1" applyFill="1" applyBorder="1" applyAlignment="1">
      <alignment horizontal="center" vertical="center" shrinkToFit="1"/>
    </xf>
    <xf numFmtId="2" fontId="0" fillId="19" borderId="119" xfId="0" applyNumberFormat="1" applyFill="1" applyBorder="1" applyAlignment="1">
      <alignment horizontal="center" vertical="center" shrinkToFit="1"/>
    </xf>
    <xf numFmtId="2" fontId="0" fillId="19" borderId="120" xfId="0" applyNumberFormat="1" applyFill="1" applyBorder="1" applyAlignment="1">
      <alignment horizontal="center" vertical="center" shrinkToFit="1"/>
    </xf>
    <xf numFmtId="2" fontId="0" fillId="19" borderId="121" xfId="0" applyNumberFormat="1" applyFill="1" applyBorder="1" applyAlignment="1">
      <alignment horizontal="center" vertical="center" shrinkToFit="1"/>
    </xf>
    <xf numFmtId="2" fontId="0" fillId="19" borderId="122" xfId="0" applyNumberFormat="1" applyFill="1" applyBorder="1" applyAlignment="1">
      <alignment horizontal="center" vertical="center" shrinkToFit="1"/>
    </xf>
    <xf numFmtId="0" fontId="1" fillId="2" borderId="0" xfId="1" applyFont="1" applyFill="1" applyAlignment="1" applyProtection="1">
      <alignment vertical="center"/>
      <protection hidden="1"/>
    </xf>
    <xf numFmtId="2" fontId="1" fillId="0" borderId="115" xfId="6" applyNumberFormat="1" applyBorder="1" applyAlignment="1" applyProtection="1">
      <alignment horizontal="center" vertical="center" shrinkToFit="1"/>
      <protection locked="0"/>
    </xf>
    <xf numFmtId="2" fontId="1" fillId="0" borderId="64" xfId="6" applyNumberFormat="1" applyBorder="1" applyAlignment="1" applyProtection="1">
      <alignment horizontal="center" vertical="center" shrinkToFit="1"/>
      <protection locked="0"/>
    </xf>
    <xf numFmtId="3" fontId="1" fillId="0" borderId="115" xfId="6" applyNumberFormat="1" applyBorder="1" applyAlignment="1" applyProtection="1">
      <alignment horizontal="center" vertical="center" shrinkToFit="1"/>
      <protection locked="0"/>
    </xf>
    <xf numFmtId="3" fontId="1" fillId="0" borderId="64" xfId="6" applyNumberFormat="1" applyBorder="1" applyAlignment="1" applyProtection="1">
      <alignment horizontal="center" vertical="center" shrinkToFit="1"/>
      <protection locked="0"/>
    </xf>
    <xf numFmtId="0" fontId="34" fillId="10" borderId="91" xfId="0" applyFont="1" applyFill="1" applyBorder="1" applyAlignment="1" applyProtection="1">
      <alignment horizontal="center" vertical="center"/>
      <protection hidden="1"/>
    </xf>
    <xf numFmtId="0" fontId="34" fillId="10" borderId="92" xfId="0" applyFont="1" applyFill="1" applyBorder="1" applyAlignment="1" applyProtection="1">
      <alignment horizontal="center" vertical="center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11">
    <dxf>
      <font>
        <color rgb="FFFF0000"/>
      </font>
    </dxf>
    <dxf>
      <font>
        <color rgb="FFFF0000"/>
      </font>
    </dxf>
    <dxf>
      <border>
        <right style="thin">
          <color theme="3"/>
        </right>
        <top style="thin">
          <color theme="2" tint="-0.24994659260841701"/>
        </top>
        <bottom style="thin">
          <color theme="2" tint="-0.24994659260841701"/>
        </bottom>
        <vertical/>
        <horizontal/>
      </border>
    </dxf>
    <dxf>
      <numFmt numFmtId="164" formatCode="0.0"/>
    </dxf>
    <dxf>
      <numFmt numFmtId="3" formatCode="#,##0"/>
    </dxf>
    <dxf>
      <border>
        <right style="thin">
          <color theme="3"/>
        </right>
        <top style="thin">
          <color theme="2" tint="-0.24994659260841701"/>
        </top>
        <bottom style="thin">
          <color theme="2" tint="-0.24994659260841701"/>
        </bottom>
        <vertical/>
        <horizontal/>
      </border>
    </dxf>
    <dxf>
      <border>
        <bottom style="thin">
          <color theme="3"/>
        </bottom>
        <vertical/>
        <horizontal/>
      </border>
    </dxf>
    <dxf>
      <border>
        <right style="thin">
          <color theme="3"/>
        </right>
        <top style="thin">
          <color theme="2" tint="-0.24994659260841701"/>
        </top>
        <bottom style="thin">
          <color theme="3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border>
        <right style="thin">
          <color theme="3"/>
        </right>
        <top style="thin">
          <color theme="2" tint="-0.24994659260841701"/>
        </top>
        <bottom style="thin">
          <color theme="3"/>
        </bottom>
        <vertical/>
        <horizontal/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</dxf>
  </dxfs>
  <tableStyles count="2" defaultTableStyle="TableStyleMedium2" defaultPivotStyle="PivotStyleLight16">
    <tableStyle name="Invisible" pivot="0" table="0" count="0" xr9:uid="{226FB002-B0C1-4F0A-9C27-B70356A0E0D9}"/>
    <tableStyle name="Table Style 1" pivot="0" count="1" xr9:uid="{52711730-AECA-479D-B9B4-529610C4F977}">
      <tableStyleElement type="wholeTable" dxfId="10"/>
    </tableStyle>
  </tableStyles>
  <colors>
    <mruColors>
      <color rgb="FFA6A6A6"/>
      <color rgb="FFCCCCCC"/>
      <color rgb="FFD6D6D6"/>
      <color rgb="FFFFD371"/>
      <color rgb="FFFBA96B"/>
      <color rgb="FFFFD166"/>
      <color rgb="FF073B4C"/>
      <color rgb="FF118AB2"/>
      <color rgb="FF06D6A0"/>
      <color rgb="FFEF47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2">
                    <a:lumMod val="10000"/>
                  </a:schemeClr>
                </a:solidFill>
                <a:latin typeface="Century Gothic" panose="020B0502020202020204" pitchFamily="34" charset="0"/>
              </a:rPr>
              <a:t>X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019299608951974E-2"/>
          <c:y val="0.19664041994750656"/>
          <c:w val="0.92654114430702106"/>
          <c:h val="0.67842478023580399"/>
        </c:manualLayout>
      </c:layout>
      <c:lineChart>
        <c:grouping val="standard"/>
        <c:varyColors val="0"/>
        <c:ser>
          <c:idx val="0"/>
          <c:order val="0"/>
          <c:tx>
            <c:v>X</c:v>
          </c:tx>
          <c:spPr>
            <a:ln w="22225" cap="rnd">
              <a:solidFill>
                <a:srgbClr val="118AB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118AB2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[0]!XMRCount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[0]!XMRx</c:f>
              <c:numCache>
                <c:formatCode>0.000</c:formatCode>
                <c:ptCount val="10"/>
                <c:pt idx="0">
                  <c:v>5.9</c:v>
                </c:pt>
                <c:pt idx="1">
                  <c:v>5.89</c:v>
                </c:pt>
                <c:pt idx="2">
                  <c:v>5.91</c:v>
                </c:pt>
                <c:pt idx="3">
                  <c:v>5.8970000000000002</c:v>
                </c:pt>
                <c:pt idx="4">
                  <c:v>5.9029999999999996</c:v>
                </c:pt>
                <c:pt idx="5">
                  <c:v>5.8869999999999996</c:v>
                </c:pt>
                <c:pt idx="6">
                  <c:v>5.9130000000000011</c:v>
                </c:pt>
                <c:pt idx="7">
                  <c:v>5.8849999999999998</c:v>
                </c:pt>
                <c:pt idx="8">
                  <c:v>5.9150000000000009</c:v>
                </c:pt>
                <c:pt idx="9">
                  <c:v>5.8890000000000002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48-4700-8FFF-44CAD0764BE6}"/>
            </c:ext>
          </c:extLst>
        </c:ser>
        <c:ser>
          <c:idx val="1"/>
          <c:order val="1"/>
          <c:tx>
            <c:v>LCL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[0]!XMRCount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[0]!XMRLCL</c:f>
              <c:numCache>
                <c:formatCode>0.000</c:formatCode>
                <c:ptCount val="10"/>
                <c:pt idx="0">
                  <c:v>5.8471860520094552</c:v>
                </c:pt>
                <c:pt idx="1">
                  <c:v>5.8471860520094552</c:v>
                </c:pt>
                <c:pt idx="2">
                  <c:v>5.8471860520094552</c:v>
                </c:pt>
                <c:pt idx="3">
                  <c:v>5.8471860520094552</c:v>
                </c:pt>
                <c:pt idx="4">
                  <c:v>5.8471860520094552</c:v>
                </c:pt>
                <c:pt idx="5">
                  <c:v>5.8471860520094552</c:v>
                </c:pt>
                <c:pt idx="6">
                  <c:v>5.8471860520094552</c:v>
                </c:pt>
                <c:pt idx="7">
                  <c:v>5.8471860520094552</c:v>
                </c:pt>
                <c:pt idx="8">
                  <c:v>5.8471860520094552</c:v>
                </c:pt>
                <c:pt idx="9">
                  <c:v>5.8471860520094552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48-4700-8FFF-44CAD0764BE6}"/>
            </c:ext>
          </c:extLst>
        </c:ser>
        <c:ser>
          <c:idx val="2"/>
          <c:order val="2"/>
          <c:tx>
            <c:v>UCL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[0]!XMRCount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[0]!XMRUCL</c:f>
              <c:numCache>
                <c:formatCode>0.000</c:formatCode>
                <c:ptCount val="10"/>
                <c:pt idx="0">
                  <c:v>5.9506139479905453</c:v>
                </c:pt>
                <c:pt idx="1">
                  <c:v>5.9506139479905453</c:v>
                </c:pt>
                <c:pt idx="2">
                  <c:v>5.9506139479905453</c:v>
                </c:pt>
                <c:pt idx="3">
                  <c:v>5.9506139479905453</c:v>
                </c:pt>
                <c:pt idx="4">
                  <c:v>5.9506139479905453</c:v>
                </c:pt>
                <c:pt idx="5">
                  <c:v>5.9506139479905453</c:v>
                </c:pt>
                <c:pt idx="6">
                  <c:v>5.9506139479905453</c:v>
                </c:pt>
                <c:pt idx="7">
                  <c:v>5.9506139479905453</c:v>
                </c:pt>
                <c:pt idx="8">
                  <c:v>5.9506139479905453</c:v>
                </c:pt>
                <c:pt idx="9">
                  <c:v>5.9506139479905453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48-4700-8FFF-44CAD0764BE6}"/>
            </c:ext>
          </c:extLst>
        </c:ser>
        <c:ser>
          <c:idx val="3"/>
          <c:order val="3"/>
          <c:tx>
            <c:v>Mean</c:v>
          </c:tx>
          <c:spPr>
            <a:ln w="22225" cap="rnd">
              <a:solidFill>
                <a:srgbClr val="FFD166"/>
              </a:solidFill>
              <a:round/>
            </a:ln>
            <a:effectLst/>
          </c:spPr>
          <c:marker>
            <c:symbol val="none"/>
          </c:marker>
          <c:cat>
            <c:numRef>
              <c:f>[0]!XMRCount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[0]!XMRmean</c:f>
              <c:numCache>
                <c:formatCode>0.000</c:formatCode>
                <c:ptCount val="10"/>
                <c:pt idx="0">
                  <c:v>5.8989000000000003</c:v>
                </c:pt>
                <c:pt idx="1">
                  <c:v>5.8989000000000003</c:v>
                </c:pt>
                <c:pt idx="2">
                  <c:v>5.8989000000000003</c:v>
                </c:pt>
                <c:pt idx="3">
                  <c:v>5.8989000000000003</c:v>
                </c:pt>
                <c:pt idx="4">
                  <c:v>5.8989000000000003</c:v>
                </c:pt>
                <c:pt idx="5">
                  <c:v>5.8989000000000003</c:v>
                </c:pt>
                <c:pt idx="6">
                  <c:v>5.8989000000000003</c:v>
                </c:pt>
                <c:pt idx="7">
                  <c:v>5.8989000000000003</c:v>
                </c:pt>
                <c:pt idx="8">
                  <c:v>5.8989000000000003</c:v>
                </c:pt>
                <c:pt idx="9">
                  <c:v>5.8989000000000003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048-4700-8FFF-44CAD0764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484624"/>
        <c:axId val="1812472560"/>
      </c:lineChart>
      <c:catAx>
        <c:axId val="181248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2472560"/>
        <c:crosses val="autoZero"/>
        <c:auto val="1"/>
        <c:lblAlgn val="ctr"/>
        <c:lblOffset val="100"/>
        <c:noMultiLvlLbl val="0"/>
      </c:catAx>
      <c:valAx>
        <c:axId val="1812472560"/>
        <c:scaling>
          <c:orientation val="minMax"/>
        </c:scaling>
        <c:delete val="0"/>
        <c:axPos val="l"/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48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2">
                    <a:lumMod val="10000"/>
                  </a:schemeClr>
                </a:solidFill>
                <a:latin typeface="Century Gothic" panose="020B0502020202020204" pitchFamily="34" charset="0"/>
              </a:rPr>
              <a:t>MR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6019299608951974E-2"/>
          <c:y val="0.17697637795275589"/>
          <c:w val="0.92654114430702106"/>
          <c:h val="0.71058230221222352"/>
        </c:manualLayout>
      </c:layout>
      <c:lineChart>
        <c:grouping val="standard"/>
        <c:varyColors val="0"/>
        <c:ser>
          <c:idx val="0"/>
          <c:order val="0"/>
          <c:tx>
            <c:v>MR</c:v>
          </c:tx>
          <c:spPr>
            <a:ln w="22225" cap="rnd">
              <a:solidFill>
                <a:srgbClr val="118AB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118AB2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[0]!XMRmr</c:f>
              <c:numCache>
                <c:formatCode>0.000</c:formatCode>
                <c:ptCount val="10"/>
                <c:pt idx="0">
                  <c:v>1.0000000000000675E-2</c:v>
                </c:pt>
                <c:pt idx="1">
                  <c:v>2.0000000000000462E-2</c:v>
                </c:pt>
                <c:pt idx="2">
                  <c:v>1.2999999999999901E-2</c:v>
                </c:pt>
                <c:pt idx="3">
                  <c:v>5.9999999999993392E-3</c:v>
                </c:pt>
                <c:pt idx="4">
                  <c:v>1.6000000000000014E-2</c:v>
                </c:pt>
                <c:pt idx="5">
                  <c:v>2.6000000000001577E-2</c:v>
                </c:pt>
                <c:pt idx="6">
                  <c:v>2.8000000000001357E-2</c:v>
                </c:pt>
                <c:pt idx="7">
                  <c:v>3.0000000000001137E-2</c:v>
                </c:pt>
                <c:pt idx="8">
                  <c:v>2.6000000000000689E-2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8F-4222-9A12-1F458BCBEE9F}"/>
            </c:ext>
          </c:extLst>
        </c:ser>
        <c:ser>
          <c:idx val="1"/>
          <c:order val="1"/>
          <c:tx>
            <c:v>Rmean</c:v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[0]!XMRr</c:f>
              <c:numCache>
                <c:formatCode>0.00</c:formatCode>
                <c:ptCount val="10"/>
                <c:pt idx="0">
                  <c:v>1.9444444444445017E-2</c:v>
                </c:pt>
                <c:pt idx="1">
                  <c:v>1.9444444444445017E-2</c:v>
                </c:pt>
                <c:pt idx="2">
                  <c:v>1.9444444444445017E-2</c:v>
                </c:pt>
                <c:pt idx="3">
                  <c:v>1.9444444444445017E-2</c:v>
                </c:pt>
                <c:pt idx="4">
                  <c:v>1.9444444444445017E-2</c:v>
                </c:pt>
                <c:pt idx="5">
                  <c:v>1.9444444444445017E-2</c:v>
                </c:pt>
                <c:pt idx="6">
                  <c:v>1.9444444444445017E-2</c:v>
                </c:pt>
                <c:pt idx="7">
                  <c:v>1.9444444444445017E-2</c:v>
                </c:pt>
                <c:pt idx="8">
                  <c:v>1.9444444444445017E-2</c:v>
                </c:pt>
                <c:pt idx="9">
                  <c:v>1.9444444444445017E-2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8F-4222-9A12-1F458BCBEE9F}"/>
            </c:ext>
          </c:extLst>
        </c:ser>
        <c:ser>
          <c:idx val="2"/>
          <c:order val="2"/>
          <c:tx>
            <c:v>UCLR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val>
            <c:numRef>
              <c:f>[0]!XMRUCLR</c:f>
              <c:numCache>
                <c:formatCode>0.000</c:formatCode>
                <c:ptCount val="10"/>
                <c:pt idx="0">
                  <c:v>6.3525000000001872E-2</c:v>
                </c:pt>
                <c:pt idx="1">
                  <c:v>6.3525000000001872E-2</c:v>
                </c:pt>
                <c:pt idx="2">
                  <c:v>6.3525000000001872E-2</c:v>
                </c:pt>
                <c:pt idx="3">
                  <c:v>6.3525000000001872E-2</c:v>
                </c:pt>
                <c:pt idx="4">
                  <c:v>6.3525000000001872E-2</c:v>
                </c:pt>
                <c:pt idx="5">
                  <c:v>6.3525000000001872E-2</c:v>
                </c:pt>
                <c:pt idx="6">
                  <c:v>6.3525000000001872E-2</c:v>
                </c:pt>
                <c:pt idx="7">
                  <c:v>6.3525000000001872E-2</c:v>
                </c:pt>
                <c:pt idx="8">
                  <c:v>6.3525000000001872E-2</c:v>
                </c:pt>
                <c:pt idx="9">
                  <c:v>6.3525000000001872E-2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F-4222-9A12-1F458BCBE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7620639"/>
        <c:axId val="2007617311"/>
      </c:lineChart>
      <c:catAx>
        <c:axId val="2007620639"/>
        <c:scaling>
          <c:orientation val="minMax"/>
        </c:scaling>
        <c:delete val="1"/>
        <c:axPos val="b"/>
        <c:majorTickMark val="none"/>
        <c:minorTickMark val="none"/>
        <c:tickLblPos val="nextTo"/>
        <c:crossAx val="2007617311"/>
        <c:crosses val="autoZero"/>
        <c:auto val="1"/>
        <c:lblAlgn val="ctr"/>
        <c:lblOffset val="100"/>
        <c:noMultiLvlLbl val="0"/>
      </c:catAx>
      <c:valAx>
        <c:axId val="2007617311"/>
        <c:scaling>
          <c:orientation val="minMax"/>
        </c:scaling>
        <c:delete val="0"/>
        <c:axPos val="l"/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7620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111209413430058E-2"/>
          <c:y val="0.11195910807780557"/>
          <c:w val="0.83777758117313983"/>
          <c:h val="0.77608178384438886"/>
        </c:manualLayout>
      </c:layout>
      <c:scatterChart>
        <c:scatterStyle val="smoothMarker"/>
        <c:varyColors val="0"/>
        <c:ser>
          <c:idx val="1"/>
          <c:order val="0"/>
          <c:tx>
            <c:v>mean</c:v>
          </c:tx>
          <c:spPr>
            <a:ln w="19050">
              <a:noFill/>
            </a:ln>
          </c:spPr>
          <c:marker>
            <c:symbol val="none"/>
          </c:marker>
          <c:errBars>
            <c:errDir val="x"/>
            <c:errBarType val="minus"/>
            <c:errValType val="percentage"/>
            <c:noEndCap val="1"/>
            <c:val val="0"/>
            <c:spPr>
              <a:ln>
                <a:noFill/>
              </a:ln>
            </c:spPr>
          </c:errBars>
          <c:errBars>
            <c:errDir val="y"/>
            <c:errBarType val="minus"/>
            <c:errValType val="percentage"/>
            <c:noEndCap val="1"/>
            <c:val val="100"/>
            <c:spPr>
              <a:ln w="12700">
                <a:solidFill>
                  <a:schemeClr val="accent2"/>
                </a:solidFill>
              </a:ln>
            </c:spPr>
          </c:errBars>
          <c:xVal>
            <c:numRef>
              <c:f>Calc!$BP$9</c:f>
              <c:numCache>
                <c:formatCode>0.000</c:formatCode>
                <c:ptCount val="1"/>
                <c:pt idx="0">
                  <c:v>5.8989000000000003</c:v>
                </c:pt>
              </c:numCache>
            </c:numRef>
          </c:xVal>
          <c:yVal>
            <c:numRef>
              <c:f>Calc!$BW$5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BD0-47F6-9BEF-48626C11C97F}"/>
            </c:ext>
          </c:extLst>
        </c:ser>
        <c:ser>
          <c:idx val="2"/>
          <c:order val="1"/>
          <c:tx>
            <c:v>LCL</c:v>
          </c:tx>
          <c:spPr>
            <a:ln w="19050">
              <a:noFill/>
            </a:ln>
          </c:spPr>
          <c:marker>
            <c:symbol val="none"/>
          </c:marker>
          <c:errBars>
            <c:errDir val="x"/>
            <c:errBarType val="minus"/>
            <c:errValType val="percentage"/>
            <c:noEndCap val="0"/>
            <c:val val="0"/>
          </c:errBars>
          <c:errBars>
            <c:errDir val="y"/>
            <c:errBarType val="minus"/>
            <c:errValType val="percentage"/>
            <c:noEndCap val="1"/>
            <c:val val="100"/>
            <c:spPr>
              <a:ln w="15875">
                <a:solidFill>
                  <a:schemeClr val="accent2">
                    <a:lumMod val="50000"/>
                  </a:schemeClr>
                </a:solidFill>
                <a:prstDash val="sysDot"/>
              </a:ln>
            </c:spPr>
          </c:errBars>
          <c:xVal>
            <c:numRef>
              <c:f>Calc!$BF$9</c:f>
              <c:numCache>
                <c:formatCode>0.000</c:formatCode>
                <c:ptCount val="1"/>
                <c:pt idx="0">
                  <c:v>5.8471860520094552</c:v>
                </c:pt>
              </c:numCache>
            </c:numRef>
          </c:xVal>
          <c:yVal>
            <c:numRef>
              <c:f>Calc!$BW$5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BD0-47F6-9BEF-48626C11C97F}"/>
            </c:ext>
          </c:extLst>
        </c:ser>
        <c:ser>
          <c:idx val="3"/>
          <c:order val="2"/>
          <c:tx>
            <c:v>UCL</c:v>
          </c:tx>
          <c:spPr>
            <a:ln w="19050">
              <a:noFill/>
            </a:ln>
          </c:spPr>
          <c:marker>
            <c:symbol val="none"/>
          </c:marker>
          <c:errBars>
            <c:errDir val="x"/>
            <c:errBarType val="both"/>
            <c:errValType val="percentage"/>
            <c:noEndCap val="0"/>
            <c:val val="0"/>
          </c:errBars>
          <c:errBars>
            <c:errDir val="y"/>
            <c:errBarType val="minus"/>
            <c:errValType val="percentage"/>
            <c:noEndCap val="1"/>
            <c:val val="100"/>
            <c:spPr>
              <a:ln w="15875">
                <a:solidFill>
                  <a:schemeClr val="accent2">
                    <a:lumMod val="50000"/>
                  </a:schemeClr>
                </a:solidFill>
                <a:prstDash val="sysDot"/>
              </a:ln>
            </c:spPr>
          </c:errBars>
          <c:xVal>
            <c:numRef>
              <c:f>Calc!$BE$9</c:f>
              <c:numCache>
                <c:formatCode>0.000</c:formatCode>
                <c:ptCount val="1"/>
                <c:pt idx="0">
                  <c:v>5.9506139479905453</c:v>
                </c:pt>
              </c:numCache>
            </c:numRef>
          </c:xVal>
          <c:yVal>
            <c:numRef>
              <c:f>Calc!$BW$5</c:f>
              <c:numCache>
                <c:formatCode>0</c:formatCode>
                <c:ptCount val="1"/>
                <c:pt idx="0">
                  <c:v>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BD0-47F6-9BEF-48626C11C97F}"/>
            </c:ext>
          </c:extLst>
        </c:ser>
        <c:ser>
          <c:idx val="0"/>
          <c:order val="3"/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[0]!XMRBellCurve</c:f>
              <c:numCache>
                <c:formatCode>0.000</c:formatCode>
                <c:ptCount val="13"/>
                <c:pt idx="0">
                  <c:v>5.8299887970072835</c:v>
                </c:pt>
                <c:pt idx="1">
                  <c:v>5.8414739975060694</c:v>
                </c:pt>
                <c:pt idx="2">
                  <c:v>5.8529591980048554</c:v>
                </c:pt>
                <c:pt idx="3">
                  <c:v>5.8644443985036414</c:v>
                </c:pt>
                <c:pt idx="4">
                  <c:v>5.8759295990024283</c:v>
                </c:pt>
                <c:pt idx="5">
                  <c:v>5.8874147995012143</c:v>
                </c:pt>
                <c:pt idx="6">
                  <c:v>5.8989000000000003</c:v>
                </c:pt>
                <c:pt idx="7">
                  <c:v>5.9103852004987862</c:v>
                </c:pt>
                <c:pt idx="8">
                  <c:v>5.9218704009975722</c:v>
                </c:pt>
                <c:pt idx="9">
                  <c:v>5.9333556014963591</c:v>
                </c:pt>
                <c:pt idx="10">
                  <c:v>5.9448408019951451</c:v>
                </c:pt>
                <c:pt idx="11">
                  <c:v>5.9563260024939311</c:v>
                </c:pt>
                <c:pt idx="12">
                  <c:v>5.9678112029927171</c:v>
                </c:pt>
              </c:numCache>
            </c:numRef>
          </c:xVal>
          <c:yVal>
            <c:numRef>
              <c:f>[0]!XMRBell</c:f>
              <c:numCache>
                <c:formatCode>0</c:formatCode>
                <c:ptCount val="13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1BD0-47F6-9BEF-48626C11C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5563056"/>
        <c:axId val="835563472"/>
      </c:scatterChart>
      <c:valAx>
        <c:axId val="83556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5563472"/>
        <c:crosses val="autoZero"/>
        <c:crossBetween val="midCat"/>
      </c:valAx>
      <c:valAx>
        <c:axId val="83556347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835563056"/>
        <c:crosses val="autoZero"/>
        <c:crossBetween val="midCat"/>
      </c:valAx>
      <c:spPr>
        <a:solidFill>
          <a:srgbClr val="FFF2CC">
            <a:alpha val="0"/>
          </a:srgbClr>
        </a:solidFill>
      </c:spPr>
    </c:plotArea>
    <c:plotVisOnly val="1"/>
    <c:dispBlanksAs val="gap"/>
    <c:showDLblsOverMax val="0"/>
    <c:extLst/>
  </c:chart>
  <c:spPr>
    <a:solidFill>
      <a:sysClr val="window" lastClr="FFFFFF">
        <a:alpha val="40000"/>
      </a:sysClr>
    </a:solidFill>
    <a:ln>
      <a:solidFill>
        <a:schemeClr val="bg1">
          <a:lumMod val="75000"/>
        </a:schemeClr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</a:rPr>
              <a:t>X-bar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820594904628515E-2"/>
          <c:y val="0.18421325831523058"/>
          <c:w val="0.90188675470188073"/>
          <c:h val="0.69379086778449672"/>
        </c:manualLayout>
      </c:layout>
      <c:lineChart>
        <c:grouping val="standard"/>
        <c:varyColors val="0"/>
        <c:ser>
          <c:idx val="0"/>
          <c:order val="0"/>
          <c:tx>
            <c:v>X-bar</c:v>
          </c:tx>
          <c:spPr>
            <a:ln w="22225" cap="rnd">
              <a:solidFill>
                <a:srgbClr val="118AB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118AB2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[0]!XbarCount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[0]!Xbar</c:f>
              <c:numCache>
                <c:formatCode>0.000</c:formatCode>
                <c:ptCount val="10"/>
                <c:pt idx="0">
                  <c:v>6.0359999999999996</c:v>
                </c:pt>
                <c:pt idx="1">
                  <c:v>5.9359999999999999</c:v>
                </c:pt>
                <c:pt idx="2">
                  <c:v>5.9580000000000002</c:v>
                </c:pt>
                <c:pt idx="3">
                  <c:v>6.0179999999999998</c:v>
                </c:pt>
                <c:pt idx="4">
                  <c:v>5.9820000000000002</c:v>
                </c:pt>
                <c:pt idx="5">
                  <c:v>6.02</c:v>
                </c:pt>
                <c:pt idx="6">
                  <c:v>5.9839999999999991</c:v>
                </c:pt>
                <c:pt idx="7">
                  <c:v>5.9939999999999998</c:v>
                </c:pt>
                <c:pt idx="8">
                  <c:v>5.9820000000000002</c:v>
                </c:pt>
                <c:pt idx="9">
                  <c:v>5.9919999999999991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A-4F04-80A3-2F96E535ED13}"/>
            </c:ext>
          </c:extLst>
        </c:ser>
        <c:ser>
          <c:idx val="1"/>
          <c:order val="1"/>
          <c:tx>
            <c:v>LCL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[0]!XbarCount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[0]!XbarLCL</c:f>
              <c:numCache>
                <c:formatCode>0.000</c:formatCode>
                <c:ptCount val="10"/>
                <c:pt idx="0">
                  <c:v>5.8892597000698714</c:v>
                </c:pt>
                <c:pt idx="1">
                  <c:v>5.8892597000698714</c:v>
                </c:pt>
                <c:pt idx="2">
                  <c:v>5.8892597000698714</c:v>
                </c:pt>
                <c:pt idx="3">
                  <c:v>5.8892597000698714</c:v>
                </c:pt>
                <c:pt idx="4">
                  <c:v>5.8892597000698714</c:v>
                </c:pt>
                <c:pt idx="5">
                  <c:v>5.8892597000698714</c:v>
                </c:pt>
                <c:pt idx="6">
                  <c:v>5.8892597000698714</c:v>
                </c:pt>
                <c:pt idx="7">
                  <c:v>5.8892597000698714</c:v>
                </c:pt>
                <c:pt idx="8">
                  <c:v>5.8892597000698714</c:v>
                </c:pt>
                <c:pt idx="9">
                  <c:v>5.8892597000698714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4A-4F04-80A3-2F96E535ED13}"/>
            </c:ext>
          </c:extLst>
        </c:ser>
        <c:ser>
          <c:idx val="2"/>
          <c:order val="2"/>
          <c:tx>
            <c:v>UCL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[0]!XbarCount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[0]!XbarUCL</c:f>
              <c:numCache>
                <c:formatCode>0.000</c:formatCode>
                <c:ptCount val="10"/>
                <c:pt idx="0">
                  <c:v>6.0911402999301281</c:v>
                </c:pt>
                <c:pt idx="1">
                  <c:v>6.0911402999301281</c:v>
                </c:pt>
                <c:pt idx="2">
                  <c:v>6.0911402999301281</c:v>
                </c:pt>
                <c:pt idx="3">
                  <c:v>6.0911402999301281</c:v>
                </c:pt>
                <c:pt idx="4">
                  <c:v>6.0911402999301281</c:v>
                </c:pt>
                <c:pt idx="5">
                  <c:v>6.0911402999301281</c:v>
                </c:pt>
                <c:pt idx="6">
                  <c:v>6.0911402999301281</c:v>
                </c:pt>
                <c:pt idx="7">
                  <c:v>6.0911402999301281</c:v>
                </c:pt>
                <c:pt idx="8">
                  <c:v>6.0911402999301281</c:v>
                </c:pt>
                <c:pt idx="9">
                  <c:v>6.0911402999301281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4A-4F04-80A3-2F96E535ED13}"/>
            </c:ext>
          </c:extLst>
        </c:ser>
        <c:ser>
          <c:idx val="3"/>
          <c:order val="3"/>
          <c:tx>
            <c:v>Mean</c:v>
          </c:tx>
          <c:spPr>
            <a:ln w="22225" cap="rnd">
              <a:solidFill>
                <a:srgbClr val="FFD166"/>
              </a:solidFill>
              <a:round/>
            </a:ln>
            <a:effectLst/>
          </c:spPr>
          <c:marker>
            <c:symbol val="none"/>
          </c:marker>
          <c:cat>
            <c:numRef>
              <c:f>[0]!XbarCount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[0]!XbarMean</c:f>
              <c:numCache>
                <c:formatCode>0.000</c:formatCode>
                <c:ptCount val="10"/>
                <c:pt idx="0">
                  <c:v>5.9901999999999997</c:v>
                </c:pt>
                <c:pt idx="1">
                  <c:v>5.9901999999999997</c:v>
                </c:pt>
                <c:pt idx="2">
                  <c:v>5.9901999999999997</c:v>
                </c:pt>
                <c:pt idx="3">
                  <c:v>5.9901999999999997</c:v>
                </c:pt>
                <c:pt idx="4">
                  <c:v>5.9901999999999997</c:v>
                </c:pt>
                <c:pt idx="5">
                  <c:v>5.9901999999999997</c:v>
                </c:pt>
                <c:pt idx="6">
                  <c:v>5.9901999999999997</c:v>
                </c:pt>
                <c:pt idx="7">
                  <c:v>5.9901999999999997</c:v>
                </c:pt>
                <c:pt idx="8">
                  <c:v>5.9901999999999997</c:v>
                </c:pt>
                <c:pt idx="9">
                  <c:v>5.9901999999999997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4A-4F04-80A3-2F96E535E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484624"/>
        <c:axId val="1812472560"/>
      </c:lineChart>
      <c:catAx>
        <c:axId val="181248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2472560"/>
        <c:crosses val="autoZero"/>
        <c:auto val="1"/>
        <c:lblAlgn val="ctr"/>
        <c:lblOffset val="100"/>
        <c:noMultiLvlLbl val="0"/>
      </c:catAx>
      <c:valAx>
        <c:axId val="1812472560"/>
        <c:scaling>
          <c:orientation val="minMax"/>
        </c:scaling>
        <c:delete val="0"/>
        <c:axPos val="l"/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48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</a:rPr>
              <a:t>R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18224099477167E-2"/>
          <c:y val="0.19231389805647231"/>
          <c:w val="0.91151885035145996"/>
          <c:h val="0.67515095954039861"/>
        </c:manualLayout>
      </c:layout>
      <c:lineChart>
        <c:grouping val="standard"/>
        <c:varyColors val="0"/>
        <c:ser>
          <c:idx val="0"/>
          <c:order val="0"/>
          <c:tx>
            <c:v>R</c:v>
          </c:tx>
          <c:spPr>
            <a:ln w="22225" cap="rnd">
              <a:solidFill>
                <a:srgbClr val="118AB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118AB2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[0]!XbarR</c:f>
              <c:numCache>
                <c:formatCode>0.00</c:formatCode>
                <c:ptCount val="10"/>
                <c:pt idx="0">
                  <c:v>0.17999999999999972</c:v>
                </c:pt>
                <c:pt idx="1">
                  <c:v>0.13999999999999968</c:v>
                </c:pt>
                <c:pt idx="2">
                  <c:v>0.17999999999999972</c:v>
                </c:pt>
                <c:pt idx="3">
                  <c:v>0.15000000000000036</c:v>
                </c:pt>
                <c:pt idx="4">
                  <c:v>0.20000000000000018</c:v>
                </c:pt>
                <c:pt idx="5">
                  <c:v>0.1899999999999995</c:v>
                </c:pt>
                <c:pt idx="6">
                  <c:v>0.16000000000000014</c:v>
                </c:pt>
                <c:pt idx="7">
                  <c:v>0.14000000000000057</c:v>
                </c:pt>
                <c:pt idx="8">
                  <c:v>0.21999999999999975</c:v>
                </c:pt>
                <c:pt idx="9">
                  <c:v>0.19000000000000039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A5-4564-8953-48DA6642E192}"/>
            </c:ext>
          </c:extLst>
        </c:ser>
        <c:ser>
          <c:idx val="1"/>
          <c:order val="1"/>
          <c:tx>
            <c:v>Mean</c:v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[0]!XbarRmean</c:f>
              <c:numCache>
                <c:formatCode>0.000</c:formatCode>
                <c:ptCount val="10"/>
                <c:pt idx="0">
                  <c:v>0.17499999999999999</c:v>
                </c:pt>
                <c:pt idx="1">
                  <c:v>0.17499999999999999</c:v>
                </c:pt>
                <c:pt idx="2">
                  <c:v>0.17499999999999999</c:v>
                </c:pt>
                <c:pt idx="3">
                  <c:v>0.17499999999999999</c:v>
                </c:pt>
                <c:pt idx="4">
                  <c:v>0.17499999999999999</c:v>
                </c:pt>
                <c:pt idx="5">
                  <c:v>0.17499999999999999</c:v>
                </c:pt>
                <c:pt idx="6">
                  <c:v>0.17499999999999999</c:v>
                </c:pt>
                <c:pt idx="7">
                  <c:v>0.17499999999999999</c:v>
                </c:pt>
                <c:pt idx="8">
                  <c:v>0.17499999999999999</c:v>
                </c:pt>
                <c:pt idx="9">
                  <c:v>0.17499999999999999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A5-4564-8953-48DA6642E192}"/>
            </c:ext>
          </c:extLst>
        </c:ser>
        <c:ser>
          <c:idx val="2"/>
          <c:order val="2"/>
          <c:tx>
            <c:v>UCL-R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val>
            <c:numRef>
              <c:f>[0]!XbarUCLR</c:f>
              <c:numCache>
                <c:formatCode>0.000</c:formatCode>
                <c:ptCount val="10"/>
                <c:pt idx="0">
                  <c:v>0.36994999999999995</c:v>
                </c:pt>
                <c:pt idx="1">
                  <c:v>0.36994999999999995</c:v>
                </c:pt>
                <c:pt idx="2">
                  <c:v>0.36994999999999995</c:v>
                </c:pt>
                <c:pt idx="3">
                  <c:v>0.36994999999999995</c:v>
                </c:pt>
                <c:pt idx="4">
                  <c:v>0.36994999999999995</c:v>
                </c:pt>
                <c:pt idx="5">
                  <c:v>0.36994999999999995</c:v>
                </c:pt>
                <c:pt idx="6">
                  <c:v>0.36994999999999995</c:v>
                </c:pt>
                <c:pt idx="7">
                  <c:v>0.36994999999999995</c:v>
                </c:pt>
                <c:pt idx="8">
                  <c:v>0.36994999999999995</c:v>
                </c:pt>
                <c:pt idx="9">
                  <c:v>0.36994999999999995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A5-4564-8953-48DA6642E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7620639"/>
        <c:axId val="2007617311"/>
      </c:lineChart>
      <c:catAx>
        <c:axId val="2007620639"/>
        <c:scaling>
          <c:orientation val="minMax"/>
        </c:scaling>
        <c:delete val="1"/>
        <c:axPos val="b"/>
        <c:majorTickMark val="none"/>
        <c:minorTickMark val="none"/>
        <c:tickLblPos val="nextTo"/>
        <c:crossAx val="2007617311"/>
        <c:crosses val="autoZero"/>
        <c:auto val="1"/>
        <c:lblAlgn val="ctr"/>
        <c:lblOffset val="100"/>
        <c:noMultiLvlLbl val="0"/>
      </c:catAx>
      <c:valAx>
        <c:axId val="200761731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76206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"/>
          <c:order val="0"/>
          <c:tx>
            <c:v>mean</c:v>
          </c:tx>
          <c:spPr>
            <a:ln w="25400">
              <a:noFill/>
            </a:ln>
          </c:spPr>
          <c:marker>
            <c:symbol val="none"/>
          </c:marker>
          <c:errBars>
            <c:errDir val="x"/>
            <c:errBarType val="minus"/>
            <c:errValType val="percentage"/>
            <c:noEndCap val="1"/>
            <c:val val="0"/>
            <c:spPr>
              <a:ln>
                <a:noFill/>
              </a:ln>
            </c:spPr>
          </c:errBars>
          <c:errBars>
            <c:errDir val="y"/>
            <c:errBarType val="minus"/>
            <c:errValType val="percentage"/>
            <c:noEndCap val="1"/>
            <c:val val="100"/>
            <c:spPr>
              <a:ln w="12700">
                <a:solidFill>
                  <a:schemeClr val="accent2"/>
                </a:solidFill>
              </a:ln>
            </c:spPr>
          </c:errBars>
          <c:xVal>
            <c:numRef>
              <c:f>Calc!$AP$9</c:f>
              <c:numCache>
                <c:formatCode>0.000</c:formatCode>
                <c:ptCount val="1"/>
                <c:pt idx="0">
                  <c:v>5.9901999999999997</c:v>
                </c:pt>
              </c:numCache>
            </c:numRef>
          </c:xVal>
          <c:yVal>
            <c:numRef>
              <c:f>Calc!$AW$5</c:f>
              <c:numCache>
                <c:formatCode>0</c:formatCode>
                <c:ptCount val="1"/>
                <c:pt idx="0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53A0-4C97-8589-D3169E6232DC}"/>
            </c:ext>
          </c:extLst>
        </c:ser>
        <c:ser>
          <c:idx val="2"/>
          <c:order val="1"/>
          <c:tx>
            <c:v>LCL</c:v>
          </c:tx>
          <c:spPr>
            <a:ln w="19050">
              <a:noFill/>
            </a:ln>
          </c:spPr>
          <c:marker>
            <c:symbol val="none"/>
          </c:marker>
          <c:errBars>
            <c:errDir val="x"/>
            <c:errBarType val="minus"/>
            <c:errValType val="percentage"/>
            <c:noEndCap val="0"/>
            <c:val val="0"/>
          </c:errBars>
          <c:errBars>
            <c:errDir val="y"/>
            <c:errBarType val="minus"/>
            <c:errValType val="percentage"/>
            <c:noEndCap val="1"/>
            <c:val val="100"/>
            <c:spPr>
              <a:ln w="15875">
                <a:solidFill>
                  <a:schemeClr val="accent2">
                    <a:lumMod val="50000"/>
                  </a:schemeClr>
                </a:solidFill>
                <a:prstDash val="sysDot"/>
              </a:ln>
            </c:spPr>
          </c:errBars>
          <c:xVal>
            <c:numRef>
              <c:f>Calc!$AF$9</c:f>
              <c:numCache>
                <c:formatCode>0.000</c:formatCode>
                <c:ptCount val="1"/>
                <c:pt idx="0">
                  <c:v>5.8892597000698714</c:v>
                </c:pt>
              </c:numCache>
            </c:numRef>
          </c:xVal>
          <c:yVal>
            <c:numRef>
              <c:f>Calc!$AW$5</c:f>
              <c:numCache>
                <c:formatCode>0</c:formatCode>
                <c:ptCount val="1"/>
                <c:pt idx="0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53A0-4C97-8589-D3169E6232DC}"/>
            </c:ext>
          </c:extLst>
        </c:ser>
        <c:ser>
          <c:idx val="3"/>
          <c:order val="2"/>
          <c:tx>
            <c:v>UCL</c:v>
          </c:tx>
          <c:marker>
            <c:symbol val="none"/>
          </c:marker>
          <c:errBars>
            <c:errDir val="x"/>
            <c:errBarType val="both"/>
            <c:errValType val="percentage"/>
            <c:noEndCap val="0"/>
            <c:val val="0"/>
          </c:errBars>
          <c:errBars>
            <c:errDir val="y"/>
            <c:errBarType val="minus"/>
            <c:errValType val="percentage"/>
            <c:noEndCap val="1"/>
            <c:val val="100"/>
            <c:spPr>
              <a:ln w="15875">
                <a:solidFill>
                  <a:schemeClr val="accent2">
                    <a:lumMod val="50000"/>
                  </a:schemeClr>
                </a:solidFill>
                <a:prstDash val="sysDot"/>
              </a:ln>
            </c:spPr>
          </c:errBars>
          <c:xVal>
            <c:numRef>
              <c:f>Calc!$AE$9</c:f>
              <c:numCache>
                <c:formatCode>0.000</c:formatCode>
                <c:ptCount val="1"/>
                <c:pt idx="0">
                  <c:v>6.0911402999301281</c:v>
                </c:pt>
              </c:numCache>
            </c:numRef>
          </c:xVal>
          <c:yVal>
            <c:numRef>
              <c:f>Calc!$AW$5</c:f>
              <c:numCache>
                <c:formatCode>0</c:formatCode>
                <c:ptCount val="1"/>
                <c:pt idx="0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53A0-4C97-8589-D3169E6232DC}"/>
            </c:ext>
          </c:extLst>
        </c:ser>
        <c:ser>
          <c:idx val="4"/>
          <c:order val="3"/>
          <c:marker>
            <c:symbol val="none"/>
          </c:marker>
          <c:dPt>
            <c:idx val="6"/>
            <c:bubble3D val="0"/>
            <c:spPr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3A0-4C97-8589-D3169E6232DC}"/>
              </c:ext>
            </c:extLst>
          </c:dPt>
          <c:xVal>
            <c:numRef>
              <c:f>[0]!XbarBellCurve</c:f>
              <c:numCache>
                <c:formatCode>0.000</c:formatCode>
                <c:ptCount val="13"/>
                <c:pt idx="0">
                  <c:v>5.6490693957115008</c:v>
                </c:pt>
                <c:pt idx="1">
                  <c:v>5.7059244964262508</c:v>
                </c:pt>
                <c:pt idx="2">
                  <c:v>5.7627795971410007</c:v>
                </c:pt>
                <c:pt idx="3">
                  <c:v>5.8196346978557498</c:v>
                </c:pt>
                <c:pt idx="4">
                  <c:v>5.8764897985704998</c:v>
                </c:pt>
                <c:pt idx="5">
                  <c:v>5.9333448992852498</c:v>
                </c:pt>
                <c:pt idx="6">
                  <c:v>5.9901999999999997</c:v>
                </c:pt>
                <c:pt idx="7">
                  <c:v>6.0470551007147497</c:v>
                </c:pt>
                <c:pt idx="8">
                  <c:v>6.1039102014294997</c:v>
                </c:pt>
                <c:pt idx="9">
                  <c:v>6.1607653021442497</c:v>
                </c:pt>
                <c:pt idx="10">
                  <c:v>6.2176204028589988</c:v>
                </c:pt>
                <c:pt idx="11">
                  <c:v>6.2744755035737487</c:v>
                </c:pt>
                <c:pt idx="12">
                  <c:v>6.3313306042884987</c:v>
                </c:pt>
              </c:numCache>
            </c:numRef>
          </c:xVal>
          <c:yVal>
            <c:numRef>
              <c:f>[0]!XbarBell</c:f>
              <c:numCache>
                <c:formatCode>0</c:formatCode>
                <c:ptCount val="13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53A0-4C97-8589-D3169E6232DC}"/>
            </c:ext>
          </c:extLst>
        </c:ser>
        <c:ser>
          <c:idx val="0"/>
          <c:order val="4"/>
          <c:spPr>
            <a:ln w="19050" cap="rnd">
              <a:solidFill>
                <a:srgbClr val="118AB2"/>
              </a:solidFill>
              <a:round/>
            </a:ln>
            <a:effectLst/>
          </c:spPr>
          <c:marker>
            <c:symbol val="none"/>
          </c:marker>
          <c:xVal>
            <c:numRef>
              <c:f>Calc!$AJ$9:$AV$9</c:f>
              <c:numCache>
                <c:formatCode>0.000</c:formatCode>
                <c:ptCount val="13"/>
                <c:pt idx="0">
                  <c:v>5.6490693957115008</c:v>
                </c:pt>
                <c:pt idx="1">
                  <c:v>5.7059244964262508</c:v>
                </c:pt>
                <c:pt idx="2">
                  <c:v>5.7627795971410007</c:v>
                </c:pt>
                <c:pt idx="3">
                  <c:v>5.8196346978557498</c:v>
                </c:pt>
                <c:pt idx="4">
                  <c:v>5.8764897985704998</c:v>
                </c:pt>
                <c:pt idx="5">
                  <c:v>5.9333448992852498</c:v>
                </c:pt>
                <c:pt idx="6">
                  <c:v>5.9901999999999997</c:v>
                </c:pt>
                <c:pt idx="7">
                  <c:v>6.0470551007147497</c:v>
                </c:pt>
                <c:pt idx="8">
                  <c:v>6.1039102014294997</c:v>
                </c:pt>
                <c:pt idx="9">
                  <c:v>6.1607653021442497</c:v>
                </c:pt>
                <c:pt idx="10">
                  <c:v>6.2176204028589988</c:v>
                </c:pt>
                <c:pt idx="11">
                  <c:v>6.2744755035737487</c:v>
                </c:pt>
                <c:pt idx="12">
                  <c:v>6.3313306042884987</c:v>
                </c:pt>
              </c:numCache>
            </c:numRef>
          </c:xVal>
          <c:yVal>
            <c:numRef>
              <c:f>Calc!$AJ$5:$AV$5</c:f>
              <c:numCache>
                <c:formatCode>0</c:formatCode>
                <c:ptCount val="13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3A0-4C97-8589-D3169E623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5563056"/>
        <c:axId val="835563472"/>
      </c:scatterChart>
      <c:valAx>
        <c:axId val="83556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5563472"/>
        <c:crosses val="autoZero"/>
        <c:crossBetween val="midCat"/>
      </c:valAx>
      <c:valAx>
        <c:axId val="83556347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835563056"/>
        <c:crosses val="autoZero"/>
        <c:crossBetween val="midCat"/>
      </c:valAx>
      <c:spPr>
        <a:solidFill>
          <a:srgbClr val="FFF2CC">
            <a:alpha val="0"/>
          </a:srgbClr>
        </a:solidFill>
      </c:spPr>
    </c:plotArea>
    <c:plotVisOnly val="1"/>
    <c:dispBlanksAs val="gap"/>
    <c:showDLblsOverMax val="0"/>
    <c:extLst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</a:rPr>
              <a:t>P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P values</c:v>
          </c:tx>
          <c:spPr>
            <a:ln w="22225" cap="rnd">
              <a:solidFill>
                <a:srgbClr val="118AB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118AB2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[0]!PCount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[0]!Pdata</c:f>
              <c:numCache>
                <c:formatCode>0.000</c:formatCode>
                <c:ptCount val="10"/>
                <c:pt idx="0">
                  <c:v>1.44E-2</c:v>
                </c:pt>
                <c:pt idx="1">
                  <c:v>1.9230769230769232E-2</c:v>
                </c:pt>
                <c:pt idx="2">
                  <c:v>1.8666666666666668E-2</c:v>
                </c:pt>
                <c:pt idx="3">
                  <c:v>1.5111111111111112E-2</c:v>
                </c:pt>
                <c:pt idx="4">
                  <c:v>8.6206896551724137E-3</c:v>
                </c:pt>
                <c:pt idx="5">
                  <c:v>8.5714285714285719E-3</c:v>
                </c:pt>
                <c:pt idx="6">
                  <c:v>1.0610932475884211E-2</c:v>
                </c:pt>
                <c:pt idx="7">
                  <c:v>1.5384615384615385E-2</c:v>
                </c:pt>
                <c:pt idx="8">
                  <c:v>1.6666666666666666E-2</c:v>
                </c:pt>
                <c:pt idx="9">
                  <c:v>1.3333333333333334E-2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C-410B-A254-37133437AC86}"/>
            </c:ext>
          </c:extLst>
        </c:ser>
        <c:ser>
          <c:idx val="1"/>
          <c:order val="1"/>
          <c:tx>
            <c:v>LCL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[0]!PCount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[0]!PLCL</c:f>
              <c:numCache>
                <c:formatCode>0.000</c:formatCode>
                <c:ptCount val="10"/>
                <c:pt idx="0">
                  <c:v>4.0693246083143893E-3</c:v>
                </c:pt>
                <c:pt idx="1">
                  <c:v>4.2633294198999028E-3</c:v>
                </c:pt>
                <c:pt idx="2">
                  <c:v>4.9397698771576314E-3</c:v>
                </c:pt>
                <c:pt idx="3">
                  <c:v>3.5289239506254601E-3</c:v>
                </c:pt>
                <c:pt idx="4">
                  <c:v>3.6890090166076042E-3</c:v>
                </c:pt>
                <c:pt idx="5">
                  <c:v>3.1593139646725107E-3</c:v>
                </c:pt>
                <c:pt idx="6">
                  <c:v>3.0894394841173498E-3</c:v>
                </c:pt>
                <c:pt idx="7">
                  <c:v>4.2633294198999028E-3</c:v>
                </c:pt>
                <c:pt idx="8">
                  <c:v>4.9397698771576314E-3</c:v>
                </c:pt>
                <c:pt idx="9">
                  <c:v>3.5289239506254601E-3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FC-410B-A254-37133437AC86}"/>
            </c:ext>
          </c:extLst>
        </c:ser>
        <c:ser>
          <c:idx val="2"/>
          <c:order val="2"/>
          <c:tx>
            <c:v>UCL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[0]!PCount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[0]!PUCL</c:f>
              <c:numCache>
                <c:formatCode>0.000</c:formatCode>
                <c:ptCount val="10"/>
                <c:pt idx="0">
                  <c:v>2.404991801081513E-2</c:v>
                </c:pt>
                <c:pt idx="1">
                  <c:v>2.3855913199229618E-2</c:v>
                </c:pt>
                <c:pt idx="2">
                  <c:v>2.317947274197189E-2</c:v>
                </c:pt>
                <c:pt idx="3">
                  <c:v>2.4590318668504061E-2</c:v>
                </c:pt>
                <c:pt idx="4">
                  <c:v>2.4430233602521917E-2</c:v>
                </c:pt>
                <c:pt idx="5">
                  <c:v>2.4959928654457009E-2</c:v>
                </c:pt>
                <c:pt idx="6">
                  <c:v>2.5029803135012171E-2</c:v>
                </c:pt>
                <c:pt idx="7">
                  <c:v>2.3855913199229618E-2</c:v>
                </c:pt>
                <c:pt idx="8">
                  <c:v>2.317947274197189E-2</c:v>
                </c:pt>
                <c:pt idx="9">
                  <c:v>2.4590318668504061E-2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FC-410B-A254-37133437AC86}"/>
            </c:ext>
          </c:extLst>
        </c:ser>
        <c:ser>
          <c:idx val="3"/>
          <c:order val="3"/>
          <c:tx>
            <c:v>Mean</c:v>
          </c:tx>
          <c:spPr>
            <a:ln w="22225" cap="rnd">
              <a:solidFill>
                <a:srgbClr val="FFD166"/>
              </a:solidFill>
              <a:round/>
            </a:ln>
            <a:effectLst/>
          </c:spPr>
          <c:marker>
            <c:symbol val="none"/>
          </c:marker>
          <c:cat>
            <c:numRef>
              <c:f>[0]!PCount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[0]!Pmean</c:f>
              <c:numCache>
                <c:formatCode>0.0000</c:formatCode>
                <c:ptCount val="10"/>
                <c:pt idx="0">
                  <c:v>1.4059621309564761E-2</c:v>
                </c:pt>
                <c:pt idx="1">
                  <c:v>1.4059621309564761E-2</c:v>
                </c:pt>
                <c:pt idx="2">
                  <c:v>1.4059621309564761E-2</c:v>
                </c:pt>
                <c:pt idx="3">
                  <c:v>1.4059621309564761E-2</c:v>
                </c:pt>
                <c:pt idx="4">
                  <c:v>1.4059621309564761E-2</c:v>
                </c:pt>
                <c:pt idx="5">
                  <c:v>1.4059621309564761E-2</c:v>
                </c:pt>
                <c:pt idx="6">
                  <c:v>1.4059621309564761E-2</c:v>
                </c:pt>
                <c:pt idx="7">
                  <c:v>1.4059621309564761E-2</c:v>
                </c:pt>
                <c:pt idx="8">
                  <c:v>1.4059621309564761E-2</c:v>
                </c:pt>
                <c:pt idx="9">
                  <c:v>1.4059621309564761E-2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FC-410B-A254-37133437A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484624"/>
        <c:axId val="1812472560"/>
      </c:lineChart>
      <c:catAx>
        <c:axId val="181248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2472560"/>
        <c:crosses val="autoZero"/>
        <c:auto val="1"/>
        <c:lblAlgn val="ctr"/>
        <c:lblOffset val="100"/>
        <c:noMultiLvlLbl val="0"/>
      </c:catAx>
      <c:valAx>
        <c:axId val="181247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48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95000"/>
                    <a:lumOff val="5000"/>
                  </a:schemeClr>
                </a:solidFill>
                <a:latin typeface="Century Gothic" panose="020B0502020202020204" pitchFamily="34" charset="0"/>
              </a:rPr>
              <a:t>U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95000"/>
                  <a:lumOff val="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U values</c:v>
          </c:tx>
          <c:spPr>
            <a:ln w="22225" cap="rnd">
              <a:solidFill>
                <a:srgbClr val="118AB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118AB2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[0]!UCount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[0]!Udata</c:f>
              <c:numCache>
                <c:formatCode>0.000</c:formatCode>
                <c:ptCount val="10"/>
                <c:pt idx="0">
                  <c:v>6.933333333333333E-3</c:v>
                </c:pt>
                <c:pt idx="1">
                  <c:v>9.743589743589744E-3</c:v>
                </c:pt>
                <c:pt idx="2">
                  <c:v>9.3333333333333341E-3</c:v>
                </c:pt>
                <c:pt idx="3">
                  <c:v>7.7037037037037039E-3</c:v>
                </c:pt>
                <c:pt idx="4">
                  <c:v>4.0229885057471264E-3</c:v>
                </c:pt>
                <c:pt idx="5">
                  <c:v>3.8095238095238095E-3</c:v>
                </c:pt>
                <c:pt idx="6">
                  <c:v>5.1446945337620415E-3</c:v>
                </c:pt>
                <c:pt idx="7">
                  <c:v>7.6923076923076927E-3</c:v>
                </c:pt>
                <c:pt idx="8">
                  <c:v>8.4444444444444437E-3</c:v>
                </c:pt>
                <c:pt idx="9">
                  <c:v>6.5185185185185181E-3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86-420A-9F3E-614069109E6C}"/>
            </c:ext>
          </c:extLst>
        </c:ser>
        <c:ser>
          <c:idx val="1"/>
          <c:order val="1"/>
          <c:tx>
            <c:v>LCL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[0]!UCount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[0]!ULCL</c:f>
              <c:numCache>
                <c:formatCode>0.000</c:formatCode>
                <c:ptCount val="10"/>
                <c:pt idx="0">
                  <c:v>1.1652165756347857E-3</c:v>
                </c:pt>
                <c:pt idx="1">
                  <c:v>1.2772549532410618E-3</c:v>
                </c:pt>
                <c:pt idx="2">
                  <c:v>1.6679014055585558E-3</c:v>
                </c:pt>
                <c:pt idx="3">
                  <c:v>8.5313352753911553E-4</c:v>
                </c:pt>
                <c:pt idx="4">
                  <c:v>9.4558314734520792E-4</c:v>
                </c:pt>
                <c:pt idx="5">
                  <c:v>6.3968261962184161E-4</c:v>
                </c:pt>
                <c:pt idx="6">
                  <c:v>5.9932989139050742E-4</c:v>
                </c:pt>
                <c:pt idx="7">
                  <c:v>1.2772549532410618E-3</c:v>
                </c:pt>
                <c:pt idx="8">
                  <c:v>1.6679014055585558E-3</c:v>
                </c:pt>
                <c:pt idx="9">
                  <c:v>8.5313352753911553E-4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86-420A-9F3E-614069109E6C}"/>
            </c:ext>
          </c:extLst>
        </c:ser>
        <c:ser>
          <c:idx val="2"/>
          <c:order val="2"/>
          <c:tx>
            <c:v>UCL</c:v>
          </c:tx>
          <c:spPr>
            <a:ln w="22225" cap="rnd">
              <a:solidFill>
                <a:srgbClr val="D20000"/>
              </a:solidFill>
              <a:round/>
            </a:ln>
            <a:effectLst/>
          </c:spPr>
          <c:marker>
            <c:symbol val="none"/>
          </c:marker>
          <c:cat>
            <c:numRef>
              <c:f>[0]!UCount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[0]!UUCL</c:f>
              <c:numCache>
                <c:formatCode>0.000</c:formatCode>
                <c:ptCount val="10"/>
                <c:pt idx="0">
                  <c:v>1.2704070948017964E-2</c:v>
                </c:pt>
                <c:pt idx="1">
                  <c:v>1.2592032570411686E-2</c:v>
                </c:pt>
                <c:pt idx="2">
                  <c:v>1.2201386118094192E-2</c:v>
                </c:pt>
                <c:pt idx="3">
                  <c:v>1.3016153996113633E-2</c:v>
                </c:pt>
                <c:pt idx="4">
                  <c:v>1.2923704376307542E-2</c:v>
                </c:pt>
                <c:pt idx="5">
                  <c:v>1.3229604904030908E-2</c:v>
                </c:pt>
                <c:pt idx="6">
                  <c:v>1.3269957632262241E-2</c:v>
                </c:pt>
                <c:pt idx="7">
                  <c:v>1.2592032570411686E-2</c:v>
                </c:pt>
                <c:pt idx="8">
                  <c:v>1.2201386118094192E-2</c:v>
                </c:pt>
                <c:pt idx="9">
                  <c:v>1.3016153996113633E-2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86-420A-9F3E-614069109E6C}"/>
            </c:ext>
          </c:extLst>
        </c:ser>
        <c:ser>
          <c:idx val="3"/>
          <c:order val="3"/>
          <c:tx>
            <c:v>Mean</c:v>
          </c:tx>
          <c:spPr>
            <a:ln w="22225" cap="rnd">
              <a:solidFill>
                <a:srgbClr val="FFD166"/>
              </a:solidFill>
              <a:round/>
            </a:ln>
            <a:effectLst/>
          </c:spPr>
          <c:marker>
            <c:symbol val="none"/>
          </c:marker>
          <c:cat>
            <c:numRef>
              <c:f>[0]!UCount</c:f>
              <c:numCache>
                <c:formatCode>General</c:formatCode>
                <c:ptCount val="1"/>
                <c:pt idx="0">
                  <c:v>10</c:v>
                </c:pt>
              </c:numCache>
            </c:numRef>
          </c:cat>
          <c:val>
            <c:numRef>
              <c:f>[0]!Umean</c:f>
              <c:numCache>
                <c:formatCode>0.0000</c:formatCode>
                <c:ptCount val="10"/>
                <c:pt idx="0">
                  <c:v>6.9346437618263744E-3</c:v>
                </c:pt>
                <c:pt idx="1">
                  <c:v>6.9346437618263744E-3</c:v>
                </c:pt>
                <c:pt idx="2">
                  <c:v>6.9346437618263744E-3</c:v>
                </c:pt>
                <c:pt idx="3">
                  <c:v>6.9346437618263744E-3</c:v>
                </c:pt>
                <c:pt idx="4">
                  <c:v>6.9346437618263744E-3</c:v>
                </c:pt>
                <c:pt idx="5">
                  <c:v>6.9346437618263744E-3</c:v>
                </c:pt>
                <c:pt idx="6">
                  <c:v>6.9346437618263744E-3</c:v>
                </c:pt>
                <c:pt idx="7">
                  <c:v>6.9346437618263744E-3</c:v>
                </c:pt>
                <c:pt idx="8">
                  <c:v>6.9346437618263744E-3</c:v>
                </c:pt>
                <c:pt idx="9">
                  <c:v>6.9346437618263744E-3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186-420A-9F3E-614069109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484624"/>
        <c:axId val="1812472560"/>
      </c:lineChart>
      <c:catAx>
        <c:axId val="181248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2472560"/>
        <c:crosses val="autoZero"/>
        <c:auto val="1"/>
        <c:lblAlgn val="ctr"/>
        <c:lblOffset val="100"/>
        <c:noMultiLvlLbl val="0"/>
      </c:catAx>
      <c:valAx>
        <c:axId val="181247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48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MeasuredXMR!A5"/><Relationship Id="rId12" Type="http://schemas.openxmlformats.org/officeDocument/2006/relationships/image" Target="../media/image3.png"/><Relationship Id="rId2" Type="http://schemas.openxmlformats.org/officeDocument/2006/relationships/hyperlink" Target="#MeasuredXbarR!A5"/><Relationship Id="rId1" Type="http://schemas.openxmlformats.org/officeDocument/2006/relationships/image" Target="../media/image1.png"/><Relationship Id="rId5" Type="http://schemas.openxmlformats.org/officeDocument/2006/relationships/hyperlink" Target="#CountDefectives!A5"/><Relationship Id="rId10" Type="http://schemas.openxmlformats.org/officeDocument/2006/relationships/hyperlink" Target="#SixSigmaLevels!A5"/><Relationship Id="rId4" Type="http://schemas.openxmlformats.org/officeDocument/2006/relationships/hyperlink" Target="#CountDefects!A5"/><Relationship Id="rId9" Type="http://schemas.microsoft.com/office/2007/relationships/hdphoto" Target="../media/hdphoto1.wdp"/><Relationship Id="rId14" Type="http://schemas.openxmlformats.org/officeDocument/2006/relationships/image" Target="../media/image4.png"/><Relationship Id="rId15" Type="http://schemas.openxmlformats.org/officeDocument/2006/relationships/image" Target="../media/image7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.xml"/><Relationship Id="rId3" Type="http://schemas.openxmlformats.org/officeDocument/2006/relationships/image" Target="../media/image5.png"/><Relationship Id="rId7" Type="http://schemas.openxmlformats.org/officeDocument/2006/relationships/chart" Target="../charts/chart2.xml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chart" Target="../charts/chart1.xml"/><Relationship Id="rId11" Type="http://schemas.openxmlformats.org/officeDocument/2006/relationships/image" Target="../media/image4.png"/><Relationship Id="rId5" Type="http://schemas.openxmlformats.org/officeDocument/2006/relationships/image" Target="../media/image3.png"/><Relationship Id="rId10" Type="http://schemas.openxmlformats.org/officeDocument/2006/relationships/image" Target="../media/image6.png"/><Relationship Id="rId12" Type="http://schemas.openxmlformats.org/officeDocument/2006/relationships/image" Target="../media/image8.png"/><Relationship Id="rId13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0" Type="http://schemas.openxmlformats.org/officeDocument/2006/relationships/image" Target="../media/image6.png"/><Relationship Id="rId4" Type="http://schemas.openxmlformats.org/officeDocument/2006/relationships/chart" Target="../charts/chart4.xml"/><Relationship Id="rId12" Type="http://schemas.openxmlformats.org/officeDocument/2006/relationships/image" Target="../media/image9.png"/><Relationship Id="rId13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chart" Target="../charts/chart7.xml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4" Type="http://schemas.openxmlformats.org/officeDocument/2006/relationships/chart" Target="../charts/chart8.xml"/><Relationship Id="rId9" Type="http://schemas.openxmlformats.org/officeDocument/2006/relationships/image" Target="../media/image11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Menu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117662</xdr:colOff>
      <xdr:row>1</xdr:row>
      <xdr:rowOff>56590</xdr:rowOff>
    </xdr:from>
    <xdr:to>
      <xdr:col>2</xdr:col>
      <xdr:colOff>168662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3CBF08B9-ECEC-43EA-BB64-1A7702DBB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133350</xdr:colOff>
      <xdr:row>18</xdr:row>
      <xdr:rowOff>85725</xdr:rowOff>
    </xdr:from>
    <xdr:to>
      <xdr:col>9</xdr:col>
      <xdr:colOff>1000149</xdr:colOff>
      <xdr:row>21</xdr:row>
      <xdr:rowOff>0</xdr:rowOff>
    </xdr:to>
    <xdr:sp macro="" textlink="">
      <xdr:nvSpPr>
        <xdr:cNvPr id="5" name="ShapeIndex6">
          <a:hlinkClick xmlns:r="http://schemas.openxmlformats.org/officeDocument/2006/relationships" r:id="rId2" tooltip="X-bar, R Chart"/>
          <a:extLst>
            <a:ext uri="{FF2B5EF4-FFF2-40B4-BE49-F238E27FC236}">
              <a16:creationId xmlns:a16="http://schemas.microsoft.com/office/drawing/2014/main" id="{F2539D70-2A31-4B52-A08C-B8C032F19385}"/>
            </a:ext>
          </a:extLst>
        </xdr:cNvPr>
        <xdr:cNvSpPr/>
      </xdr:nvSpPr>
      <xdr:spPr>
        <a:xfrm>
          <a:off x="4371975" y="3886200"/>
          <a:ext cx="1990749" cy="657225"/>
        </a:xfrm>
        <a:prstGeom prst="roundRect">
          <a:avLst/>
        </a:prstGeom>
        <a:solidFill>
          <a:srgbClr val="1F4E78">
            <a:alpha val="89804"/>
          </a:srgb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35560" tIns="0" rIns="3556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sz="1300" b="1">
              <a:solidFill>
                <a:schemeClr val="bg1"/>
              </a:solidFill>
            </a:rPr>
            <a:t>X-bar, R </a:t>
          </a:r>
          <a:r>
            <a:rPr lang="en-US" sz="1300" b="1">
              <a:solidFill>
                <a:schemeClr val="bg1"/>
              </a:solidFill>
              <a:effectLst/>
              <a:latin typeface="Arial"/>
              <a:ea typeface="+mn-ea"/>
              <a:cs typeface="Arial"/>
            </a:rPr>
            <a:t>Chart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bg1"/>
              </a:solidFill>
              <a:effectLst/>
              <a:latin typeface="Arial"/>
              <a:ea typeface="+mn-ea"/>
              <a:cs typeface="Arial"/>
            </a:rPr>
            <a:t>(</a:t>
          </a:r>
          <a:r>
            <a:rPr lang="en-US" sz="1100" b="1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Average X &amp; Range</a:t>
          </a:r>
          <a:r>
            <a:rPr lang="en-US" sz="1100" b="1">
              <a:solidFill>
                <a:schemeClr val="bg1"/>
              </a:solidFill>
              <a:effectLst/>
              <a:latin typeface="Arial"/>
              <a:ea typeface="+mn-ea"/>
              <a:cs typeface="Arial"/>
            </a:rPr>
            <a:t>)</a:t>
          </a:r>
          <a:endParaRPr lang="en-US" sz="1100">
            <a:effectLst/>
          </a:endParaRPr>
        </a:p>
      </xdr:txBody>
    </xdr:sp>
    <xdr:clientData/>
  </xdr:twoCellAnchor>
  <xdr:twoCellAnchor editAs="oneCell">
    <xdr:from>
      <xdr:col>8</xdr:col>
      <xdr:colOff>133575</xdr:colOff>
      <xdr:row>13</xdr:row>
      <xdr:rowOff>104775</xdr:rowOff>
    </xdr:from>
    <xdr:to>
      <xdr:col>9</xdr:col>
      <xdr:colOff>1000125</xdr:colOff>
      <xdr:row>16</xdr:row>
      <xdr:rowOff>19050</xdr:rowOff>
    </xdr:to>
    <xdr:sp macro="" textlink="">
      <xdr:nvSpPr>
        <xdr:cNvPr id="6" name="ShapeIndex5">
          <a:hlinkClick xmlns:r="http://schemas.openxmlformats.org/officeDocument/2006/relationships" r:id="rId3" tooltip="X-MR Chart"/>
          <a:extLst>
            <a:ext uri="{FF2B5EF4-FFF2-40B4-BE49-F238E27FC236}">
              <a16:creationId xmlns:a16="http://schemas.microsoft.com/office/drawing/2014/main" id="{24422431-C49F-4F41-A65F-346AB2F8C4D1}"/>
            </a:ext>
          </a:extLst>
        </xdr:cNvPr>
        <xdr:cNvSpPr/>
      </xdr:nvSpPr>
      <xdr:spPr>
        <a:xfrm>
          <a:off x="4372200" y="2667000"/>
          <a:ext cx="1990500" cy="657225"/>
        </a:xfrm>
        <a:prstGeom prst="roundRect">
          <a:avLst/>
        </a:prstGeom>
        <a:solidFill>
          <a:srgbClr val="2E86AB">
            <a:alpha val="89804"/>
          </a:srgb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35560" tIns="0" rIns="3556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sz="1300" b="1">
              <a:solidFill>
                <a:schemeClr val="bg1"/>
              </a:solidFill>
            </a:rPr>
            <a:t>X- MR </a:t>
          </a:r>
          <a:r>
            <a:rPr lang="en-US" sz="1300" b="1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Chart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(Individual X &amp; Moving Range)</a:t>
          </a:r>
          <a:endParaRPr lang="en-US" sz="1100">
            <a:effectLst/>
          </a:endParaRPr>
        </a:p>
      </xdr:txBody>
    </xdr:sp>
    <xdr:clientData/>
  </xdr:twoCellAnchor>
  <xdr:twoCellAnchor editAs="oneCell">
    <xdr:from>
      <xdr:col>12</xdr:col>
      <xdr:colOff>143100</xdr:colOff>
      <xdr:row>18</xdr:row>
      <xdr:rowOff>85725</xdr:rowOff>
    </xdr:from>
    <xdr:to>
      <xdr:col>13</xdr:col>
      <xdr:colOff>1009650</xdr:colOff>
      <xdr:row>21</xdr:row>
      <xdr:rowOff>0</xdr:rowOff>
    </xdr:to>
    <xdr:sp macro="" textlink="">
      <xdr:nvSpPr>
        <xdr:cNvPr id="7" name="ShapeIndex8">
          <a:hlinkClick xmlns:r="http://schemas.openxmlformats.org/officeDocument/2006/relationships" r:id="rId4" tooltip="U Chart"/>
          <a:extLst>
            <a:ext uri="{FF2B5EF4-FFF2-40B4-BE49-F238E27FC236}">
              <a16:creationId xmlns:a16="http://schemas.microsoft.com/office/drawing/2014/main" id="{19AA93D5-FB62-4A7C-8B91-F0C6FFB8B7F3}"/>
            </a:ext>
          </a:extLst>
        </xdr:cNvPr>
        <xdr:cNvSpPr/>
      </xdr:nvSpPr>
      <xdr:spPr>
        <a:xfrm>
          <a:off x="6886800" y="3886200"/>
          <a:ext cx="1990500" cy="657225"/>
        </a:xfrm>
        <a:prstGeom prst="roundRect">
          <a:avLst/>
        </a:prstGeom>
        <a:solidFill>
          <a:srgbClr val="2E86AB">
            <a:alpha val="89804"/>
          </a:srgb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35560" tIns="0" rIns="3556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sz="1300" b="1">
              <a:solidFill>
                <a:schemeClr val="bg1"/>
              </a:solidFill>
            </a:rPr>
            <a:t>U</a:t>
          </a:r>
          <a:r>
            <a:rPr lang="en-US" sz="1300" b="1" baseline="0">
              <a:solidFill>
                <a:schemeClr val="bg1"/>
              </a:solidFill>
            </a:rPr>
            <a:t> C</a:t>
          </a:r>
          <a:r>
            <a:rPr lang="en-US" sz="1300" b="1">
              <a:solidFill>
                <a:schemeClr val="bg1"/>
              </a:solidFill>
            </a:rPr>
            <a:t>hart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bg1"/>
              </a:solidFill>
            </a:rPr>
            <a:t>(</a:t>
          </a:r>
          <a:r>
            <a:rPr lang="en-US" sz="1100" b="1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Ratio of Defects</a:t>
          </a:r>
          <a:r>
            <a:rPr lang="en-US" sz="1100" b="1">
              <a:solidFill>
                <a:schemeClr val="bg1"/>
              </a:solidFill>
              <a:effectLst/>
              <a:latin typeface="Arial"/>
              <a:ea typeface="+mn-ea"/>
              <a:cs typeface="Arial"/>
            </a:rPr>
            <a:t>)</a:t>
          </a:r>
          <a:endParaRPr lang="en-US" sz="1100">
            <a:effectLst/>
          </a:endParaRPr>
        </a:p>
      </xdr:txBody>
    </xdr:sp>
    <xdr:clientData/>
  </xdr:twoCellAnchor>
  <xdr:twoCellAnchor editAs="oneCell">
    <xdr:from>
      <xdr:col>12</xdr:col>
      <xdr:colOff>143100</xdr:colOff>
      <xdr:row>13</xdr:row>
      <xdr:rowOff>104775</xdr:rowOff>
    </xdr:from>
    <xdr:to>
      <xdr:col>13</xdr:col>
      <xdr:colOff>1009650</xdr:colOff>
      <xdr:row>16</xdr:row>
      <xdr:rowOff>19050</xdr:rowOff>
    </xdr:to>
    <xdr:sp macro="" textlink="">
      <xdr:nvSpPr>
        <xdr:cNvPr id="11" name="ShapeIndex9">
          <a:hlinkClick xmlns:r="http://schemas.openxmlformats.org/officeDocument/2006/relationships" r:id="rId5" tooltip="P Chart"/>
          <a:extLst>
            <a:ext uri="{FF2B5EF4-FFF2-40B4-BE49-F238E27FC236}">
              <a16:creationId xmlns:a16="http://schemas.microsoft.com/office/drawing/2014/main" id="{FCDCF1AC-DC7B-4451-9AC4-317191492848}"/>
            </a:ext>
          </a:extLst>
        </xdr:cNvPr>
        <xdr:cNvSpPr/>
      </xdr:nvSpPr>
      <xdr:spPr>
        <a:xfrm>
          <a:off x="7572600" y="2790825"/>
          <a:ext cx="1990500" cy="657225"/>
        </a:xfrm>
        <a:prstGeom prst="roundRect">
          <a:avLst/>
        </a:prstGeom>
        <a:solidFill>
          <a:srgbClr val="70AD47">
            <a:alpha val="89804"/>
          </a:srgb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35560" tIns="0" rIns="3556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sz="1300" b="1">
              <a:solidFill>
                <a:schemeClr val="bg1"/>
              </a:solidFill>
            </a:rPr>
            <a:t>P Chart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bg1"/>
              </a:solidFill>
            </a:rPr>
            <a:t>(</a:t>
          </a:r>
          <a:r>
            <a:rPr lang="en-US" sz="1100" b="1">
              <a:solidFill>
                <a:schemeClr val="lt1"/>
              </a:solidFill>
              <a:effectLst/>
              <a:latin typeface="Arial"/>
              <a:ea typeface="+mn-ea"/>
              <a:cs typeface="Arial"/>
            </a:rPr>
            <a:t>Fraction Defective</a:t>
          </a:r>
          <a:r>
            <a:rPr lang="en-US" sz="1100" b="1">
              <a:solidFill>
                <a:schemeClr val="bg1"/>
              </a:solidFill>
              <a:effectLst/>
              <a:latin typeface="Arial"/>
              <a:ea typeface="+mn-ea"/>
              <a:cs typeface="Arial"/>
            </a:rPr>
            <a:t>)</a:t>
          </a:r>
          <a:endParaRPr lang="en-US" sz="1100">
            <a:effectLst/>
          </a:endParaRPr>
        </a:p>
      </xdr:txBody>
    </xdr:sp>
    <xdr:clientData/>
  </xdr:twoCellAnchor>
  <xdr:twoCellAnchor editAs="oneCell">
    <xdr:from>
      <xdr:col>16</xdr:col>
      <xdr:colOff>0</xdr:colOff>
      <xdr:row>15</xdr:row>
      <xdr:rowOff>66675</xdr:rowOff>
    </xdr:from>
    <xdr:to>
      <xdr:col>20</xdr:col>
      <xdr:colOff>0</xdr:colOff>
      <xdr:row>17</xdr:row>
      <xdr:rowOff>0</xdr:rowOff>
    </xdr:to>
    <xdr:sp macro="" textlink="">
      <xdr:nvSpPr>
        <xdr:cNvPr id="8" name="ShapeIndex6">
          <a:hlinkClick xmlns:r="http://schemas.openxmlformats.org/officeDocument/2006/relationships" r:id="rId10" tooltip="X-bar, R Chart"/>
          <a:extLst>
            <a:ext uri="{FF2B5EF4-FFF2-40B4-BE49-F238E27FC236}">
              <a16:creationId xmlns:a16="http://schemas.microsoft.com/office/drawing/2014/main" id="{82A953BC-D69B-439E-A9DE-5173971ACCCB}"/>
            </a:ext>
          </a:extLst>
        </xdr:cNvPr>
        <xdr:cNvSpPr/>
      </xdr:nvSpPr>
      <xdr:spPr>
        <a:xfrm>
          <a:off x="9553575" y="3124200"/>
          <a:ext cx="2162175" cy="428625"/>
        </a:xfrm>
        <a:prstGeom prst="roundRect">
          <a:avLst/>
        </a:prstGeom>
        <a:solidFill>
          <a:srgbClr val="1F4E78">
            <a:alpha val="89804"/>
          </a:srgb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35560" tIns="0" rIns="3556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n-US" sz="1200" b="1">
              <a:solidFill>
                <a:schemeClr val="bg1"/>
              </a:solidFill>
            </a:rPr>
            <a:t>Six Sigma</a:t>
          </a:r>
          <a:r>
            <a:rPr lang="en-US" sz="1200" b="1" baseline="0">
              <a:solidFill>
                <a:schemeClr val="bg1"/>
              </a:solidFill>
            </a:rPr>
            <a:t> Levels </a:t>
          </a:r>
        </a:p>
        <a:p>
          <a:pPr algn="ctr"/>
          <a:r>
            <a:rPr lang="en-US" sz="1200" b="1" baseline="0">
              <a:solidFill>
                <a:schemeClr val="bg1"/>
              </a:solidFill>
            </a:rPr>
            <a:t>Reference Table</a:t>
          </a:r>
          <a:endParaRPr lang="en-US" sz="1200" b="1">
            <a:solidFill>
              <a:schemeClr val="bg1"/>
            </a:solidFill>
          </a:endParaRPr>
        </a:p>
      </xdr:txBody>
    </xdr:sp>
    <xdr:clientData/>
  </xdr:twoCellAnchor>
  <xdr:oneCellAnchor>
    <xdr:from>
      <xdr:col>4</xdr:col>
      <xdr:colOff>133350</xdr:colOff>
      <xdr:row>9</xdr:row>
      <xdr:rowOff>28575</xdr:rowOff>
    </xdr:from>
    <xdr:ext cx="324000" cy="279837"/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AA75F583-13AD-44C9-825C-240287A159F3}"/>
            </a:ext>
          </a:extLst>
        </xdr:cNvPr>
        <xdr:cNvSpPr/>
      </xdr:nvSpPr>
      <xdr:spPr>
        <a:xfrm>
          <a:off x="2952750" y="160020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12</xdr:col>
      <xdr:colOff>1019176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117662</xdr:colOff>
      <xdr:row>1</xdr:row>
      <xdr:rowOff>47065</xdr:rowOff>
    </xdr:from>
    <xdr:to>
      <xdr:col>2</xdr:col>
      <xdr:colOff>168662</xdr:colOff>
      <xdr:row>2</xdr:row>
      <xdr:rowOff>231415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A106B895-6E95-4225-B6A1-3CD1D01A1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3279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803850</xdr:colOff>
      <xdr:row>1</xdr:row>
      <xdr:rowOff>51225</xdr:rowOff>
    </xdr:from>
    <xdr:to>
      <xdr:col>9</xdr:col>
      <xdr:colOff>152400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B682EEE-F961-4EE1-A3C0-13A34C781FF8}"/>
            </a:ext>
          </a:extLst>
        </xdr:cNvPr>
        <xdr:cNvGrpSpPr/>
      </xdr:nvGrpSpPr>
      <xdr:grpSpPr>
        <a:xfrm>
          <a:off x="5356800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C33B561-8906-C35E-283B-388CB9C95AB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5480579-315C-5C70-7DBA-4FA23BB1E60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6</xdr:col>
      <xdr:colOff>0</xdr:colOff>
      <xdr:row>14</xdr:row>
      <xdr:rowOff>38100</xdr:rowOff>
    </xdr:from>
    <xdr:to>
      <xdr:col>16</xdr:col>
      <xdr:colOff>0</xdr:colOff>
      <xdr:row>26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8396075-BD81-4217-A731-0A0EDF92EE8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0</xdr:colOff>
      <xdr:row>27</xdr:row>
      <xdr:rowOff>0</xdr:rowOff>
    </xdr:from>
    <xdr:to>
      <xdr:col>16</xdr:col>
      <xdr:colOff>0</xdr:colOff>
      <xdr:row>39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B9127FA-B2A3-4D9E-852A-CC7784553F68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13</xdr:col>
      <xdr:colOff>0</xdr:colOff>
      <xdr:row>6</xdr:row>
      <xdr:rowOff>0</xdr:rowOff>
    </xdr:from>
    <xdr:to>
      <xdr:col>16</xdr:col>
      <xdr:colOff>0</xdr:colOff>
      <xdr:row>11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A4D2732B-0275-4930-8C16-9D641BE38009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14</xdr:col>
      <xdr:colOff>421145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141187</xdr:colOff>
      <xdr:row>1</xdr:row>
      <xdr:rowOff>60225</xdr:rowOff>
    </xdr:from>
    <xdr:to>
      <xdr:col>2</xdr:col>
      <xdr:colOff>325537</xdr:colOff>
      <xdr:row>2</xdr:row>
      <xdr:rowOff>244575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CF26CC5E-5B4B-4EFB-ADBC-9E00D3F7D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8837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15</xdr:col>
      <xdr:colOff>137100</xdr:colOff>
      <xdr:row>1</xdr:row>
      <xdr:rowOff>51225</xdr:rowOff>
    </xdr:from>
    <xdr:to>
      <xdr:col>17</xdr:col>
      <xdr:colOff>0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A6CE72F-456C-47CE-9F28-8E9A11D68322}"/>
            </a:ext>
          </a:extLst>
        </xdr:cNvPr>
        <xdr:cNvGrpSpPr/>
      </xdr:nvGrpSpPr>
      <xdr:grpSpPr>
        <a:xfrm>
          <a:off x="6023550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E96A5E6-04E1-4B13-4E2B-3A8A0B52000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739C62D-9A08-D2FB-59DC-86711F0F37B4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15</xdr:col>
      <xdr:colOff>320061</xdr:colOff>
      <xdr:row>14</xdr:row>
      <xdr:rowOff>28575</xdr:rowOff>
    </xdr:from>
    <xdr:to>
      <xdr:col>25</xdr:col>
      <xdr:colOff>2586</xdr:colOff>
      <xdr:row>26</xdr:row>
      <xdr:rowOff>28575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B931DAC-DBE7-4CF7-5829-D2FAEBECC37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15</xdr:col>
      <xdr:colOff>319086</xdr:colOff>
      <xdr:row>27</xdr:row>
      <xdr:rowOff>4125</xdr:rowOff>
    </xdr:from>
    <xdr:to>
      <xdr:col>25</xdr:col>
      <xdr:colOff>2586</xdr:colOff>
      <xdr:row>39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959BCA5-2C61-4433-93C3-6508E643BD6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22</xdr:col>
      <xdr:colOff>238126</xdr:colOff>
      <xdr:row>5</xdr:row>
      <xdr:rowOff>190499</xdr:rowOff>
    </xdr:from>
    <xdr:to>
      <xdr:col>25</xdr:col>
      <xdr:colOff>9525</xdr:colOff>
      <xdr:row>10</xdr:row>
      <xdr:rowOff>285749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C7129EE-204B-412C-9D5B-FB6319CD52C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6</xdr:col>
      <xdr:colOff>367222</xdr:colOff>
      <xdr:row>10</xdr:row>
      <xdr:rowOff>56471</xdr:rowOff>
    </xdr:from>
    <xdr:ext cx="324000" cy="279837"/>
    <xdr:sp macro="" textlink="">
      <xdr:nvSpPr>
        <xdr:cNvPr id="10" name="Left Arrow 1">
          <a:extLst>
            <a:ext uri="{FF2B5EF4-FFF2-40B4-BE49-F238E27FC236}">
              <a16:creationId xmlns:a16="http://schemas.microsoft.com/office/drawing/2014/main" id="{AD088F0F-7190-415F-A190-6D6B958BE161}"/>
            </a:ext>
          </a:extLst>
        </xdr:cNvPr>
        <xdr:cNvSpPr/>
      </xdr:nvSpPr>
      <xdr:spPr>
        <a:xfrm rot="18959755">
          <a:off x="3253297" y="2171021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6</xdr:col>
      <xdr:colOff>304800</xdr:colOff>
      <xdr:row>7</xdr:row>
      <xdr:rowOff>0</xdr:rowOff>
    </xdr:from>
    <xdr:ext cx="324000" cy="279837"/>
    <xdr:sp macro="" textlink="">
      <xdr:nvSpPr>
        <xdr:cNvPr id="11" name="Left Arrow 1">
          <a:extLst>
            <a:ext uri="{FF2B5EF4-FFF2-40B4-BE49-F238E27FC236}">
              <a16:creationId xmlns:a16="http://schemas.microsoft.com/office/drawing/2014/main" id="{3A9EDB3F-D208-4447-BC5B-392BDA69318B}"/>
            </a:ext>
          </a:extLst>
        </xdr:cNvPr>
        <xdr:cNvSpPr/>
      </xdr:nvSpPr>
      <xdr:spPr>
        <a:xfrm>
          <a:off x="3190875" y="1257300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8</xdr:col>
      <xdr:colOff>0</xdr:colOff>
      <xdr:row>5</xdr:row>
      <xdr:rowOff>54120</xdr:rowOff>
    </xdr:from>
    <xdr:ext cx="279837" cy="324000"/>
    <xdr:sp macro="" textlink="">
      <xdr:nvSpPr>
        <xdr:cNvPr id="7" name="Left Arrow 1">
          <a:extLst>
            <a:ext uri="{FF2B5EF4-FFF2-40B4-BE49-F238E27FC236}">
              <a16:creationId xmlns:a16="http://schemas.microsoft.com/office/drawing/2014/main" id="{1DF4C4BE-1F13-471A-9F29-C62927F5A8A6}"/>
            </a:ext>
          </a:extLst>
        </xdr:cNvPr>
        <xdr:cNvSpPr/>
      </xdr:nvSpPr>
      <xdr:spPr>
        <a:xfrm rot="5400000">
          <a:off x="3835544" y="828676"/>
          <a:ext cx="324000" cy="279837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900"/>
        </a:p>
      </xdr:txBody>
    </xdr:sp>
    <xdr:clientData fPrintsWithSheet="0"/>
  </xdr:oneCellAnchor>
  <xdr:oneCellAnchor>
    <xdr:from>
      <xdr:col>23</xdr:col>
      <xdr:colOff>333376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117662</xdr:colOff>
      <xdr:row>1</xdr:row>
      <xdr:rowOff>47065</xdr:rowOff>
    </xdr:from>
    <xdr:to>
      <xdr:col>2</xdr:col>
      <xdr:colOff>168662</xdr:colOff>
      <xdr:row>2</xdr:row>
      <xdr:rowOff>231415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15AB7675-A255-42D0-A485-C46FFD6B3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3279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6</xdr:col>
      <xdr:colOff>803850</xdr:colOff>
      <xdr:row>1</xdr:row>
      <xdr:rowOff>51225</xdr:rowOff>
    </xdr:from>
    <xdr:to>
      <xdr:col>8</xdr:col>
      <xdr:colOff>200025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383868F3-6ACF-4E22-A015-F078A9021685}"/>
            </a:ext>
          </a:extLst>
        </xdr:cNvPr>
        <xdr:cNvGrpSpPr/>
      </xdr:nvGrpSpPr>
      <xdr:grpSpPr>
        <a:xfrm>
          <a:off x="6576000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47714BB-D925-EFF7-45B7-A3BF31F4983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C7160F27-FA3C-98EE-8889-C13A4E31967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7</xdr:col>
      <xdr:colOff>0</xdr:colOff>
      <xdr:row>12</xdr:row>
      <xdr:rowOff>38100</xdr:rowOff>
    </xdr:from>
    <xdr:to>
      <xdr:col>14</xdr:col>
      <xdr:colOff>0</xdr:colOff>
      <xdr:row>23</xdr:row>
      <xdr:rowOff>193950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0DFB3CF-FFFC-4C7E-B019-37B2B74DC4D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12</xdr:col>
      <xdr:colOff>657226</xdr:colOff>
      <xdr:row>1</xdr:row>
      <xdr:rowOff>104775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117662</xdr:colOff>
      <xdr:row>1</xdr:row>
      <xdr:rowOff>47065</xdr:rowOff>
    </xdr:from>
    <xdr:to>
      <xdr:col>2</xdr:col>
      <xdr:colOff>168662</xdr:colOff>
      <xdr:row>2</xdr:row>
      <xdr:rowOff>231415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405BA124-A1A6-4CC8-80D4-39A5020C6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3279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3750</xdr:colOff>
      <xdr:row>1</xdr:row>
      <xdr:rowOff>51225</xdr:rowOff>
    </xdr:from>
    <xdr:to>
      <xdr:col>9</xdr:col>
      <xdr:colOff>66675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1A7A9A33-7470-40CE-92C6-36BFBA9F527D}"/>
            </a:ext>
          </a:extLst>
        </xdr:cNvPr>
        <xdr:cNvGrpSpPr/>
      </xdr:nvGrpSpPr>
      <xdr:grpSpPr>
        <a:xfrm>
          <a:off x="6461700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880AF238-F65A-0F21-263E-C56ECE38990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ACFFB02-588E-72C6-AA2A-ADE59D2ABA7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7</xdr:col>
      <xdr:colOff>0</xdr:colOff>
      <xdr:row>12</xdr:row>
      <xdr:rowOff>44175</xdr:rowOff>
    </xdr:from>
    <xdr:to>
      <xdr:col>14</xdr:col>
      <xdr:colOff>0</xdr:colOff>
      <xdr:row>23</xdr:row>
      <xdr:rowOff>200025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88E98D1-7398-498B-9CD3-597EBD73F5F2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136712</xdr:colOff>
      <xdr:row>1</xdr:row>
      <xdr:rowOff>56590</xdr:rowOff>
    </xdr:from>
    <xdr:to>
      <xdr:col>2</xdr:col>
      <xdr:colOff>187712</xdr:colOff>
      <xdr:row>2</xdr:row>
      <xdr:rowOff>240940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69346C70-C4DF-4C8B-93E2-01C073391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36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699075</xdr:colOff>
      <xdr:row>1</xdr:row>
      <xdr:rowOff>51225</xdr:rowOff>
    </xdr:from>
    <xdr:to>
      <xdr:col>6</xdr:col>
      <xdr:colOff>495300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B19DF7DB-51AA-450A-A985-067439F3180B}"/>
            </a:ext>
          </a:extLst>
        </xdr:cNvPr>
        <xdr:cNvGrpSpPr/>
      </xdr:nvGrpSpPr>
      <xdr:grpSpPr>
        <a:xfrm>
          <a:off x="4709100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06BB6DE-39C6-3BC8-881D-380BC34F8D6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3A5B7D-17D2-DD29-5AC0-689A0D5E734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19050</xdr:colOff>
      <xdr:row>1</xdr:row>
      <xdr:rowOff>104775</xdr:rowOff>
    </xdr:from>
    <xdr:ext cx="1014221" cy="291600"/>
    <xdr:pic>
      <xdr:nvPicPr>
        <xdr:cNvPr id="100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FA81-52E6-475E-86E7-31688B03E636}">
  <sheetPr codeName="Sheet3">
    <pageSetUpPr autoPageBreaks="0" fitToPage="1"/>
  </sheetPr>
  <dimension ref="A1:P28"/>
  <sheetViews>
    <sheetView showGridLines="0" showRowColHeaders="0" tabSelected="1" zoomScaleNormal="100" zoomScaleSheetLayoutView="85" workbookViewId="0">
      <pane ySplit="4" topLeftCell="A5" activePane="bottomLeft" state="frozen"/>
      <selection activeCell="A141" sqref="A141"/>
      <selection pane="bottomLeft" activeCell="A5" sqref="A5"/>
    </sheetView>
  </sheetViews>
  <sheetFormatPr defaultColWidth="8.85546875" defaultRowHeight="15" x14ac:dyDescent="0.25"/>
  <cols>
    <col min="1" max="1" width="3.7109375" style="42" customWidth="1"/>
    <col min="2" max="2" width="5.7109375" style="42" customWidth="1"/>
    <col min="3" max="4" width="16.42578125" style="42" customWidth="1"/>
    <col min="5" max="5" width="14.140625" style="42" customWidth="1"/>
    <col min="6" max="6" width="5.7109375" style="42" customWidth="1"/>
    <col min="7" max="7" width="3.28515625" style="42" customWidth="1"/>
    <col min="8" max="8" width="5.7109375" style="42" customWidth="1"/>
    <col min="9" max="10" width="16.85546875" style="42" customWidth="1"/>
    <col min="11" max="12" width="3.28515625" style="42" customWidth="1"/>
    <col min="13" max="14" width="16.85546875" style="42" customWidth="1"/>
    <col min="15" max="15" width="5.7109375" style="42" customWidth="1"/>
    <col min="16" max="16" width="2.7109375" style="42" customWidth="1"/>
    <col min="17" max="19" width="8.85546875" style="42"/>
    <col min="20" max="20" width="5.85546875" style="42" customWidth="1"/>
    <col min="21" max="16384" width="8.85546875" style="42"/>
  </cols>
  <sheetData>
    <row r="1" spans="1:16" s="28" customFormat="1" ht="6.75" customHeight="1" x14ac:dyDescent="0.25">
      <c r="B1" s="29"/>
      <c r="E1" s="30"/>
      <c r="F1" s="30"/>
      <c r="G1" s="30"/>
      <c r="H1" s="30"/>
      <c r="I1" s="30"/>
      <c r="J1" s="30"/>
      <c r="K1" s="30"/>
    </row>
    <row r="2" spans="1:16" s="31" customFormat="1" ht="20.100000000000001" customHeight="1" x14ac:dyDescent="0.25">
      <c r="B2" s="32"/>
      <c r="C2" s="33" t="s">
        <v>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s="36" customFormat="1" ht="24" customHeight="1" x14ac:dyDescent="0.25">
      <c r="B3" s="37"/>
      <c r="C3" s="38" t="s">
        <v>316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</row>
    <row r="4" spans="1:16" ht="4.9000000000000004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4.9000000000000004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15" customHeight="1" x14ac:dyDescent="0.25">
      <c r="A6" s="41"/>
      <c r="B6" s="181"/>
      <c r="C6" s="182"/>
      <c r="D6" s="182"/>
      <c r="E6" s="182"/>
      <c r="F6" s="182"/>
      <c r="G6" s="171"/>
      <c r="H6" s="174"/>
      <c r="I6" s="174"/>
      <c r="J6" s="174"/>
      <c r="K6" s="174"/>
      <c r="L6" s="174"/>
      <c r="M6" s="174"/>
      <c r="N6" s="174"/>
      <c r="O6" s="175"/>
      <c r="P6" s="41"/>
    </row>
    <row r="7" spans="1:16" ht="20.100000000000001" customHeight="1" x14ac:dyDescent="0.35">
      <c r="A7" s="41"/>
      <c r="B7" s="183"/>
      <c r="C7" s="184" t="s">
        <v>245</v>
      </c>
      <c r="D7" s="185"/>
      <c r="E7" s="185"/>
      <c r="F7" s="186"/>
      <c r="G7" s="171"/>
      <c r="H7" s="176"/>
      <c r="I7" s="177" t="s">
        <v>248</v>
      </c>
      <c r="J7" s="178"/>
      <c r="K7" s="178"/>
      <c r="L7" s="178"/>
      <c r="M7" s="178"/>
      <c r="N7" s="178"/>
      <c r="O7" s="179"/>
      <c r="P7" s="41"/>
    </row>
    <row r="8" spans="1:16" ht="15" customHeight="1" x14ac:dyDescent="0.3">
      <c r="B8" s="183"/>
      <c r="C8" s="187"/>
      <c r="D8" s="185"/>
      <c r="E8" s="185"/>
      <c r="F8" s="186"/>
      <c r="G8" s="171"/>
      <c r="H8" s="176"/>
      <c r="I8" s="180"/>
      <c r="J8" s="180"/>
      <c r="K8" s="180"/>
      <c r="L8" s="178"/>
      <c r="M8" s="178"/>
      <c r="N8" s="178"/>
      <c r="O8" s="179"/>
    </row>
    <row r="9" spans="1:16" ht="20.100000000000001" customHeight="1" x14ac:dyDescent="0.25">
      <c r="B9" s="50"/>
      <c r="C9" s="51"/>
      <c r="D9" s="51"/>
      <c r="E9" s="51"/>
      <c r="F9" s="51"/>
      <c r="G9" s="172"/>
      <c r="H9" s="51"/>
      <c r="I9" s="51"/>
      <c r="J9" s="51"/>
      <c r="K9" s="51"/>
      <c r="L9" s="51"/>
      <c r="M9" s="51"/>
      <c r="N9" s="51"/>
      <c r="O9" s="52"/>
    </row>
    <row r="10" spans="1:16" ht="24.95" customHeight="1" x14ac:dyDescent="0.25">
      <c r="B10" s="50"/>
      <c r="C10" s="53" t="s">
        <v>220</v>
      </c>
      <c r="D10" s="168" t="s">
        <v>244</v>
      </c>
      <c r="E10" s="51"/>
      <c r="F10" s="47"/>
      <c r="G10" s="171"/>
      <c r="H10" s="47"/>
      <c r="I10" s="190" t="s">
        <v>314</v>
      </c>
      <c r="J10" s="188"/>
      <c r="K10" s="188"/>
      <c r="L10" s="51"/>
      <c r="M10" s="190" t="s">
        <v>315</v>
      </c>
      <c r="N10" s="188"/>
      <c r="O10" s="48"/>
    </row>
    <row r="11" spans="1:16" ht="20.100000000000001" customHeight="1" x14ac:dyDescent="0.3">
      <c r="B11" s="46"/>
      <c r="C11" s="47"/>
      <c r="D11" s="47"/>
      <c r="E11" s="47"/>
      <c r="F11" s="47"/>
      <c r="G11" s="171"/>
      <c r="H11" s="47"/>
      <c r="I11" s="54"/>
      <c r="J11" s="54"/>
      <c r="K11" s="189"/>
      <c r="L11" s="46"/>
      <c r="M11" s="54"/>
      <c r="N11" s="49"/>
      <c r="O11" s="48"/>
    </row>
    <row r="12" spans="1:16" ht="20.100000000000001" customHeight="1" x14ac:dyDescent="0.25">
      <c r="B12" s="46"/>
      <c r="C12" s="55" t="str">
        <f>IF($D$10="Discrete","Number of units tested","Average")</f>
        <v>Average</v>
      </c>
      <c r="D12" s="56"/>
      <c r="E12" s="288">
        <v>50</v>
      </c>
      <c r="F12" s="47"/>
      <c r="G12" s="171"/>
      <c r="H12" s="47"/>
      <c r="I12" s="47"/>
      <c r="J12" s="47"/>
      <c r="K12" s="47"/>
      <c r="L12" s="46"/>
      <c r="M12" s="47"/>
      <c r="N12" s="57"/>
      <c r="O12" s="48"/>
    </row>
    <row r="13" spans="1:16" ht="20.100000000000001" customHeight="1" x14ac:dyDescent="0.25">
      <c r="B13" s="46"/>
      <c r="C13" s="55" t="str">
        <f>IF($D$10="Discrete","Number of defects","Standard Deviation")</f>
        <v>Standard Deviation</v>
      </c>
      <c r="D13" s="56"/>
      <c r="E13" s="289">
        <v>3</v>
      </c>
      <c r="F13" s="47"/>
      <c r="G13" s="171"/>
      <c r="H13" s="47"/>
      <c r="I13" s="47"/>
      <c r="J13" s="47"/>
      <c r="K13" s="47"/>
      <c r="L13" s="46"/>
      <c r="M13" s="47"/>
      <c r="N13" s="57"/>
      <c r="O13" s="48"/>
    </row>
    <row r="14" spans="1:16" ht="20.100000000000001" customHeight="1" x14ac:dyDescent="0.25">
      <c r="B14" s="46"/>
      <c r="C14" s="55" t="str">
        <f>IF($D$10="Discrete","Opportunities per unit","Upper Limit")</f>
        <v>Upper Limit</v>
      </c>
      <c r="D14" s="56"/>
      <c r="E14" s="290">
        <v>55</v>
      </c>
      <c r="F14" s="47"/>
      <c r="G14" s="171"/>
      <c r="H14" s="47"/>
      <c r="I14" s="47"/>
      <c r="J14" s="47"/>
      <c r="K14" s="47"/>
      <c r="L14" s="46"/>
      <c r="M14" s="47"/>
      <c r="N14" s="57"/>
      <c r="O14" s="48"/>
    </row>
    <row r="15" spans="1:16" ht="20.100000000000001" customHeight="1" x14ac:dyDescent="0.25">
      <c r="B15" s="46"/>
      <c r="C15" s="58" t="str">
        <f>IF($D$10="Discrete","","Lower Limit")</f>
        <v>Lower Limit</v>
      </c>
      <c r="D15" s="59"/>
      <c r="E15" s="291">
        <v>45</v>
      </c>
      <c r="F15" s="47"/>
      <c r="G15" s="171"/>
      <c r="H15" s="47"/>
      <c r="I15" s="47"/>
      <c r="J15" s="47"/>
      <c r="K15" s="47"/>
      <c r="L15" s="46"/>
      <c r="M15" s="47"/>
      <c r="N15" s="57"/>
      <c r="O15" s="48"/>
    </row>
    <row r="16" spans="1:16" ht="20.100000000000001" customHeight="1" x14ac:dyDescent="0.25">
      <c r="B16" s="46"/>
      <c r="C16" s="60"/>
      <c r="D16" s="61"/>
      <c r="E16" s="61"/>
      <c r="F16" s="47"/>
      <c r="G16" s="171"/>
      <c r="H16" s="47"/>
      <c r="I16" s="47"/>
      <c r="J16" s="47"/>
      <c r="K16" s="47"/>
      <c r="L16" s="46"/>
      <c r="M16" s="47"/>
      <c r="N16" s="57"/>
      <c r="O16" s="48"/>
    </row>
    <row r="17" spans="2:16" ht="20.100000000000001" customHeight="1" x14ac:dyDescent="0.25">
      <c r="B17" s="46"/>
      <c r="C17" s="55" t="str">
        <f>IF($D$10="Discrete","Defects per Unit","Z-score for Upper Limit")</f>
        <v>Z-score for Upper Limit</v>
      </c>
      <c r="D17" s="56"/>
      <c r="E17" s="247">
        <f>IFERROR(IF($D$10="Discrete",E14/E12,(E14-E12)/E13),"")</f>
        <v>1.6666666666666667</v>
      </c>
      <c r="F17" s="47"/>
      <c r="G17" s="171"/>
      <c r="H17" s="47"/>
      <c r="I17" s="47"/>
      <c r="J17" s="47"/>
      <c r="K17" s="47"/>
      <c r="L17" s="46"/>
      <c r="M17" s="47"/>
      <c r="N17" s="57"/>
      <c r="O17" s="48"/>
    </row>
    <row r="18" spans="2:16" ht="20.100000000000001" customHeight="1" x14ac:dyDescent="0.25">
      <c r="B18" s="46"/>
      <c r="C18" s="55" t="str">
        <f>IF($D$10="Discrete","Opportunities per Unit","Z-score for Lower Limit")</f>
        <v>Z-score for Lower Limit</v>
      </c>
      <c r="D18" s="56"/>
      <c r="E18" s="248">
        <f>IFERROR(IF($D$10="Discrete",E14/E13/E12,(E12-E15)/E13),"")</f>
        <v>1.6666666666666667</v>
      </c>
      <c r="F18" s="47"/>
      <c r="G18" s="171"/>
      <c r="H18" s="47"/>
      <c r="I18" s="47"/>
      <c r="J18" s="47"/>
      <c r="K18" s="47"/>
      <c r="L18" s="46"/>
      <c r="M18" s="47"/>
      <c r="N18" s="57"/>
      <c r="O18" s="48"/>
    </row>
    <row r="19" spans="2:16" ht="20.100000000000001" customHeight="1" x14ac:dyDescent="0.25">
      <c r="B19" s="46"/>
      <c r="C19" s="55" t="str">
        <f>IF($D$10="Discrete","DPMO","% of Data Greater than Upper Limit")</f>
        <v>% of Data Greater than Upper Limit</v>
      </c>
      <c r="D19" s="56"/>
      <c r="E19" s="249">
        <f>IFERROR(IF($D$10="Discrete",E18*1000000,(1-INDEX(Calc!$D$24:$M$104,MATCH(TRUNC(E17,1),Calc!$C$24:$C$104,0),MATCH(ABS(TRUNC((E17-TRUNC(E17,1)),2)),Calc!$D$24:$M$24,0)))*100),"")</f>
        <v>4.8459999999999948</v>
      </c>
      <c r="F19" s="47"/>
      <c r="G19" s="171"/>
      <c r="H19" s="47"/>
      <c r="I19" s="47"/>
      <c r="J19" s="47"/>
      <c r="K19" s="47"/>
      <c r="L19" s="46"/>
      <c r="M19" s="47"/>
      <c r="N19" s="57"/>
      <c r="O19" s="62"/>
    </row>
    <row r="20" spans="2:16" ht="20.100000000000001" customHeight="1" x14ac:dyDescent="0.25">
      <c r="B20" s="46"/>
      <c r="C20" s="55" t="str">
        <f>IF($D$10="Discrete","Defect Free %","% of Data Less than Lower Limit")</f>
        <v>% of Data Less than Lower Limit</v>
      </c>
      <c r="D20" s="56"/>
      <c r="E20" s="249">
        <f>IFERROR(IF($D$10="Discrete",100*(1000000-E19)/1000000,(1-INDEX(Calc!$D$24:$M$104,MATCH(TRUNC(E17,1),Calc!$C$24:$C$104,0),MATCH(ABS(TRUNC((E17-TRUNC(E17,1)),2)),Calc!$D$24:$M$24,0)))*100),"")</f>
        <v>4.8459999999999948</v>
      </c>
      <c r="F20" s="47"/>
      <c r="G20" s="171"/>
      <c r="H20" s="47"/>
      <c r="I20" s="47"/>
      <c r="J20" s="47"/>
      <c r="K20" s="47"/>
      <c r="L20" s="46"/>
      <c r="M20" s="47"/>
      <c r="N20" s="57"/>
      <c r="O20" s="48"/>
    </row>
    <row r="21" spans="2:16" ht="20.100000000000001" customHeight="1" x14ac:dyDescent="0.25">
      <c r="B21" s="46"/>
      <c r="C21" s="55" t="str">
        <f>IF($D$10="Discrete","Sigma Level (Short Term)","% of Data in Specification Limits")</f>
        <v>% of Data in Specification Limits</v>
      </c>
      <c r="D21" s="56"/>
      <c r="E21" s="249">
        <f t="array" ref="E21">IFERROR(IF($D$10="Discrete",INDEX(SixSigmaLevels!$C$9:$C$59,MATCH(MIN(ABS(DPMOlevels-Menu!E19)),ABS(DPMOlevels-Menu!E19),0)),100-E19-E20),"")</f>
        <v>90.308000000000021</v>
      </c>
      <c r="F21" s="61"/>
      <c r="G21" s="173"/>
      <c r="H21" s="61"/>
      <c r="I21" s="47"/>
      <c r="J21" s="47"/>
      <c r="K21" s="47"/>
      <c r="L21" s="46"/>
      <c r="M21" s="47"/>
      <c r="N21" s="57"/>
      <c r="O21" s="48"/>
    </row>
    <row r="22" spans="2:16" ht="20.100000000000001" customHeight="1" x14ac:dyDescent="0.25">
      <c r="B22" s="46"/>
      <c r="C22" s="55" t="str">
        <f>IF($D$10="Discrete","Sigma Level (Long Term)","DPMO")</f>
        <v>DPMO</v>
      </c>
      <c r="D22" s="56"/>
      <c r="E22" s="250">
        <f t="array" ref="E22">IFERROR(IF($D$10="Discrete",INDEX(SixSigmaLevels!$C$9:$C$59,MATCH(MIN(ABS(DPMOlevelswos-Menu!E19)),ABS(DPMOlevelswos-Menu!E19),0)),1000000-E21*10000),"")</f>
        <v>96919.999999999767</v>
      </c>
      <c r="F22" s="47"/>
      <c r="G22" s="171"/>
      <c r="H22" s="47"/>
      <c r="I22" s="47"/>
      <c r="J22" s="47"/>
      <c r="K22" s="47"/>
      <c r="L22" s="46"/>
      <c r="M22" s="47"/>
      <c r="N22" s="57"/>
      <c r="O22" s="48"/>
    </row>
    <row r="23" spans="2:16" ht="20.100000000000001" customHeight="1" x14ac:dyDescent="0.25">
      <c r="B23" s="46"/>
      <c r="C23" s="58" t="str">
        <f>IF($D$10="Discrete","","Sigma Level (Short Term)")</f>
        <v>Sigma Level (Short Term)</v>
      </c>
      <c r="D23" s="59"/>
      <c r="E23" s="251">
        <f t="array" ref="E23">IFERROR(IF($D$10="Discrete","",INDEX(SixSigmaLevels!$C$9:$C$59,MATCH(MIN(ABS(DPMOlevels-Menu!E22)),ABS(DPMOlevels-Menu!E22),0))),"")</f>
        <v>2.8</v>
      </c>
      <c r="F23" s="47"/>
      <c r="G23" s="171"/>
      <c r="H23" s="47"/>
      <c r="I23" s="47"/>
      <c r="J23" s="47"/>
      <c r="K23" s="47"/>
      <c r="L23" s="46"/>
      <c r="M23" s="47"/>
      <c r="N23" s="57"/>
      <c r="O23" s="48"/>
    </row>
    <row r="24" spans="2:16" ht="20.100000000000001" customHeight="1" x14ac:dyDescent="0.25">
      <c r="B24" s="46"/>
      <c r="C24" s="63" t="str">
        <f>IF($D$10="Discrete","","Sigma Level (Long Term)")</f>
        <v>Sigma Level (Long Term)</v>
      </c>
      <c r="D24" s="56"/>
      <c r="E24" s="252">
        <f t="array" ref="E24">IFERROR(IF($D$10="Discrete","",INDEX(SixSigmaLevels!$C$9:$C$59,MATCH(MIN(ABS(DPMOlevelswos-Menu!E22)),ABS(DPMOlevelswos-Menu!E22),0))),"")</f>
        <v>1.7</v>
      </c>
      <c r="F24" s="47"/>
      <c r="G24" s="171"/>
      <c r="H24" s="47"/>
      <c r="I24" s="47"/>
      <c r="J24" s="47"/>
      <c r="K24" s="47"/>
      <c r="L24" s="46"/>
      <c r="M24" s="47"/>
      <c r="N24" s="57"/>
      <c r="O24" s="48"/>
    </row>
    <row r="25" spans="2:16" x14ac:dyDescent="0.25">
      <c r="B25" s="46"/>
      <c r="C25" s="47"/>
      <c r="D25" s="47"/>
      <c r="E25" s="47"/>
      <c r="F25" s="47"/>
      <c r="G25" s="171"/>
      <c r="H25" s="47"/>
      <c r="I25" s="47"/>
      <c r="J25" s="47"/>
      <c r="K25" s="47"/>
      <c r="L25" s="47"/>
      <c r="M25" s="47"/>
      <c r="N25" s="57"/>
      <c r="O25" s="48"/>
    </row>
    <row r="26" spans="2:16" x14ac:dyDescent="0.25">
      <c r="B26" s="64"/>
      <c r="C26" s="65"/>
      <c r="D26" s="65"/>
      <c r="E26" s="65"/>
      <c r="F26" s="65"/>
      <c r="G26" s="171"/>
      <c r="H26" s="65"/>
      <c r="I26" s="65"/>
      <c r="J26" s="65"/>
      <c r="K26" s="65"/>
      <c r="L26" s="65"/>
      <c r="M26" s="65"/>
      <c r="N26" s="65"/>
      <c r="O26" s="66"/>
    </row>
    <row r="27" spans="2:16" ht="9.75" customHeight="1" x14ac:dyDescent="0.25">
      <c r="E27" s="67"/>
    </row>
    <row r="28" spans="2:16" s="71" customFormat="1" ht="23.1" customHeight="1" x14ac:dyDescent="0.25">
      <c r="B28" s="68"/>
      <c r="C28" s="68"/>
      <c r="D28" s="69"/>
      <c r="E28" s="70"/>
      <c r="F28" s="70"/>
      <c r="G28" s="70"/>
      <c r="H28" s="70"/>
      <c r="I28" s="70"/>
      <c r="J28" s="70"/>
      <c r="K28" s="70"/>
      <c r="L28" s="68"/>
      <c r="M28" s="68"/>
      <c r="N28" s="68"/>
      <c r="O28" s="68"/>
      <c r="P28" s="42"/>
    </row>
  </sheetData>
  <sheetProtection algorithmName="SHA-512" hashValue="pSEaWIeeM2l9b+HpZfQvnfASgG5QuhOTt6CSd2df8j8hWbItUTzC+laOQIAdLSvA+uw8iHMWq4Teu3S/foG1iQ==" saltValue="WxelQVQWFAPUmA5job4eXg==" spinCount="100000" sheet="1" objects="1" scenarios="1"/>
  <conditionalFormatting sqref="E24">
    <cfRule type="expression" dxfId="9" priority="11">
      <formula>OR($D$10="Continuous",$D$10="")</formula>
    </cfRule>
  </conditionalFormatting>
  <conditionalFormatting sqref="C23:E24 C15:E15">
    <cfRule type="expression" dxfId="8" priority="6">
      <formula>$D$10="Discrete"</formula>
    </cfRule>
  </conditionalFormatting>
  <conditionalFormatting sqref="E15">
    <cfRule type="expression" dxfId="7" priority="7">
      <formula>OR($D$10="Continuous",$D$10="")</formula>
    </cfRule>
  </conditionalFormatting>
  <conditionalFormatting sqref="C14:E14 C22:E22">
    <cfRule type="expression" dxfId="6" priority="5">
      <formula>$D$10="Discrete"</formula>
    </cfRule>
  </conditionalFormatting>
  <conditionalFormatting sqref="E23">
    <cfRule type="expression" dxfId="5" priority="8">
      <formula>OR($D$10="Continuous",$D$10="")</formula>
    </cfRule>
  </conditionalFormatting>
  <conditionalFormatting sqref="E19">
    <cfRule type="expression" dxfId="4" priority="3">
      <formula>$D$10="Discrete"</formula>
    </cfRule>
  </conditionalFormatting>
  <conditionalFormatting sqref="E21 E22">
    <cfRule type="expression" dxfId="3" priority="2">
      <formula>$D$10="Discrete"</formula>
    </cfRule>
  </conditionalFormatting>
  <conditionalFormatting sqref="E22">
    <cfRule type="expression" dxfId="2" priority="9">
      <formula>OR($D$10="Continuous",$D$10="")</formula>
    </cfRule>
  </conditionalFormatting>
  <dataValidations count="2">
    <dataValidation type="list" allowBlank="1" showInputMessage="1" showErrorMessage="1" sqref="D10" xr:uid="{E39A716B-E554-429A-9918-35D96CC8209D}">
      <formula1>"Discrete,Continuous"</formula1>
    </dataValidation>
    <dataValidation type="decimal" operator="greaterThanOrEqual" allowBlank="1" showInputMessage="1" showErrorMessage="1" errorTitle="Data Type Error" error="These data cannot be used in calculations. Please enter a numeric value." sqref="E12:E15" xr:uid="{EC8055BE-850C-4927-91E5-5ABC06275AB5}">
      <formula1>-1000000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F195-06CB-43F4-B7E7-FEBA6368F717}">
  <sheetPr codeName="Sheet9">
    <pageSetUpPr autoPageBreaks="0" fitToPage="1"/>
  </sheetPr>
  <dimension ref="A1:T116"/>
  <sheetViews>
    <sheetView showGridLines="0" showRowColHeaders="0" zoomScaleNormal="100" zoomScaleSheetLayoutView="85" workbookViewId="0">
      <pane ySplit="4" topLeftCell="A5" activePane="bottomLeft" state="frozen"/>
      <selection activeCell="R7" sqref="R7"/>
      <selection pane="bottomLeft" activeCell="A5" sqref="A5"/>
    </sheetView>
  </sheetViews>
  <sheetFormatPr defaultColWidth="8.85546875" defaultRowHeight="15" outlineLevelRow="1" x14ac:dyDescent="0.25"/>
  <cols>
    <col min="1" max="1" width="3.7109375" style="42" customWidth="1"/>
    <col min="2" max="2" width="5.7109375" style="42" customWidth="1"/>
    <col min="3" max="3" width="12.7109375" style="42" customWidth="1"/>
    <col min="4" max="4" width="12.42578125" style="42" customWidth="1"/>
    <col min="5" max="5" width="15.28515625" style="42" customWidth="1"/>
    <col min="6" max="6" width="5.7109375" style="42" customWidth="1"/>
    <col min="7" max="12" width="12.7109375" style="42" customWidth="1"/>
    <col min="13" max="13" width="5.7109375" style="42" customWidth="1"/>
    <col min="14" max="16" width="12.7109375" style="42" customWidth="1"/>
    <col min="17" max="17" width="5.7109375" style="42" customWidth="1"/>
    <col min="18" max="18" width="2.7109375" style="42" customWidth="1"/>
    <col min="19" max="16384" width="8.85546875" style="42"/>
  </cols>
  <sheetData>
    <row r="1" spans="1:18" s="28" customFormat="1" ht="6.75" customHeight="1" x14ac:dyDescent="0.25">
      <c r="C1" s="29"/>
      <c r="F1" s="30"/>
      <c r="G1" s="30"/>
      <c r="H1" s="30"/>
    </row>
    <row r="2" spans="1:18" s="31" customFormat="1" ht="20.100000000000001" customHeight="1" x14ac:dyDescent="0.25">
      <c r="B2" s="34"/>
      <c r="C2" s="33" t="s">
        <v>9</v>
      </c>
      <c r="D2" s="91"/>
      <c r="E2" s="34"/>
      <c r="F2" s="34"/>
      <c r="G2" s="34"/>
      <c r="H2" s="34"/>
      <c r="I2" s="34"/>
      <c r="J2" s="34"/>
      <c r="K2" s="34"/>
      <c r="L2" s="92"/>
      <c r="M2" s="92"/>
      <c r="N2" s="92"/>
      <c r="O2" s="92"/>
      <c r="P2" s="92"/>
      <c r="Q2" s="92"/>
    </row>
    <row r="3" spans="1:18" s="36" customFormat="1" ht="24" customHeight="1" x14ac:dyDescent="0.25">
      <c r="B3" s="39"/>
      <c r="C3" s="38" t="s">
        <v>289</v>
      </c>
      <c r="D3" s="93"/>
      <c r="E3" s="39"/>
      <c r="F3" s="39"/>
      <c r="G3" s="39"/>
      <c r="H3" s="39"/>
      <c r="I3" s="39"/>
      <c r="J3" s="39"/>
      <c r="K3" s="39"/>
      <c r="L3" s="94"/>
      <c r="M3" s="94"/>
      <c r="N3" s="94"/>
      <c r="O3" s="94"/>
      <c r="P3" s="94"/>
      <c r="Q3" s="94"/>
    </row>
    <row r="4" spans="1:18" ht="4.9000000000000004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8" ht="4.9000000000000004" customHeight="1" x14ac:dyDescent="0.25">
      <c r="A5" s="41"/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300"/>
    </row>
    <row r="6" spans="1:18" x14ac:dyDescent="0.25">
      <c r="A6" s="295"/>
      <c r="B6" s="110"/>
      <c r="C6" s="61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110"/>
      <c r="R6" s="298"/>
    </row>
    <row r="7" spans="1:18" ht="24.95" customHeight="1" x14ac:dyDescent="0.25">
      <c r="A7" s="295"/>
      <c r="B7" s="47"/>
      <c r="C7" s="242" t="s">
        <v>313</v>
      </c>
      <c r="D7" s="280"/>
      <c r="E7" s="281"/>
      <c r="F7" s="47"/>
      <c r="G7" s="95" t="s">
        <v>231</v>
      </c>
      <c r="H7" s="96"/>
      <c r="I7" s="96"/>
      <c r="J7" s="96"/>
      <c r="K7" s="96"/>
      <c r="L7" s="97"/>
      <c r="M7" s="47"/>
      <c r="N7" s="47"/>
      <c r="O7" s="47"/>
      <c r="P7" s="47"/>
      <c r="Q7" s="47"/>
      <c r="R7" s="298"/>
    </row>
    <row r="8" spans="1:18" ht="22.5" customHeight="1" x14ac:dyDescent="0.25">
      <c r="A8" s="295"/>
      <c r="B8" s="47"/>
      <c r="C8" s="114" t="s">
        <v>319</v>
      </c>
      <c r="D8" s="99"/>
      <c r="E8" s="169">
        <v>5.9</v>
      </c>
      <c r="F8" s="61"/>
      <c r="G8" s="98" t="s">
        <v>287</v>
      </c>
      <c r="H8" s="245">
        <f>IFERROR(AVERAGE($E$15:$E$29),"")</f>
        <v>5.8989000000000003</v>
      </c>
      <c r="I8" s="98" t="s">
        <v>234</v>
      </c>
      <c r="J8" s="245">
        <f>IFERROR(Calc!$BE$9,"")</f>
        <v>5.9506139479905453</v>
      </c>
      <c r="K8" s="99" t="s">
        <v>237</v>
      </c>
      <c r="L8" s="245">
        <f>IFERROR(($E$11-$E$10)/$J$11,"")</f>
        <v>1.451142857142822</v>
      </c>
      <c r="M8" s="100"/>
      <c r="N8" s="47"/>
      <c r="O8" s="47"/>
      <c r="P8" s="47"/>
      <c r="Q8" s="47"/>
      <c r="R8" s="298"/>
    </row>
    <row r="9" spans="1:18" ht="22.5" customHeight="1" x14ac:dyDescent="0.25">
      <c r="A9" s="295"/>
      <c r="B9" s="47"/>
      <c r="C9" s="114" t="s">
        <v>219</v>
      </c>
      <c r="D9" s="99"/>
      <c r="E9" s="129" t="s">
        <v>222</v>
      </c>
      <c r="F9" s="61"/>
      <c r="G9" s="98" t="s">
        <v>218</v>
      </c>
      <c r="H9" s="245">
        <f>IFERROR(IF(LEN(E15)&gt;0,(MAX($E$15:$E$29)-MIN($E$15:$E$29)),""),"")</f>
        <v>3.0000000000001137E-2</v>
      </c>
      <c r="I9" s="98" t="s">
        <v>235</v>
      </c>
      <c r="J9" s="245">
        <f>IFERROR(Calc!$BF$9,"")</f>
        <v>5.8471860520094552</v>
      </c>
      <c r="K9" s="99" t="s">
        <v>238</v>
      </c>
      <c r="L9" s="245">
        <f>IFERROR(MIN(ABS($H$8-$E$10),ABS($E$11-$H$8))/$J$10,"")</f>
        <v>1.4192177142856901</v>
      </c>
      <c r="M9" s="100"/>
      <c r="N9" s="47"/>
      <c r="O9" s="47"/>
      <c r="P9" s="47"/>
      <c r="Q9" s="47"/>
      <c r="R9" s="298"/>
    </row>
    <row r="10" spans="1:18" ht="22.5" customHeight="1" x14ac:dyDescent="0.25">
      <c r="A10" s="296"/>
      <c r="B10" s="47"/>
      <c r="C10" s="114" t="s">
        <v>320</v>
      </c>
      <c r="D10" s="99"/>
      <c r="E10" s="169">
        <v>5.85</v>
      </c>
      <c r="F10" s="61"/>
      <c r="G10" s="98" t="s">
        <v>233</v>
      </c>
      <c r="H10" s="245">
        <f>IFERROR(Calc!$BB$9,"")</f>
        <v>1.9444444444445017E-2</v>
      </c>
      <c r="I10" s="98" t="s">
        <v>242</v>
      </c>
      <c r="J10" s="245">
        <f>IFERROR($H$10/INDEX(Calc!$F$8:$F$17,MATCH(1,Calc!$C$8:$C$17,0))*3,"")</f>
        <v>3.4455601496358568E-2</v>
      </c>
      <c r="K10" s="99" t="s">
        <v>239</v>
      </c>
      <c r="L10" s="245">
        <f>IFERROR(($E$11-$E$10)/(6*_xlfn.STDEV.P($E$15:$E$29)),"")</f>
        <v>1.5784498634600912</v>
      </c>
      <c r="M10" s="100"/>
      <c r="N10" s="47"/>
      <c r="O10" s="47"/>
      <c r="P10" s="47"/>
      <c r="Q10" s="47"/>
      <c r="R10" s="298"/>
    </row>
    <row r="11" spans="1:18" ht="22.5" customHeight="1" x14ac:dyDescent="0.25">
      <c r="A11" s="296"/>
      <c r="B11" s="47"/>
      <c r="C11" s="117" t="s">
        <v>321</v>
      </c>
      <c r="D11" s="102"/>
      <c r="E11" s="170">
        <v>5.95</v>
      </c>
      <c r="F11" s="61"/>
      <c r="G11" s="101" t="s">
        <v>236</v>
      </c>
      <c r="H11" s="246">
        <f>IFERROR(Calc!$BG$9,"")</f>
        <v>6.3525000000001872E-2</v>
      </c>
      <c r="I11" s="101" t="s">
        <v>243</v>
      </c>
      <c r="J11" s="246">
        <f>IFERROR(J10*2,"")</f>
        <v>6.8911202992717135E-2</v>
      </c>
      <c r="K11" s="102" t="s">
        <v>240</v>
      </c>
      <c r="L11" s="246">
        <f>IFERROR(MIN(ABS($H$8-$E$10),ABS($E$11-$H$8))/(3*_xlfn.STDEV.P($E$15:$E$29)),"")</f>
        <v>1.5437239664639801</v>
      </c>
      <c r="M11" s="100"/>
      <c r="N11" s="47"/>
      <c r="O11" s="47"/>
      <c r="P11" s="47"/>
      <c r="Q11" s="47"/>
      <c r="R11" s="298"/>
    </row>
    <row r="12" spans="1:18" ht="20.100000000000001" customHeight="1" x14ac:dyDescent="0.25">
      <c r="A12" s="296"/>
      <c r="B12" s="47"/>
      <c r="C12" s="61"/>
      <c r="D12" s="61"/>
      <c r="E12" s="61"/>
      <c r="F12" s="61"/>
      <c r="G12" s="61"/>
      <c r="H12" s="47"/>
      <c r="I12" s="61"/>
      <c r="J12" s="61"/>
      <c r="K12" s="61"/>
      <c r="L12" s="47"/>
      <c r="M12" s="47"/>
      <c r="N12" s="47"/>
      <c r="O12" s="47"/>
      <c r="P12" s="47"/>
      <c r="Q12" s="47"/>
      <c r="R12" s="298"/>
    </row>
    <row r="13" spans="1:18" ht="24.95" customHeight="1" x14ac:dyDescent="0.25">
      <c r="A13" s="296"/>
      <c r="B13" s="47"/>
      <c r="C13" s="268" t="s">
        <v>290</v>
      </c>
      <c r="D13" s="271"/>
      <c r="E13" s="272"/>
      <c r="F13" s="61"/>
      <c r="G13" s="61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298"/>
    </row>
    <row r="14" spans="1:18" ht="22.5" customHeight="1" x14ac:dyDescent="0.25">
      <c r="A14" s="296"/>
      <c r="B14" s="47"/>
      <c r="C14" s="339" t="s">
        <v>278</v>
      </c>
      <c r="D14" s="340"/>
      <c r="E14" s="341" t="s">
        <v>260</v>
      </c>
      <c r="F14" s="61"/>
      <c r="G14" s="61"/>
      <c r="H14" s="47"/>
      <c r="I14" s="124"/>
      <c r="J14" s="125"/>
      <c r="K14" s="125"/>
      <c r="L14" s="47"/>
      <c r="M14" s="47"/>
      <c r="N14" s="47"/>
      <c r="O14" s="47"/>
      <c r="P14" s="47"/>
      <c r="Q14" s="47"/>
      <c r="R14" s="298"/>
    </row>
    <row r="15" spans="1:18" ht="15" customHeight="1" x14ac:dyDescent="0.25">
      <c r="A15" s="296"/>
      <c r="B15" s="47"/>
      <c r="C15" s="342">
        <v>1</v>
      </c>
      <c r="D15" s="343"/>
      <c r="E15" s="344">
        <v>5.9</v>
      </c>
      <c r="F15" s="57"/>
      <c r="G15" s="61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298"/>
    </row>
    <row r="16" spans="1:18" ht="15" customHeight="1" x14ac:dyDescent="0.25">
      <c r="A16" s="296"/>
      <c r="B16" s="47"/>
      <c r="C16" s="342">
        <v>2</v>
      </c>
      <c r="D16" s="343"/>
      <c r="E16" s="344">
        <v>5.89</v>
      </c>
      <c r="F16" s="57"/>
      <c r="G16" s="61"/>
      <c r="H16" s="47"/>
      <c r="I16" s="124"/>
      <c r="J16" s="126"/>
      <c r="K16" s="126"/>
      <c r="L16" s="47"/>
      <c r="M16" s="47"/>
      <c r="N16" s="47"/>
      <c r="O16" s="47"/>
      <c r="P16" s="47"/>
      <c r="Q16" s="47"/>
      <c r="R16" s="298"/>
    </row>
    <row r="17" spans="1:20" ht="15" customHeight="1" x14ac:dyDescent="0.25">
      <c r="A17" s="296"/>
      <c r="B17" s="47"/>
      <c r="C17" s="342">
        <v>3</v>
      </c>
      <c r="D17" s="343"/>
      <c r="E17" s="344">
        <v>5.91</v>
      </c>
      <c r="F17" s="57"/>
      <c r="G17" s="61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298"/>
    </row>
    <row r="18" spans="1:20" ht="15" customHeight="1" x14ac:dyDescent="0.25">
      <c r="A18" s="296"/>
      <c r="B18" s="47"/>
      <c r="C18" s="342">
        <v>4</v>
      </c>
      <c r="D18" s="343"/>
      <c r="E18" s="344">
        <v>5.8970000000000002</v>
      </c>
      <c r="F18" s="47"/>
      <c r="G18" s="61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298"/>
    </row>
    <row r="19" spans="1:20" ht="15" customHeight="1" x14ac:dyDescent="0.25">
      <c r="A19" s="296"/>
      <c r="B19" s="47"/>
      <c r="C19" s="342">
        <v>5</v>
      </c>
      <c r="D19" s="343"/>
      <c r="E19" s="344">
        <v>5.9029999999999996</v>
      </c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298"/>
    </row>
    <row r="20" spans="1:20" ht="15" customHeight="1" x14ac:dyDescent="0.25">
      <c r="A20" s="296"/>
      <c r="B20" s="47"/>
      <c r="C20" s="342">
        <v>6</v>
      </c>
      <c r="D20" s="343"/>
      <c r="E20" s="344">
        <v>5.8869999999999996</v>
      </c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298"/>
    </row>
    <row r="21" spans="1:20" ht="15" customHeight="1" x14ac:dyDescent="0.25">
      <c r="A21" s="296"/>
      <c r="B21" s="47"/>
      <c r="C21" s="342">
        <v>7</v>
      </c>
      <c r="D21" s="343"/>
      <c r="E21" s="344">
        <v>5.9130000000000011</v>
      </c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298"/>
      <c r="T21" s="360"/>
    </row>
    <row r="22" spans="1:20" ht="15" customHeight="1" x14ac:dyDescent="0.25">
      <c r="A22" s="296"/>
      <c r="B22" s="47"/>
      <c r="C22" s="342">
        <v>8</v>
      </c>
      <c r="D22" s="343"/>
      <c r="E22" s="344">
        <v>5.8849999999999998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298"/>
      <c r="T22" s="360"/>
    </row>
    <row r="23" spans="1:20" ht="15" customHeight="1" x14ac:dyDescent="0.25">
      <c r="A23" s="296"/>
      <c r="B23" s="47"/>
      <c r="C23" s="342">
        <v>9</v>
      </c>
      <c r="D23" s="343"/>
      <c r="E23" s="344">
        <v>5.9150000000000009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298"/>
      <c r="T23" s="360"/>
    </row>
    <row r="24" spans="1:20" ht="15" customHeight="1" x14ac:dyDescent="0.25">
      <c r="A24" s="296"/>
      <c r="B24" s="47"/>
      <c r="C24" s="342">
        <v>10</v>
      </c>
      <c r="D24" s="343"/>
      <c r="E24" s="344">
        <v>5.8890000000000002</v>
      </c>
      <c r="F24" s="61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298"/>
      <c r="T24" s="360"/>
    </row>
    <row r="25" spans="1:20" ht="15" customHeight="1" x14ac:dyDescent="0.25">
      <c r="A25" s="296"/>
      <c r="B25" s="47"/>
      <c r="C25" s="342">
        <v>11</v>
      </c>
      <c r="D25" s="343"/>
      <c r="E25" s="344"/>
      <c r="F25" s="61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298"/>
      <c r="T25" s="360"/>
    </row>
    <row r="26" spans="1:20" ht="15" customHeight="1" x14ac:dyDescent="0.25">
      <c r="A26" s="296"/>
      <c r="B26" s="47"/>
      <c r="C26" s="342">
        <v>12</v>
      </c>
      <c r="D26" s="343"/>
      <c r="E26" s="344"/>
      <c r="F26" s="61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298"/>
      <c r="T26" s="360"/>
    </row>
    <row r="27" spans="1:20" ht="15" customHeight="1" x14ac:dyDescent="0.25">
      <c r="A27" s="296"/>
      <c r="B27" s="47"/>
      <c r="C27" s="342">
        <v>13</v>
      </c>
      <c r="D27" s="343"/>
      <c r="E27" s="344"/>
      <c r="F27" s="61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298"/>
    </row>
    <row r="28" spans="1:20" ht="15" customHeight="1" x14ac:dyDescent="0.25">
      <c r="A28" s="296"/>
      <c r="B28" s="47"/>
      <c r="C28" s="342">
        <v>14</v>
      </c>
      <c r="D28" s="343"/>
      <c r="E28" s="344"/>
      <c r="F28" s="61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298"/>
    </row>
    <row r="29" spans="1:20" ht="15" customHeight="1" x14ac:dyDescent="0.25">
      <c r="A29" s="296"/>
      <c r="B29" s="47"/>
      <c r="C29" s="342">
        <v>15</v>
      </c>
      <c r="D29" s="343"/>
      <c r="E29" s="344"/>
      <c r="F29" s="61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298"/>
    </row>
    <row r="30" spans="1:20" ht="15" customHeight="1" x14ac:dyDescent="0.25">
      <c r="A30" s="296"/>
      <c r="B30" s="47"/>
      <c r="C30" s="345">
        <v>16</v>
      </c>
      <c r="D30" s="346"/>
      <c r="E30" s="369"/>
      <c r="F30" s="61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298"/>
    </row>
    <row r="31" spans="1:20" ht="15" customHeight="1" x14ac:dyDescent="0.25">
      <c r="A31" s="296"/>
      <c r="B31" s="47"/>
      <c r="C31" s="311">
        <v>17</v>
      </c>
      <c r="D31" s="312"/>
      <c r="E31" s="370"/>
      <c r="F31" s="61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298"/>
    </row>
    <row r="32" spans="1:20" ht="15" customHeight="1" x14ac:dyDescent="0.25">
      <c r="A32" s="296"/>
      <c r="B32" s="47"/>
      <c r="C32" s="311">
        <v>18</v>
      </c>
      <c r="D32" s="312"/>
      <c r="E32" s="370"/>
      <c r="F32" s="61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298"/>
    </row>
    <row r="33" spans="1:18" ht="15" customHeight="1" x14ac:dyDescent="0.25">
      <c r="A33" s="296"/>
      <c r="B33" s="47"/>
      <c r="C33" s="311">
        <v>19</v>
      </c>
      <c r="D33" s="312"/>
      <c r="E33" s="370"/>
      <c r="F33" s="61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298"/>
    </row>
    <row r="34" spans="1:18" ht="15" customHeight="1" x14ac:dyDescent="0.25">
      <c r="A34" s="296"/>
      <c r="B34" s="47"/>
      <c r="C34" s="311">
        <v>20</v>
      </c>
      <c r="D34" s="312"/>
      <c r="E34" s="370"/>
      <c r="F34" s="61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298"/>
    </row>
    <row r="35" spans="1:18" ht="15" customHeight="1" x14ac:dyDescent="0.25">
      <c r="A35" s="296"/>
      <c r="B35" s="47"/>
      <c r="C35" s="311">
        <v>21</v>
      </c>
      <c r="D35" s="312"/>
      <c r="E35" s="370"/>
      <c r="F35" s="61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298"/>
    </row>
    <row r="36" spans="1:18" ht="15" customHeight="1" x14ac:dyDescent="0.25">
      <c r="A36" s="296"/>
      <c r="B36" s="47"/>
      <c r="C36" s="311">
        <v>22</v>
      </c>
      <c r="D36" s="312"/>
      <c r="E36" s="370"/>
      <c r="F36" s="61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298"/>
    </row>
    <row r="37" spans="1:18" ht="15" customHeight="1" x14ac:dyDescent="0.25">
      <c r="A37" s="296"/>
      <c r="B37" s="47"/>
      <c r="C37" s="311">
        <v>23</v>
      </c>
      <c r="D37" s="312"/>
      <c r="E37" s="370"/>
      <c r="F37" s="61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298"/>
    </row>
    <row r="38" spans="1:18" ht="15" customHeight="1" x14ac:dyDescent="0.25">
      <c r="A38" s="296"/>
      <c r="B38" s="47"/>
      <c r="C38" s="311">
        <v>24</v>
      </c>
      <c r="D38" s="312"/>
      <c r="E38" s="370"/>
      <c r="F38" s="61"/>
      <c r="G38" s="103"/>
      <c r="H38" s="103"/>
      <c r="I38" s="103"/>
      <c r="J38" s="103"/>
      <c r="K38" s="103"/>
      <c r="L38" s="103"/>
      <c r="M38" s="103"/>
      <c r="N38" s="127"/>
      <c r="O38" s="127"/>
      <c r="P38" s="47"/>
      <c r="Q38" s="47"/>
      <c r="R38" s="298"/>
    </row>
    <row r="39" spans="1:18" ht="15" customHeight="1" x14ac:dyDescent="0.25">
      <c r="A39" s="296"/>
      <c r="B39" s="47"/>
      <c r="C39" s="311">
        <v>25</v>
      </c>
      <c r="D39" s="312"/>
      <c r="E39" s="370"/>
      <c r="F39" s="61"/>
      <c r="G39" s="104"/>
      <c r="H39" s="104"/>
      <c r="I39" s="104"/>
      <c r="J39" s="104"/>
      <c r="K39" s="104"/>
      <c r="L39" s="104"/>
      <c r="M39" s="104"/>
      <c r="N39" s="127"/>
      <c r="O39" s="127"/>
      <c r="P39" s="47"/>
      <c r="Q39" s="47"/>
      <c r="R39" s="298"/>
    </row>
    <row r="40" spans="1:18" ht="15" hidden="1" customHeight="1" outlineLevel="1" x14ac:dyDescent="0.25">
      <c r="A40" s="296"/>
      <c r="B40" s="47"/>
      <c r="C40" s="311">
        <v>26</v>
      </c>
      <c r="D40" s="312"/>
      <c r="E40" s="370"/>
      <c r="F40" s="61"/>
      <c r="G40" s="105"/>
      <c r="H40" s="105"/>
      <c r="I40" s="106"/>
      <c r="J40" s="106"/>
      <c r="K40" s="106"/>
      <c r="L40" s="107"/>
      <c r="M40" s="107"/>
      <c r="N40" s="26"/>
      <c r="O40" s="26"/>
      <c r="P40" s="47"/>
      <c r="Q40" s="47"/>
      <c r="R40" s="298"/>
    </row>
    <row r="41" spans="1:18" ht="15" hidden="1" customHeight="1" outlineLevel="1" x14ac:dyDescent="0.25">
      <c r="A41" s="296"/>
      <c r="B41" s="47"/>
      <c r="C41" s="311">
        <v>27</v>
      </c>
      <c r="D41" s="312"/>
      <c r="E41" s="370"/>
      <c r="F41" s="61"/>
      <c r="G41" s="105"/>
      <c r="H41" s="105"/>
      <c r="I41" s="106"/>
      <c r="J41" s="106"/>
      <c r="K41" s="106"/>
      <c r="L41" s="107"/>
      <c r="M41" s="107"/>
      <c r="N41" s="26"/>
      <c r="O41" s="26"/>
      <c r="P41" s="47"/>
      <c r="Q41" s="47"/>
      <c r="R41" s="298"/>
    </row>
    <row r="42" spans="1:18" ht="15" hidden="1" customHeight="1" outlineLevel="1" x14ac:dyDescent="0.25">
      <c r="A42" s="296"/>
      <c r="B42" s="47"/>
      <c r="C42" s="311">
        <v>28</v>
      </c>
      <c r="D42" s="312"/>
      <c r="E42" s="370"/>
      <c r="F42" s="61"/>
      <c r="G42" s="105"/>
      <c r="H42" s="105"/>
      <c r="I42" s="106"/>
      <c r="J42" s="106"/>
      <c r="K42" s="106"/>
      <c r="L42" s="107"/>
      <c r="M42" s="107"/>
      <c r="N42" s="26"/>
      <c r="O42" s="26"/>
      <c r="P42" s="47"/>
      <c r="Q42" s="47"/>
      <c r="R42" s="298"/>
    </row>
    <row r="43" spans="1:18" ht="15" hidden="1" customHeight="1" outlineLevel="1" x14ac:dyDescent="0.25">
      <c r="A43" s="296"/>
      <c r="B43" s="47"/>
      <c r="C43" s="311">
        <v>29</v>
      </c>
      <c r="D43" s="312"/>
      <c r="E43" s="370"/>
      <c r="F43" s="61"/>
      <c r="G43" s="105"/>
      <c r="H43" s="105"/>
      <c r="I43" s="106"/>
      <c r="J43" s="106"/>
      <c r="K43" s="106"/>
      <c r="L43" s="107"/>
      <c r="M43" s="107"/>
      <c r="N43" s="26"/>
      <c r="O43" s="26"/>
      <c r="P43" s="47"/>
      <c r="Q43" s="47"/>
      <c r="R43" s="298"/>
    </row>
    <row r="44" spans="1:18" ht="15" hidden="1" customHeight="1" outlineLevel="1" x14ac:dyDescent="0.25">
      <c r="A44" s="296"/>
      <c r="B44" s="47"/>
      <c r="C44" s="311">
        <v>30</v>
      </c>
      <c r="D44" s="312"/>
      <c r="E44" s="370"/>
      <c r="F44" s="61"/>
      <c r="G44" s="105"/>
      <c r="H44" s="105"/>
      <c r="I44" s="106"/>
      <c r="J44" s="106"/>
      <c r="K44" s="106"/>
      <c r="L44" s="107"/>
      <c r="M44" s="107"/>
      <c r="N44" s="26"/>
      <c r="O44" s="26"/>
      <c r="P44" s="47"/>
      <c r="Q44" s="47"/>
      <c r="R44" s="298"/>
    </row>
    <row r="45" spans="1:18" ht="15" hidden="1" customHeight="1" outlineLevel="1" x14ac:dyDescent="0.25">
      <c r="A45" s="296"/>
      <c r="B45" s="47"/>
      <c r="C45" s="311">
        <v>31</v>
      </c>
      <c r="D45" s="312"/>
      <c r="E45" s="370"/>
      <c r="F45" s="61"/>
      <c r="G45" s="105"/>
      <c r="H45" s="105"/>
      <c r="I45" s="106"/>
      <c r="J45" s="106"/>
      <c r="K45" s="106"/>
      <c r="L45" s="107"/>
      <c r="M45" s="107"/>
      <c r="N45" s="26"/>
      <c r="O45" s="26"/>
      <c r="P45" s="47"/>
      <c r="Q45" s="47"/>
      <c r="R45" s="298"/>
    </row>
    <row r="46" spans="1:18" ht="15" hidden="1" customHeight="1" outlineLevel="1" x14ac:dyDescent="0.25">
      <c r="A46" s="296"/>
      <c r="B46" s="47"/>
      <c r="C46" s="311">
        <v>32</v>
      </c>
      <c r="D46" s="312"/>
      <c r="E46" s="370"/>
      <c r="F46" s="61"/>
      <c r="G46" s="105"/>
      <c r="H46" s="105"/>
      <c r="I46" s="106"/>
      <c r="J46" s="106"/>
      <c r="K46" s="106"/>
      <c r="L46" s="107"/>
      <c r="M46" s="107"/>
      <c r="N46" s="26"/>
      <c r="O46" s="26"/>
      <c r="P46" s="47"/>
      <c r="Q46" s="47"/>
      <c r="R46" s="298"/>
    </row>
    <row r="47" spans="1:18" ht="15" hidden="1" customHeight="1" outlineLevel="1" x14ac:dyDescent="0.25">
      <c r="A47" s="296"/>
      <c r="B47" s="47"/>
      <c r="C47" s="311">
        <v>33</v>
      </c>
      <c r="D47" s="312"/>
      <c r="E47" s="370"/>
      <c r="F47" s="61"/>
      <c r="G47" s="105"/>
      <c r="H47" s="105"/>
      <c r="I47" s="106"/>
      <c r="J47" s="106"/>
      <c r="K47" s="106"/>
      <c r="L47" s="107"/>
      <c r="M47" s="107"/>
      <c r="N47" s="26"/>
      <c r="O47" s="26"/>
      <c r="P47" s="47"/>
      <c r="Q47" s="47"/>
      <c r="R47" s="298"/>
    </row>
    <row r="48" spans="1:18" ht="15" hidden="1" customHeight="1" outlineLevel="1" x14ac:dyDescent="0.25">
      <c r="A48" s="296"/>
      <c r="B48" s="47"/>
      <c r="C48" s="311">
        <v>34</v>
      </c>
      <c r="D48" s="312"/>
      <c r="E48" s="370"/>
      <c r="F48" s="61"/>
      <c r="G48" s="105"/>
      <c r="H48" s="105"/>
      <c r="I48" s="106"/>
      <c r="J48" s="106"/>
      <c r="K48" s="106"/>
      <c r="L48" s="107"/>
      <c r="M48" s="107"/>
      <c r="N48" s="26"/>
      <c r="O48" s="26"/>
      <c r="P48" s="47"/>
      <c r="Q48" s="47"/>
      <c r="R48" s="298"/>
    </row>
    <row r="49" spans="1:18" ht="15" hidden="1" customHeight="1" outlineLevel="1" x14ac:dyDescent="0.25">
      <c r="A49" s="296"/>
      <c r="B49" s="47"/>
      <c r="C49" s="311">
        <v>35</v>
      </c>
      <c r="D49" s="312"/>
      <c r="E49" s="370"/>
      <c r="F49" s="61"/>
      <c r="G49" s="105"/>
      <c r="H49" s="105"/>
      <c r="I49" s="106"/>
      <c r="J49" s="106"/>
      <c r="K49" s="106"/>
      <c r="L49" s="107"/>
      <c r="M49" s="107"/>
      <c r="N49" s="26"/>
      <c r="O49" s="26"/>
      <c r="P49" s="47"/>
      <c r="Q49" s="47"/>
      <c r="R49" s="298"/>
    </row>
    <row r="50" spans="1:18" ht="15" hidden="1" customHeight="1" outlineLevel="1" x14ac:dyDescent="0.25">
      <c r="A50" s="296"/>
      <c r="B50" s="47"/>
      <c r="C50" s="311">
        <v>36</v>
      </c>
      <c r="D50" s="312"/>
      <c r="E50" s="370"/>
      <c r="F50" s="61"/>
      <c r="G50" s="105"/>
      <c r="H50" s="105"/>
      <c r="I50" s="106"/>
      <c r="J50" s="106"/>
      <c r="K50" s="106"/>
      <c r="L50" s="107"/>
      <c r="M50" s="107"/>
      <c r="N50" s="26"/>
      <c r="O50" s="26"/>
      <c r="P50" s="47"/>
      <c r="Q50" s="47"/>
      <c r="R50" s="298"/>
    </row>
    <row r="51" spans="1:18" ht="15" hidden="1" customHeight="1" outlineLevel="1" x14ac:dyDescent="0.25">
      <c r="A51" s="296"/>
      <c r="B51" s="47"/>
      <c r="C51" s="311">
        <v>37</v>
      </c>
      <c r="D51" s="312"/>
      <c r="E51" s="370"/>
      <c r="F51" s="61"/>
      <c r="G51" s="105"/>
      <c r="H51" s="105"/>
      <c r="I51" s="106"/>
      <c r="J51" s="106"/>
      <c r="K51" s="106"/>
      <c r="L51" s="107"/>
      <c r="M51" s="107"/>
      <c r="N51" s="26"/>
      <c r="O51" s="26"/>
      <c r="P51" s="47"/>
      <c r="Q51" s="47"/>
      <c r="R51" s="298"/>
    </row>
    <row r="52" spans="1:18" ht="15" hidden="1" customHeight="1" outlineLevel="1" x14ac:dyDescent="0.25">
      <c r="A52" s="296"/>
      <c r="B52" s="47"/>
      <c r="C52" s="311">
        <v>38</v>
      </c>
      <c r="D52" s="312"/>
      <c r="E52" s="370"/>
      <c r="F52" s="61"/>
      <c r="G52" s="105"/>
      <c r="H52" s="105"/>
      <c r="I52" s="106"/>
      <c r="J52" s="106"/>
      <c r="K52" s="106"/>
      <c r="L52" s="107"/>
      <c r="M52" s="107"/>
      <c r="N52" s="26"/>
      <c r="O52" s="26"/>
      <c r="P52" s="47"/>
      <c r="Q52" s="47"/>
      <c r="R52" s="298"/>
    </row>
    <row r="53" spans="1:18" ht="15" hidden="1" customHeight="1" outlineLevel="1" x14ac:dyDescent="0.25">
      <c r="A53" s="296"/>
      <c r="B53" s="47"/>
      <c r="C53" s="311">
        <v>39</v>
      </c>
      <c r="D53" s="312"/>
      <c r="E53" s="370"/>
      <c r="F53" s="61"/>
      <c r="G53" s="105"/>
      <c r="H53" s="105"/>
      <c r="I53" s="106"/>
      <c r="J53" s="106"/>
      <c r="K53" s="106"/>
      <c r="L53" s="107"/>
      <c r="M53" s="107"/>
      <c r="N53" s="26"/>
      <c r="O53" s="26"/>
      <c r="P53" s="47"/>
      <c r="Q53" s="47"/>
      <c r="R53" s="298"/>
    </row>
    <row r="54" spans="1:18" ht="15" hidden="1" customHeight="1" outlineLevel="1" x14ac:dyDescent="0.25">
      <c r="A54" s="296"/>
      <c r="B54" s="47"/>
      <c r="C54" s="311">
        <v>40</v>
      </c>
      <c r="D54" s="312"/>
      <c r="E54" s="370"/>
      <c r="F54" s="61"/>
      <c r="G54" s="105"/>
      <c r="H54" s="105"/>
      <c r="I54" s="106"/>
      <c r="J54" s="106"/>
      <c r="K54" s="106"/>
      <c r="L54" s="107"/>
      <c r="M54" s="107"/>
      <c r="N54" s="26"/>
      <c r="O54" s="26"/>
      <c r="P54" s="47"/>
      <c r="Q54" s="47"/>
      <c r="R54" s="298"/>
    </row>
    <row r="55" spans="1:18" ht="15" hidden="1" customHeight="1" outlineLevel="1" x14ac:dyDescent="0.25">
      <c r="A55" s="296"/>
      <c r="B55" s="47"/>
      <c r="C55" s="311">
        <v>41</v>
      </c>
      <c r="D55" s="312"/>
      <c r="E55" s="370"/>
      <c r="F55" s="61"/>
      <c r="G55" s="105"/>
      <c r="H55" s="105"/>
      <c r="I55" s="106"/>
      <c r="J55" s="106"/>
      <c r="K55" s="106"/>
      <c r="L55" s="107"/>
      <c r="M55" s="107"/>
      <c r="N55" s="26"/>
      <c r="O55" s="26"/>
      <c r="P55" s="47"/>
      <c r="Q55" s="47"/>
      <c r="R55" s="298"/>
    </row>
    <row r="56" spans="1:18" ht="15" hidden="1" customHeight="1" outlineLevel="1" x14ac:dyDescent="0.25">
      <c r="A56" s="296"/>
      <c r="B56" s="47"/>
      <c r="C56" s="311">
        <v>42</v>
      </c>
      <c r="D56" s="312"/>
      <c r="E56" s="370"/>
      <c r="F56" s="61"/>
      <c r="G56" s="105"/>
      <c r="H56" s="105"/>
      <c r="I56" s="106"/>
      <c r="J56" s="106"/>
      <c r="K56" s="106"/>
      <c r="L56" s="107"/>
      <c r="M56" s="107"/>
      <c r="N56" s="26"/>
      <c r="O56" s="26"/>
      <c r="P56" s="47"/>
      <c r="Q56" s="47"/>
      <c r="R56" s="298"/>
    </row>
    <row r="57" spans="1:18" ht="15" hidden="1" customHeight="1" outlineLevel="1" x14ac:dyDescent="0.25">
      <c r="A57" s="296"/>
      <c r="B57" s="47"/>
      <c r="C57" s="311">
        <v>43</v>
      </c>
      <c r="D57" s="312"/>
      <c r="E57" s="370"/>
      <c r="F57" s="61"/>
      <c r="G57" s="105"/>
      <c r="H57" s="105"/>
      <c r="I57" s="106"/>
      <c r="J57" s="106"/>
      <c r="K57" s="106"/>
      <c r="L57" s="107"/>
      <c r="M57" s="107"/>
      <c r="N57" s="26"/>
      <c r="O57" s="26"/>
      <c r="P57" s="47"/>
      <c r="Q57" s="47"/>
      <c r="R57" s="298"/>
    </row>
    <row r="58" spans="1:18" ht="15" hidden="1" customHeight="1" outlineLevel="1" x14ac:dyDescent="0.25">
      <c r="A58" s="296"/>
      <c r="B58" s="47"/>
      <c r="C58" s="311">
        <v>44</v>
      </c>
      <c r="D58" s="312"/>
      <c r="E58" s="370"/>
      <c r="F58" s="61"/>
      <c r="G58" s="105"/>
      <c r="H58" s="105"/>
      <c r="I58" s="106"/>
      <c r="J58" s="106"/>
      <c r="K58" s="106"/>
      <c r="L58" s="107"/>
      <c r="M58" s="107"/>
      <c r="N58" s="26"/>
      <c r="O58" s="26"/>
      <c r="P58" s="47"/>
      <c r="Q58" s="47"/>
      <c r="R58" s="298"/>
    </row>
    <row r="59" spans="1:18" ht="15" hidden="1" customHeight="1" outlineLevel="1" x14ac:dyDescent="0.25">
      <c r="A59" s="296"/>
      <c r="B59" s="47"/>
      <c r="C59" s="311">
        <v>45</v>
      </c>
      <c r="D59" s="312"/>
      <c r="E59" s="370"/>
      <c r="F59" s="61"/>
      <c r="G59" s="105"/>
      <c r="H59" s="105"/>
      <c r="I59" s="106"/>
      <c r="J59" s="106"/>
      <c r="K59" s="106"/>
      <c r="L59" s="107"/>
      <c r="M59" s="107"/>
      <c r="N59" s="26"/>
      <c r="O59" s="26"/>
      <c r="P59" s="47"/>
      <c r="Q59" s="47"/>
      <c r="R59" s="298"/>
    </row>
    <row r="60" spans="1:18" ht="15" hidden="1" customHeight="1" outlineLevel="1" x14ac:dyDescent="0.25">
      <c r="A60" s="296"/>
      <c r="B60" s="47"/>
      <c r="C60" s="311">
        <v>46</v>
      </c>
      <c r="D60" s="312"/>
      <c r="E60" s="370"/>
      <c r="F60" s="61"/>
      <c r="G60" s="105"/>
      <c r="H60" s="105"/>
      <c r="I60" s="106"/>
      <c r="J60" s="106"/>
      <c r="K60" s="106"/>
      <c r="L60" s="107"/>
      <c r="M60" s="107"/>
      <c r="N60" s="26"/>
      <c r="O60" s="26"/>
      <c r="P60" s="47"/>
      <c r="Q60" s="47"/>
      <c r="R60" s="298"/>
    </row>
    <row r="61" spans="1:18" ht="15" hidden="1" customHeight="1" outlineLevel="1" x14ac:dyDescent="0.25">
      <c r="A61" s="296"/>
      <c r="B61" s="47"/>
      <c r="C61" s="311">
        <v>47</v>
      </c>
      <c r="D61" s="312"/>
      <c r="E61" s="370"/>
      <c r="F61" s="61"/>
      <c r="G61" s="105"/>
      <c r="H61" s="105"/>
      <c r="I61" s="106"/>
      <c r="J61" s="106"/>
      <c r="K61" s="106"/>
      <c r="L61" s="107"/>
      <c r="M61" s="107"/>
      <c r="N61" s="26"/>
      <c r="O61" s="26"/>
      <c r="P61" s="47"/>
      <c r="Q61" s="47"/>
      <c r="R61" s="298"/>
    </row>
    <row r="62" spans="1:18" ht="15" hidden="1" customHeight="1" outlineLevel="1" x14ac:dyDescent="0.25">
      <c r="A62" s="296"/>
      <c r="B62" s="47"/>
      <c r="C62" s="311">
        <v>48</v>
      </c>
      <c r="D62" s="312"/>
      <c r="E62" s="370"/>
      <c r="F62" s="61"/>
      <c r="G62" s="105"/>
      <c r="H62" s="105"/>
      <c r="I62" s="106"/>
      <c r="J62" s="106"/>
      <c r="K62" s="106"/>
      <c r="L62" s="107"/>
      <c r="M62" s="107"/>
      <c r="N62" s="26"/>
      <c r="O62" s="26"/>
      <c r="P62" s="47"/>
      <c r="Q62" s="47"/>
      <c r="R62" s="298"/>
    </row>
    <row r="63" spans="1:18" ht="15" hidden="1" customHeight="1" outlineLevel="1" x14ac:dyDescent="0.25">
      <c r="A63" s="296"/>
      <c r="B63" s="47"/>
      <c r="C63" s="311">
        <v>49</v>
      </c>
      <c r="D63" s="312"/>
      <c r="E63" s="370"/>
      <c r="F63" s="61"/>
      <c r="G63" s="105"/>
      <c r="H63" s="105"/>
      <c r="I63" s="106"/>
      <c r="J63" s="106"/>
      <c r="K63" s="106"/>
      <c r="L63" s="107"/>
      <c r="M63" s="107"/>
      <c r="N63" s="26"/>
      <c r="O63" s="26"/>
      <c r="P63" s="47"/>
      <c r="Q63" s="47"/>
      <c r="R63" s="298"/>
    </row>
    <row r="64" spans="1:18" ht="15" hidden="1" customHeight="1" outlineLevel="1" x14ac:dyDescent="0.25">
      <c r="A64" s="296"/>
      <c r="B64" s="47"/>
      <c r="C64" s="311">
        <v>50</v>
      </c>
      <c r="D64" s="312"/>
      <c r="E64" s="370"/>
      <c r="F64" s="61"/>
      <c r="G64" s="105"/>
      <c r="H64" s="105"/>
      <c r="I64" s="106"/>
      <c r="J64" s="106"/>
      <c r="K64" s="106"/>
      <c r="L64" s="107"/>
      <c r="M64" s="107"/>
      <c r="N64" s="26"/>
      <c r="O64" s="26"/>
      <c r="P64" s="47"/>
      <c r="Q64" s="47"/>
      <c r="R64" s="298"/>
    </row>
    <row r="65" spans="1:18" ht="15" hidden="1" customHeight="1" outlineLevel="1" x14ac:dyDescent="0.25">
      <c r="A65" s="296"/>
      <c r="B65" s="47"/>
      <c r="C65" s="311">
        <v>51</v>
      </c>
      <c r="D65" s="312"/>
      <c r="E65" s="370"/>
      <c r="F65" s="61"/>
      <c r="G65" s="105"/>
      <c r="H65" s="105"/>
      <c r="I65" s="107"/>
      <c r="J65" s="107"/>
      <c r="K65" s="107"/>
      <c r="L65" s="107"/>
      <c r="M65" s="107"/>
      <c r="N65" s="26"/>
      <c r="O65" s="26"/>
      <c r="P65" s="47"/>
      <c r="Q65" s="47"/>
      <c r="R65" s="298"/>
    </row>
    <row r="66" spans="1:18" ht="15" hidden="1" customHeight="1" outlineLevel="1" x14ac:dyDescent="0.25">
      <c r="A66" s="296"/>
      <c r="B66" s="47"/>
      <c r="C66" s="311">
        <v>52</v>
      </c>
      <c r="D66" s="312"/>
      <c r="E66" s="370"/>
      <c r="F66" s="61"/>
      <c r="G66" s="107"/>
      <c r="H66" s="107"/>
      <c r="I66" s="107"/>
      <c r="J66" s="107"/>
      <c r="K66" s="107"/>
      <c r="L66" s="107"/>
      <c r="M66" s="107"/>
      <c r="N66" s="26"/>
      <c r="O66" s="26"/>
      <c r="P66" s="47"/>
      <c r="Q66" s="47"/>
      <c r="R66" s="298"/>
    </row>
    <row r="67" spans="1:18" ht="15" hidden="1" customHeight="1" outlineLevel="1" x14ac:dyDescent="0.25">
      <c r="A67" s="296"/>
      <c r="B67" s="47"/>
      <c r="C67" s="311">
        <v>53</v>
      </c>
      <c r="D67" s="312"/>
      <c r="E67" s="370"/>
      <c r="F67" s="61"/>
      <c r="G67" s="107"/>
      <c r="H67" s="107"/>
      <c r="I67" s="107"/>
      <c r="J67" s="107"/>
      <c r="K67" s="107"/>
      <c r="L67" s="107"/>
      <c r="M67" s="107"/>
      <c r="N67" s="26"/>
      <c r="O67" s="26"/>
      <c r="P67" s="47"/>
      <c r="Q67" s="47"/>
      <c r="R67" s="298"/>
    </row>
    <row r="68" spans="1:18" ht="15" hidden="1" customHeight="1" outlineLevel="1" x14ac:dyDescent="0.25">
      <c r="A68" s="296"/>
      <c r="B68" s="47"/>
      <c r="C68" s="311">
        <v>54</v>
      </c>
      <c r="D68" s="312"/>
      <c r="E68" s="370"/>
      <c r="F68" s="61"/>
      <c r="G68" s="107"/>
      <c r="H68" s="107"/>
      <c r="I68" s="107"/>
      <c r="J68" s="107"/>
      <c r="K68" s="107"/>
      <c r="L68" s="107"/>
      <c r="M68" s="107"/>
      <c r="N68" s="26"/>
      <c r="O68" s="26"/>
      <c r="P68" s="47"/>
      <c r="Q68" s="47"/>
      <c r="R68" s="298"/>
    </row>
    <row r="69" spans="1:18" ht="15" hidden="1" customHeight="1" outlineLevel="1" x14ac:dyDescent="0.25">
      <c r="A69" s="296"/>
      <c r="B69" s="47"/>
      <c r="C69" s="311">
        <v>55</v>
      </c>
      <c r="D69" s="312"/>
      <c r="E69" s="370"/>
      <c r="F69" s="61"/>
      <c r="G69" s="107"/>
      <c r="H69" s="107"/>
      <c r="I69" s="107"/>
      <c r="J69" s="107"/>
      <c r="K69" s="107"/>
      <c r="L69" s="107"/>
      <c r="M69" s="107"/>
      <c r="N69" s="26"/>
      <c r="O69" s="26"/>
      <c r="P69" s="47"/>
      <c r="Q69" s="47"/>
      <c r="R69" s="298"/>
    </row>
    <row r="70" spans="1:18" ht="15" hidden="1" customHeight="1" outlineLevel="1" x14ac:dyDescent="0.25">
      <c r="A70" s="296"/>
      <c r="B70" s="47"/>
      <c r="C70" s="311">
        <v>56</v>
      </c>
      <c r="D70" s="312"/>
      <c r="E70" s="370"/>
      <c r="F70" s="61"/>
      <c r="G70" s="107"/>
      <c r="H70" s="107"/>
      <c r="I70" s="107"/>
      <c r="J70" s="107"/>
      <c r="K70" s="107"/>
      <c r="L70" s="107"/>
      <c r="M70" s="107"/>
      <c r="N70" s="26"/>
      <c r="O70" s="26"/>
      <c r="P70" s="47"/>
      <c r="Q70" s="47"/>
      <c r="R70" s="298"/>
    </row>
    <row r="71" spans="1:18" ht="15" hidden="1" customHeight="1" outlineLevel="1" x14ac:dyDescent="0.25">
      <c r="A71" s="296"/>
      <c r="B71" s="47"/>
      <c r="C71" s="311">
        <v>57</v>
      </c>
      <c r="D71" s="312"/>
      <c r="E71" s="370"/>
      <c r="F71" s="61"/>
      <c r="G71" s="107"/>
      <c r="H71" s="107"/>
      <c r="I71" s="107"/>
      <c r="J71" s="107"/>
      <c r="K71" s="107"/>
      <c r="L71" s="107"/>
      <c r="M71" s="107"/>
      <c r="N71" s="26"/>
      <c r="O71" s="26"/>
      <c r="P71" s="47"/>
      <c r="Q71" s="47"/>
      <c r="R71" s="298"/>
    </row>
    <row r="72" spans="1:18" ht="15" hidden="1" customHeight="1" outlineLevel="1" x14ac:dyDescent="0.25">
      <c r="A72" s="296"/>
      <c r="B72" s="47"/>
      <c r="C72" s="311">
        <v>58</v>
      </c>
      <c r="D72" s="312"/>
      <c r="E72" s="370"/>
      <c r="F72" s="61"/>
      <c r="G72" s="107"/>
      <c r="H72" s="107"/>
      <c r="I72" s="107"/>
      <c r="J72" s="107"/>
      <c r="K72" s="107"/>
      <c r="L72" s="107"/>
      <c r="M72" s="107"/>
      <c r="N72" s="26"/>
      <c r="O72" s="26"/>
      <c r="P72" s="47"/>
      <c r="Q72" s="47"/>
      <c r="R72" s="298"/>
    </row>
    <row r="73" spans="1:18" ht="15" hidden="1" customHeight="1" outlineLevel="1" x14ac:dyDescent="0.25">
      <c r="A73" s="296"/>
      <c r="B73" s="47"/>
      <c r="C73" s="311">
        <v>59</v>
      </c>
      <c r="D73" s="312"/>
      <c r="E73" s="370"/>
      <c r="F73" s="61"/>
      <c r="G73" s="107"/>
      <c r="H73" s="107"/>
      <c r="I73" s="107"/>
      <c r="J73" s="107"/>
      <c r="K73" s="107"/>
      <c r="L73" s="107"/>
      <c r="M73" s="107"/>
      <c r="N73" s="26"/>
      <c r="O73" s="26"/>
      <c r="P73" s="47"/>
      <c r="Q73" s="47"/>
      <c r="R73" s="298"/>
    </row>
    <row r="74" spans="1:18" ht="15" hidden="1" customHeight="1" outlineLevel="1" x14ac:dyDescent="0.25">
      <c r="A74" s="296"/>
      <c r="B74" s="47"/>
      <c r="C74" s="311">
        <v>60</v>
      </c>
      <c r="D74" s="312"/>
      <c r="E74" s="370"/>
      <c r="F74" s="61"/>
      <c r="G74" s="107"/>
      <c r="H74" s="107"/>
      <c r="I74" s="107"/>
      <c r="J74" s="107"/>
      <c r="K74" s="107"/>
      <c r="L74" s="107"/>
      <c r="M74" s="107"/>
      <c r="N74" s="26"/>
      <c r="O74" s="26"/>
      <c r="P74" s="47"/>
      <c r="Q74" s="47"/>
      <c r="R74" s="298"/>
    </row>
    <row r="75" spans="1:18" ht="15" hidden="1" customHeight="1" outlineLevel="1" x14ac:dyDescent="0.25">
      <c r="A75" s="296"/>
      <c r="B75" s="47"/>
      <c r="C75" s="311">
        <v>61</v>
      </c>
      <c r="D75" s="312"/>
      <c r="E75" s="370"/>
      <c r="F75" s="61"/>
      <c r="G75" s="107"/>
      <c r="H75" s="107"/>
      <c r="I75" s="107"/>
      <c r="J75" s="107"/>
      <c r="K75" s="107"/>
      <c r="L75" s="107"/>
      <c r="M75" s="107"/>
      <c r="N75" s="26"/>
      <c r="O75" s="26"/>
      <c r="P75" s="47"/>
      <c r="Q75" s="47"/>
      <c r="R75" s="298"/>
    </row>
    <row r="76" spans="1:18" ht="15" hidden="1" customHeight="1" outlineLevel="1" x14ac:dyDescent="0.25">
      <c r="A76" s="296"/>
      <c r="B76" s="47"/>
      <c r="C76" s="311">
        <v>62</v>
      </c>
      <c r="D76" s="312"/>
      <c r="E76" s="370"/>
      <c r="F76" s="61"/>
      <c r="G76" s="107"/>
      <c r="H76" s="107"/>
      <c r="I76" s="107"/>
      <c r="J76" s="107"/>
      <c r="K76" s="107"/>
      <c r="L76" s="107"/>
      <c r="M76" s="107"/>
      <c r="N76" s="26"/>
      <c r="O76" s="26"/>
      <c r="P76" s="47"/>
      <c r="Q76" s="47"/>
      <c r="R76" s="298"/>
    </row>
    <row r="77" spans="1:18" ht="15" hidden="1" customHeight="1" outlineLevel="1" x14ac:dyDescent="0.25">
      <c r="A77" s="296"/>
      <c r="B77" s="47"/>
      <c r="C77" s="311">
        <v>63</v>
      </c>
      <c r="D77" s="312"/>
      <c r="E77" s="370"/>
      <c r="F77" s="61"/>
      <c r="G77" s="107"/>
      <c r="H77" s="107"/>
      <c r="I77" s="107"/>
      <c r="J77" s="107"/>
      <c r="K77" s="107"/>
      <c r="L77" s="107"/>
      <c r="M77" s="107"/>
      <c r="N77" s="26"/>
      <c r="O77" s="26"/>
      <c r="P77" s="47"/>
      <c r="Q77" s="47"/>
      <c r="R77" s="298"/>
    </row>
    <row r="78" spans="1:18" ht="15" hidden="1" customHeight="1" outlineLevel="1" x14ac:dyDescent="0.25">
      <c r="A78" s="296"/>
      <c r="B78" s="47"/>
      <c r="C78" s="311">
        <v>64</v>
      </c>
      <c r="D78" s="312"/>
      <c r="E78" s="370"/>
      <c r="F78" s="61"/>
      <c r="G78" s="107"/>
      <c r="H78" s="107"/>
      <c r="I78" s="107"/>
      <c r="J78" s="107"/>
      <c r="K78" s="107"/>
      <c r="L78" s="107"/>
      <c r="M78" s="107"/>
      <c r="N78" s="26"/>
      <c r="O78" s="26"/>
      <c r="P78" s="47"/>
      <c r="Q78" s="47"/>
      <c r="R78" s="298"/>
    </row>
    <row r="79" spans="1:18" ht="15" hidden="1" customHeight="1" outlineLevel="1" x14ac:dyDescent="0.25">
      <c r="A79" s="296"/>
      <c r="B79" s="47"/>
      <c r="C79" s="311">
        <v>65</v>
      </c>
      <c r="D79" s="312"/>
      <c r="E79" s="370"/>
      <c r="F79" s="61"/>
      <c r="G79" s="107"/>
      <c r="H79" s="107"/>
      <c r="I79" s="107"/>
      <c r="J79" s="107"/>
      <c r="K79" s="107"/>
      <c r="L79" s="107"/>
      <c r="M79" s="107"/>
      <c r="N79" s="26"/>
      <c r="O79" s="26"/>
      <c r="P79" s="47"/>
      <c r="Q79" s="47"/>
      <c r="R79" s="298"/>
    </row>
    <row r="80" spans="1:18" ht="15" hidden="1" customHeight="1" outlineLevel="1" x14ac:dyDescent="0.25">
      <c r="A80" s="296"/>
      <c r="B80" s="47"/>
      <c r="C80" s="311">
        <v>66</v>
      </c>
      <c r="D80" s="312"/>
      <c r="E80" s="370"/>
      <c r="F80" s="61"/>
      <c r="G80" s="107"/>
      <c r="H80" s="107"/>
      <c r="I80" s="107"/>
      <c r="J80" s="107"/>
      <c r="K80" s="107"/>
      <c r="L80" s="107"/>
      <c r="M80" s="107"/>
      <c r="N80" s="26"/>
      <c r="O80" s="26"/>
      <c r="P80" s="47"/>
      <c r="Q80" s="47"/>
      <c r="R80" s="298"/>
    </row>
    <row r="81" spans="1:18" ht="15" hidden="1" customHeight="1" outlineLevel="1" x14ac:dyDescent="0.25">
      <c r="A81" s="296"/>
      <c r="B81" s="47"/>
      <c r="C81" s="311">
        <v>67</v>
      </c>
      <c r="D81" s="312"/>
      <c r="E81" s="370"/>
      <c r="F81" s="61"/>
      <c r="G81" s="107"/>
      <c r="H81" s="107"/>
      <c r="I81" s="107"/>
      <c r="J81" s="107"/>
      <c r="K81" s="107"/>
      <c r="L81" s="107"/>
      <c r="M81" s="107"/>
      <c r="N81" s="26"/>
      <c r="O81" s="26"/>
      <c r="P81" s="47"/>
      <c r="Q81" s="47"/>
      <c r="R81" s="298"/>
    </row>
    <row r="82" spans="1:18" ht="15" hidden="1" customHeight="1" outlineLevel="1" x14ac:dyDescent="0.25">
      <c r="A82" s="296"/>
      <c r="B82" s="47"/>
      <c r="C82" s="311">
        <v>68</v>
      </c>
      <c r="D82" s="312"/>
      <c r="E82" s="370"/>
      <c r="F82" s="61"/>
      <c r="G82" s="107"/>
      <c r="H82" s="107"/>
      <c r="I82" s="107"/>
      <c r="J82" s="107"/>
      <c r="K82" s="107"/>
      <c r="L82" s="107"/>
      <c r="M82" s="107"/>
      <c r="N82" s="26"/>
      <c r="O82" s="26"/>
      <c r="P82" s="47"/>
      <c r="Q82" s="47"/>
      <c r="R82" s="298"/>
    </row>
    <row r="83" spans="1:18" ht="15" hidden="1" customHeight="1" outlineLevel="1" x14ac:dyDescent="0.25">
      <c r="A83" s="296"/>
      <c r="B83" s="47"/>
      <c r="C83" s="311">
        <v>69</v>
      </c>
      <c r="D83" s="312"/>
      <c r="E83" s="370"/>
      <c r="F83" s="61"/>
      <c r="G83" s="107"/>
      <c r="H83" s="107"/>
      <c r="I83" s="107"/>
      <c r="J83" s="107"/>
      <c r="K83" s="107"/>
      <c r="L83" s="107"/>
      <c r="M83" s="107"/>
      <c r="N83" s="26"/>
      <c r="O83" s="26"/>
      <c r="P83" s="47"/>
      <c r="Q83" s="47"/>
      <c r="R83" s="298"/>
    </row>
    <row r="84" spans="1:18" ht="15" hidden="1" customHeight="1" outlineLevel="1" x14ac:dyDescent="0.25">
      <c r="A84" s="296"/>
      <c r="B84" s="47"/>
      <c r="C84" s="311">
        <v>70</v>
      </c>
      <c r="D84" s="312"/>
      <c r="E84" s="370"/>
      <c r="F84" s="61"/>
      <c r="G84" s="107"/>
      <c r="H84" s="107"/>
      <c r="I84" s="107"/>
      <c r="J84" s="107"/>
      <c r="K84" s="107"/>
      <c r="L84" s="107"/>
      <c r="M84" s="107"/>
      <c r="N84" s="26"/>
      <c r="O84" s="26"/>
      <c r="P84" s="47"/>
      <c r="Q84" s="47"/>
      <c r="R84" s="298"/>
    </row>
    <row r="85" spans="1:18" ht="15" hidden="1" customHeight="1" outlineLevel="1" x14ac:dyDescent="0.25">
      <c r="A85" s="296"/>
      <c r="B85" s="47"/>
      <c r="C85" s="311">
        <v>71</v>
      </c>
      <c r="D85" s="312"/>
      <c r="E85" s="370"/>
      <c r="F85" s="61"/>
      <c r="G85" s="107"/>
      <c r="H85" s="107"/>
      <c r="I85" s="107"/>
      <c r="J85" s="107"/>
      <c r="K85" s="107"/>
      <c r="L85" s="107"/>
      <c r="M85" s="107"/>
      <c r="N85" s="26"/>
      <c r="O85" s="26"/>
      <c r="P85" s="47"/>
      <c r="Q85" s="47"/>
      <c r="R85" s="298"/>
    </row>
    <row r="86" spans="1:18" ht="15" hidden="1" customHeight="1" outlineLevel="1" x14ac:dyDescent="0.25">
      <c r="A86" s="296"/>
      <c r="B86" s="47"/>
      <c r="C86" s="311">
        <v>72</v>
      </c>
      <c r="D86" s="312"/>
      <c r="E86" s="370"/>
      <c r="F86" s="61"/>
      <c r="G86" s="107"/>
      <c r="H86" s="107"/>
      <c r="I86" s="107"/>
      <c r="J86" s="107"/>
      <c r="K86" s="107"/>
      <c r="L86" s="107"/>
      <c r="M86" s="107"/>
      <c r="N86" s="26"/>
      <c r="O86" s="26"/>
      <c r="P86" s="47"/>
      <c r="Q86" s="47"/>
      <c r="R86" s="298"/>
    </row>
    <row r="87" spans="1:18" ht="15" hidden="1" customHeight="1" outlineLevel="1" x14ac:dyDescent="0.25">
      <c r="A87" s="296"/>
      <c r="B87" s="47"/>
      <c r="C87" s="311">
        <v>73</v>
      </c>
      <c r="D87" s="312"/>
      <c r="E87" s="370"/>
      <c r="F87" s="61"/>
      <c r="G87" s="107"/>
      <c r="H87" s="107"/>
      <c r="I87" s="107"/>
      <c r="J87" s="107"/>
      <c r="K87" s="107"/>
      <c r="L87" s="107"/>
      <c r="M87" s="107"/>
      <c r="N87" s="26"/>
      <c r="O87" s="26"/>
      <c r="P87" s="47"/>
      <c r="Q87" s="47"/>
      <c r="R87" s="298"/>
    </row>
    <row r="88" spans="1:18" ht="15" hidden="1" customHeight="1" outlineLevel="1" x14ac:dyDescent="0.25">
      <c r="A88" s="296"/>
      <c r="B88" s="47"/>
      <c r="C88" s="311">
        <v>74</v>
      </c>
      <c r="D88" s="312"/>
      <c r="E88" s="370"/>
      <c r="F88" s="61"/>
      <c r="G88" s="107"/>
      <c r="H88" s="107"/>
      <c r="I88" s="107"/>
      <c r="J88" s="107"/>
      <c r="K88" s="107"/>
      <c r="L88" s="107"/>
      <c r="M88" s="107"/>
      <c r="N88" s="26"/>
      <c r="O88" s="26"/>
      <c r="P88" s="47"/>
      <c r="Q88" s="47"/>
      <c r="R88" s="298"/>
    </row>
    <row r="89" spans="1:18" ht="15" hidden="1" customHeight="1" outlineLevel="1" x14ac:dyDescent="0.25">
      <c r="A89" s="296"/>
      <c r="B89" s="47"/>
      <c r="C89" s="311">
        <v>75</v>
      </c>
      <c r="D89" s="312"/>
      <c r="E89" s="370"/>
      <c r="F89" s="61"/>
      <c r="G89" s="107"/>
      <c r="H89" s="107"/>
      <c r="I89" s="107"/>
      <c r="J89" s="107"/>
      <c r="K89" s="107"/>
      <c r="L89" s="107"/>
      <c r="M89" s="107"/>
      <c r="N89" s="26"/>
      <c r="O89" s="26"/>
      <c r="P89" s="47"/>
      <c r="Q89" s="47"/>
      <c r="R89" s="298"/>
    </row>
    <row r="90" spans="1:18" ht="15" hidden="1" customHeight="1" outlineLevel="1" x14ac:dyDescent="0.25">
      <c r="A90" s="296"/>
      <c r="B90" s="47"/>
      <c r="C90" s="311">
        <v>76</v>
      </c>
      <c r="D90" s="312"/>
      <c r="E90" s="370"/>
      <c r="F90" s="61"/>
      <c r="G90" s="107"/>
      <c r="H90" s="107"/>
      <c r="I90" s="107"/>
      <c r="J90" s="107"/>
      <c r="K90" s="107"/>
      <c r="L90" s="107"/>
      <c r="M90" s="107"/>
      <c r="N90" s="26"/>
      <c r="O90" s="26"/>
      <c r="P90" s="47"/>
      <c r="Q90" s="47"/>
      <c r="R90" s="298"/>
    </row>
    <row r="91" spans="1:18" ht="15" hidden="1" customHeight="1" outlineLevel="1" x14ac:dyDescent="0.25">
      <c r="A91" s="296"/>
      <c r="B91" s="47"/>
      <c r="C91" s="311">
        <v>77</v>
      </c>
      <c r="D91" s="312"/>
      <c r="E91" s="370"/>
      <c r="F91" s="61"/>
      <c r="G91" s="107"/>
      <c r="H91" s="107"/>
      <c r="I91" s="107"/>
      <c r="J91" s="107"/>
      <c r="K91" s="107"/>
      <c r="L91" s="107"/>
      <c r="M91" s="107"/>
      <c r="N91" s="26"/>
      <c r="O91" s="26"/>
      <c r="P91" s="47"/>
      <c r="Q91" s="47"/>
      <c r="R91" s="298"/>
    </row>
    <row r="92" spans="1:18" ht="15" hidden="1" customHeight="1" outlineLevel="1" x14ac:dyDescent="0.25">
      <c r="A92" s="296"/>
      <c r="B92" s="47"/>
      <c r="C92" s="311">
        <v>78</v>
      </c>
      <c r="D92" s="312"/>
      <c r="E92" s="370"/>
      <c r="F92" s="61"/>
      <c r="G92" s="107"/>
      <c r="H92" s="107"/>
      <c r="I92" s="107"/>
      <c r="J92" s="107"/>
      <c r="K92" s="107"/>
      <c r="L92" s="107"/>
      <c r="M92" s="107"/>
      <c r="N92" s="26"/>
      <c r="O92" s="26"/>
      <c r="P92" s="47"/>
      <c r="Q92" s="47"/>
      <c r="R92" s="298"/>
    </row>
    <row r="93" spans="1:18" ht="15" hidden="1" customHeight="1" outlineLevel="1" x14ac:dyDescent="0.25">
      <c r="A93" s="296"/>
      <c r="B93" s="47"/>
      <c r="C93" s="311">
        <v>79</v>
      </c>
      <c r="D93" s="312"/>
      <c r="E93" s="370"/>
      <c r="F93" s="61"/>
      <c r="G93" s="107"/>
      <c r="H93" s="107"/>
      <c r="I93" s="107"/>
      <c r="J93" s="107"/>
      <c r="K93" s="107"/>
      <c r="L93" s="107"/>
      <c r="M93" s="107"/>
      <c r="N93" s="26"/>
      <c r="O93" s="26"/>
      <c r="P93" s="47"/>
      <c r="Q93" s="47"/>
      <c r="R93" s="298"/>
    </row>
    <row r="94" spans="1:18" ht="15" hidden="1" customHeight="1" outlineLevel="1" x14ac:dyDescent="0.25">
      <c r="A94" s="296"/>
      <c r="B94" s="47"/>
      <c r="C94" s="311">
        <v>80</v>
      </c>
      <c r="D94" s="312"/>
      <c r="E94" s="370"/>
      <c r="F94" s="61"/>
      <c r="G94" s="107"/>
      <c r="H94" s="107"/>
      <c r="I94" s="107"/>
      <c r="J94" s="107"/>
      <c r="K94" s="107"/>
      <c r="L94" s="107"/>
      <c r="M94" s="107"/>
      <c r="N94" s="26"/>
      <c r="O94" s="26"/>
      <c r="P94" s="47"/>
      <c r="Q94" s="47"/>
      <c r="R94" s="298"/>
    </row>
    <row r="95" spans="1:18" ht="15" hidden="1" customHeight="1" outlineLevel="1" x14ac:dyDescent="0.25">
      <c r="A95" s="296"/>
      <c r="B95" s="47"/>
      <c r="C95" s="311">
        <v>81</v>
      </c>
      <c r="D95" s="312"/>
      <c r="E95" s="370"/>
      <c r="F95" s="61"/>
      <c r="G95" s="107"/>
      <c r="H95" s="107"/>
      <c r="I95" s="107"/>
      <c r="J95" s="107"/>
      <c r="K95" s="107"/>
      <c r="L95" s="107"/>
      <c r="M95" s="107"/>
      <c r="N95" s="26"/>
      <c r="O95" s="26"/>
      <c r="P95" s="47"/>
      <c r="Q95" s="47"/>
      <c r="R95" s="298"/>
    </row>
    <row r="96" spans="1:18" ht="15" hidden="1" customHeight="1" outlineLevel="1" x14ac:dyDescent="0.25">
      <c r="A96" s="296"/>
      <c r="B96" s="47"/>
      <c r="C96" s="311">
        <v>82</v>
      </c>
      <c r="D96" s="312"/>
      <c r="E96" s="370"/>
      <c r="F96" s="61"/>
      <c r="G96" s="107"/>
      <c r="H96" s="107"/>
      <c r="I96" s="107"/>
      <c r="J96" s="107"/>
      <c r="K96" s="107"/>
      <c r="L96" s="107"/>
      <c r="M96" s="107"/>
      <c r="N96" s="26"/>
      <c r="O96" s="26"/>
      <c r="P96" s="47"/>
      <c r="Q96" s="47"/>
      <c r="R96" s="298"/>
    </row>
    <row r="97" spans="1:18" ht="15" hidden="1" customHeight="1" outlineLevel="1" x14ac:dyDescent="0.25">
      <c r="A97" s="296"/>
      <c r="B97" s="47"/>
      <c r="C97" s="311">
        <v>83</v>
      </c>
      <c r="D97" s="312"/>
      <c r="E97" s="370"/>
      <c r="F97" s="61"/>
      <c r="G97" s="107"/>
      <c r="H97" s="107"/>
      <c r="I97" s="107"/>
      <c r="J97" s="107"/>
      <c r="K97" s="107"/>
      <c r="L97" s="107"/>
      <c r="M97" s="107"/>
      <c r="N97" s="26"/>
      <c r="O97" s="26"/>
      <c r="P97" s="47"/>
      <c r="Q97" s="47"/>
      <c r="R97" s="298"/>
    </row>
    <row r="98" spans="1:18" ht="15" hidden="1" customHeight="1" outlineLevel="1" x14ac:dyDescent="0.25">
      <c r="A98" s="296"/>
      <c r="B98" s="47"/>
      <c r="C98" s="311">
        <v>84</v>
      </c>
      <c r="D98" s="312"/>
      <c r="E98" s="370"/>
      <c r="F98" s="61"/>
      <c r="G98" s="107"/>
      <c r="H98" s="107"/>
      <c r="I98" s="107"/>
      <c r="J98" s="107"/>
      <c r="K98" s="107"/>
      <c r="L98" s="107"/>
      <c r="M98" s="107"/>
      <c r="N98" s="26"/>
      <c r="O98" s="26"/>
      <c r="P98" s="47"/>
      <c r="Q98" s="47"/>
      <c r="R98" s="298"/>
    </row>
    <row r="99" spans="1:18" ht="15" hidden="1" customHeight="1" outlineLevel="1" x14ac:dyDescent="0.25">
      <c r="A99" s="296"/>
      <c r="B99" s="47"/>
      <c r="C99" s="311">
        <v>85</v>
      </c>
      <c r="D99" s="312"/>
      <c r="E99" s="370"/>
      <c r="F99" s="61"/>
      <c r="G99" s="107"/>
      <c r="H99" s="107"/>
      <c r="I99" s="107"/>
      <c r="J99" s="107"/>
      <c r="K99" s="107"/>
      <c r="L99" s="107"/>
      <c r="M99" s="107"/>
      <c r="N99" s="26"/>
      <c r="O99" s="26"/>
      <c r="P99" s="47"/>
      <c r="Q99" s="47"/>
      <c r="R99" s="298"/>
    </row>
    <row r="100" spans="1:18" ht="15" hidden="1" customHeight="1" outlineLevel="1" x14ac:dyDescent="0.25">
      <c r="A100" s="296"/>
      <c r="B100" s="47"/>
      <c r="C100" s="311">
        <v>86</v>
      </c>
      <c r="D100" s="312"/>
      <c r="E100" s="370"/>
      <c r="F100" s="61"/>
      <c r="G100" s="107"/>
      <c r="H100" s="107"/>
      <c r="I100" s="107"/>
      <c r="J100" s="107"/>
      <c r="K100" s="107"/>
      <c r="L100" s="107"/>
      <c r="M100" s="107"/>
      <c r="N100" s="26"/>
      <c r="O100" s="26"/>
      <c r="P100" s="47"/>
      <c r="Q100" s="47"/>
      <c r="R100" s="298"/>
    </row>
    <row r="101" spans="1:18" ht="15" hidden="1" customHeight="1" outlineLevel="1" x14ac:dyDescent="0.25">
      <c r="A101" s="296"/>
      <c r="B101" s="47"/>
      <c r="C101" s="311">
        <v>87</v>
      </c>
      <c r="D101" s="312"/>
      <c r="E101" s="370"/>
      <c r="F101" s="61"/>
      <c r="G101" s="107"/>
      <c r="H101" s="107"/>
      <c r="I101" s="107"/>
      <c r="J101" s="107"/>
      <c r="K101" s="107"/>
      <c r="L101" s="107"/>
      <c r="M101" s="107"/>
      <c r="N101" s="26"/>
      <c r="O101" s="26"/>
      <c r="P101" s="47"/>
      <c r="Q101" s="47"/>
      <c r="R101" s="298"/>
    </row>
    <row r="102" spans="1:18" ht="15" hidden="1" customHeight="1" outlineLevel="1" x14ac:dyDescent="0.25">
      <c r="A102" s="296"/>
      <c r="B102" s="47"/>
      <c r="C102" s="311">
        <v>88</v>
      </c>
      <c r="D102" s="312"/>
      <c r="E102" s="370"/>
      <c r="F102" s="61"/>
      <c r="G102" s="107"/>
      <c r="H102" s="107"/>
      <c r="I102" s="107"/>
      <c r="J102" s="107"/>
      <c r="K102" s="107"/>
      <c r="L102" s="107"/>
      <c r="M102" s="107"/>
      <c r="N102" s="26"/>
      <c r="O102" s="26"/>
      <c r="P102" s="47"/>
      <c r="Q102" s="47"/>
      <c r="R102" s="298"/>
    </row>
    <row r="103" spans="1:18" ht="15" hidden="1" customHeight="1" outlineLevel="1" x14ac:dyDescent="0.25">
      <c r="A103" s="296"/>
      <c r="B103" s="47"/>
      <c r="C103" s="311">
        <v>89</v>
      </c>
      <c r="D103" s="312"/>
      <c r="E103" s="370"/>
      <c r="F103" s="61"/>
      <c r="G103" s="107"/>
      <c r="H103" s="107"/>
      <c r="I103" s="107"/>
      <c r="J103" s="107"/>
      <c r="K103" s="107"/>
      <c r="L103" s="107"/>
      <c r="M103" s="107"/>
      <c r="N103" s="26"/>
      <c r="O103" s="26"/>
      <c r="P103" s="47"/>
      <c r="Q103" s="47"/>
      <c r="R103" s="298"/>
    </row>
    <row r="104" spans="1:18" ht="15" hidden="1" customHeight="1" outlineLevel="1" x14ac:dyDescent="0.25">
      <c r="A104" s="296"/>
      <c r="B104" s="47"/>
      <c r="C104" s="311">
        <v>90</v>
      </c>
      <c r="D104" s="312"/>
      <c r="E104" s="370"/>
      <c r="F104" s="61"/>
      <c r="G104" s="107"/>
      <c r="H104" s="107"/>
      <c r="I104" s="107"/>
      <c r="J104" s="107"/>
      <c r="K104" s="107"/>
      <c r="L104" s="107"/>
      <c r="M104" s="107"/>
      <c r="N104" s="26"/>
      <c r="O104" s="26"/>
      <c r="P104" s="47"/>
      <c r="Q104" s="47"/>
      <c r="R104" s="298"/>
    </row>
    <row r="105" spans="1:18" ht="15" hidden="1" customHeight="1" outlineLevel="1" x14ac:dyDescent="0.25">
      <c r="A105" s="296"/>
      <c r="B105" s="47"/>
      <c r="C105" s="311">
        <v>91</v>
      </c>
      <c r="D105" s="312"/>
      <c r="E105" s="370"/>
      <c r="F105" s="61"/>
      <c r="G105" s="107"/>
      <c r="H105" s="107"/>
      <c r="I105" s="107"/>
      <c r="J105" s="107"/>
      <c r="K105" s="107"/>
      <c r="L105" s="107"/>
      <c r="M105" s="107"/>
      <c r="N105" s="26"/>
      <c r="O105" s="26"/>
      <c r="P105" s="47"/>
      <c r="Q105" s="47"/>
      <c r="R105" s="298"/>
    </row>
    <row r="106" spans="1:18" ht="15" hidden="1" customHeight="1" outlineLevel="1" x14ac:dyDescent="0.25">
      <c r="A106" s="296"/>
      <c r="B106" s="47"/>
      <c r="C106" s="311">
        <v>92</v>
      </c>
      <c r="D106" s="312"/>
      <c r="E106" s="370"/>
      <c r="F106" s="61"/>
      <c r="G106" s="107"/>
      <c r="H106" s="107"/>
      <c r="I106" s="107"/>
      <c r="J106" s="107"/>
      <c r="K106" s="107"/>
      <c r="L106" s="107"/>
      <c r="M106" s="107"/>
      <c r="N106" s="26"/>
      <c r="O106" s="26"/>
      <c r="P106" s="47"/>
      <c r="Q106" s="47"/>
      <c r="R106" s="298"/>
    </row>
    <row r="107" spans="1:18" ht="15" hidden="1" customHeight="1" outlineLevel="1" x14ac:dyDescent="0.25">
      <c r="A107" s="296"/>
      <c r="B107" s="47"/>
      <c r="C107" s="311">
        <v>93</v>
      </c>
      <c r="D107" s="312"/>
      <c r="E107" s="370"/>
      <c r="F107" s="61"/>
      <c r="G107" s="107"/>
      <c r="H107" s="107"/>
      <c r="I107" s="107"/>
      <c r="J107" s="107"/>
      <c r="K107" s="107"/>
      <c r="L107" s="107"/>
      <c r="M107" s="107"/>
      <c r="N107" s="26"/>
      <c r="O107" s="26"/>
      <c r="P107" s="47"/>
      <c r="Q107" s="47"/>
      <c r="R107" s="298"/>
    </row>
    <row r="108" spans="1:18" ht="15" hidden="1" customHeight="1" outlineLevel="1" x14ac:dyDescent="0.25">
      <c r="A108" s="296"/>
      <c r="B108" s="47"/>
      <c r="C108" s="311">
        <v>94</v>
      </c>
      <c r="D108" s="312"/>
      <c r="E108" s="370"/>
      <c r="F108" s="61"/>
      <c r="G108" s="107"/>
      <c r="H108" s="107"/>
      <c r="I108" s="107"/>
      <c r="J108" s="107"/>
      <c r="K108" s="107"/>
      <c r="L108" s="107"/>
      <c r="M108" s="107"/>
      <c r="N108" s="26"/>
      <c r="O108" s="26"/>
      <c r="P108" s="47"/>
      <c r="Q108" s="47"/>
      <c r="R108" s="298"/>
    </row>
    <row r="109" spans="1:18" ht="15" hidden="1" customHeight="1" outlineLevel="1" x14ac:dyDescent="0.25">
      <c r="A109" s="296"/>
      <c r="B109" s="47"/>
      <c r="C109" s="311">
        <v>95</v>
      </c>
      <c r="D109" s="312"/>
      <c r="E109" s="370"/>
      <c r="F109" s="61"/>
      <c r="G109" s="107"/>
      <c r="H109" s="107"/>
      <c r="I109" s="107"/>
      <c r="J109" s="107"/>
      <c r="K109" s="107"/>
      <c r="L109" s="107"/>
      <c r="M109" s="107"/>
      <c r="N109" s="26"/>
      <c r="O109" s="26"/>
      <c r="P109" s="47"/>
      <c r="Q109" s="47"/>
      <c r="R109" s="298"/>
    </row>
    <row r="110" spans="1:18" ht="15" hidden="1" customHeight="1" outlineLevel="1" x14ac:dyDescent="0.25">
      <c r="A110" s="296"/>
      <c r="B110" s="47"/>
      <c r="C110" s="311">
        <v>96</v>
      </c>
      <c r="D110" s="312"/>
      <c r="E110" s="370"/>
      <c r="F110" s="61"/>
      <c r="G110" s="107"/>
      <c r="H110" s="107"/>
      <c r="I110" s="107"/>
      <c r="J110" s="107"/>
      <c r="K110" s="107"/>
      <c r="L110" s="107"/>
      <c r="M110" s="107"/>
      <c r="N110" s="26"/>
      <c r="O110" s="26"/>
      <c r="P110" s="47"/>
      <c r="Q110" s="47"/>
      <c r="R110" s="298"/>
    </row>
    <row r="111" spans="1:18" ht="15" hidden="1" customHeight="1" outlineLevel="1" x14ac:dyDescent="0.25">
      <c r="A111" s="296"/>
      <c r="B111" s="47"/>
      <c r="C111" s="311">
        <v>97</v>
      </c>
      <c r="D111" s="312"/>
      <c r="E111" s="370"/>
      <c r="F111" s="61"/>
      <c r="G111" s="107"/>
      <c r="H111" s="107"/>
      <c r="I111" s="107"/>
      <c r="J111" s="107"/>
      <c r="K111" s="107"/>
      <c r="L111" s="107"/>
      <c r="M111" s="107"/>
      <c r="N111" s="26"/>
      <c r="O111" s="26"/>
      <c r="P111" s="47"/>
      <c r="Q111" s="47"/>
      <c r="R111" s="298"/>
    </row>
    <row r="112" spans="1:18" ht="15" hidden="1" customHeight="1" outlineLevel="1" x14ac:dyDescent="0.25">
      <c r="A112" s="296"/>
      <c r="B112" s="47"/>
      <c r="C112" s="311">
        <v>98</v>
      </c>
      <c r="D112" s="312"/>
      <c r="E112" s="370"/>
      <c r="F112" s="61"/>
      <c r="G112" s="107"/>
      <c r="H112" s="107"/>
      <c r="I112" s="107"/>
      <c r="J112" s="107"/>
      <c r="K112" s="107"/>
      <c r="L112" s="107"/>
      <c r="M112" s="107"/>
      <c r="N112" s="26"/>
      <c r="O112" s="26"/>
      <c r="P112" s="47"/>
      <c r="Q112" s="47"/>
      <c r="R112" s="298"/>
    </row>
    <row r="113" spans="1:18" ht="15" hidden="1" customHeight="1" outlineLevel="1" x14ac:dyDescent="0.25">
      <c r="A113" s="296"/>
      <c r="B113" s="47"/>
      <c r="C113" s="311">
        <v>99</v>
      </c>
      <c r="D113" s="312"/>
      <c r="E113" s="370"/>
      <c r="F113" s="61"/>
      <c r="G113" s="107"/>
      <c r="H113" s="107"/>
      <c r="I113" s="107"/>
      <c r="J113" s="107"/>
      <c r="K113" s="107"/>
      <c r="L113" s="107"/>
      <c r="M113" s="107"/>
      <c r="N113" s="26"/>
      <c r="O113" s="26"/>
      <c r="P113" s="47"/>
      <c r="Q113" s="47"/>
      <c r="R113" s="298"/>
    </row>
    <row r="114" spans="1:18" ht="15" hidden="1" customHeight="1" outlineLevel="1" x14ac:dyDescent="0.25">
      <c r="A114" s="296"/>
      <c r="B114" s="47"/>
      <c r="C114" s="313">
        <v>100</v>
      </c>
      <c r="D114" s="314"/>
      <c r="E114" s="371"/>
      <c r="F114" s="61"/>
      <c r="G114" s="107"/>
      <c r="H114" s="107"/>
      <c r="I114" s="107"/>
      <c r="J114" s="107"/>
      <c r="K114" s="107"/>
      <c r="L114" s="107"/>
      <c r="M114" s="107"/>
      <c r="N114" s="26"/>
      <c r="O114" s="26"/>
      <c r="P114" s="47"/>
      <c r="Q114" s="47"/>
      <c r="R114" s="298"/>
    </row>
    <row r="115" spans="1:18" collapsed="1" x14ac:dyDescent="0.25">
      <c r="A115" s="296"/>
      <c r="B115" s="111"/>
      <c r="C115" s="325"/>
      <c r="D115" s="325"/>
      <c r="E115" s="325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298"/>
    </row>
    <row r="116" spans="1:18" x14ac:dyDescent="0.25">
      <c r="B116" s="297"/>
      <c r="C116" s="297"/>
      <c r="D116" s="297"/>
      <c r="E116" s="297"/>
      <c r="F116" s="297"/>
      <c r="G116" s="297"/>
      <c r="H116" s="297"/>
      <c r="I116" s="297"/>
      <c r="J116" s="297"/>
      <c r="K116" s="297"/>
      <c r="L116" s="297"/>
      <c r="M116" s="297"/>
      <c r="N116" s="297"/>
      <c r="O116" s="297"/>
      <c r="P116" s="297"/>
      <c r="Q116" s="297"/>
    </row>
  </sheetData>
  <sheetProtection algorithmName="SHA-512" hashValue="LnsA3Y4vM60fy9vI3mwvJxx8q0swQ5MkGM7fk7xTwvriQ+mVpTYuQM+Co1Bu8EfUYvSP98wS+TvWUjFo9SR9EQ==" saltValue="Uo7yHVXJ88EIX6KM+ouDCA==" spinCount="100000" sheet="1" objects="1" scenarios="1"/>
  <phoneticPr fontId="31" type="noConversion"/>
  <conditionalFormatting sqref="E15:E114">
    <cfRule type="expression" dxfId="1" priority="1">
      <formula>OR($E15&lt;$E$10,$E15&gt;$E$11)</formula>
    </cfRule>
  </conditionalFormatting>
  <dataValidations count="3">
    <dataValidation type="decimal" operator="greaterThanOrEqual" allowBlank="1" showInputMessage="1" showErrorMessage="1" errorTitle="Data Type Error" error="These data cannot be used in calculations. Please enter a numeric value." sqref="E8 E10:E11" xr:uid="{8EA7BBFB-0A54-4FC8-A0A8-D0AB58F63211}">
      <formula1>-1000000000</formula1>
    </dataValidation>
    <dataValidation type="decimal" operator="greaterThanOrEqual" allowBlank="1" showInputMessage="1" showErrorMessage="1" sqref="T100" xr:uid="{C8625059-7A98-44CB-BD00-C56367F72B07}">
      <formula1>-1000000</formula1>
    </dataValidation>
    <dataValidation type="decimal" operator="greaterThanOrEqual" allowBlank="1" showInputMessage="1" showErrorMessage="1" errorTitle="Data Type Error" error="These data cannot be used in calculations. Please enter a numeric value." sqref="E15:E114" xr:uid="{D926C1B1-A47E-47E5-9511-44D7C94599DA}">
      <formula1>-1000000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9" fitToHeight="0" orientation="landscape" errors="blank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0378-3F2E-48F9-BEAA-9A5E0AD449CA}">
  <sheetPr codeName="Sheet8">
    <pageSetUpPr autoPageBreaks="0" fitToPage="1"/>
  </sheetPr>
  <dimension ref="A1:AA116"/>
  <sheetViews>
    <sheetView showGridLines="0" showRowColHeaders="0" zoomScaleNormal="100" zoomScaleSheetLayoutView="85" workbookViewId="0">
      <pane ySplit="4" topLeftCell="A5" activePane="bottomLeft" state="frozen"/>
      <selection activeCell="R7" sqref="R7"/>
      <selection pane="bottomLeft" activeCell="A5" sqref="A5"/>
    </sheetView>
  </sheetViews>
  <sheetFormatPr defaultColWidth="8.85546875" defaultRowHeight="15" outlineLevelRow="1" outlineLevelCol="1" x14ac:dyDescent="0.25"/>
  <cols>
    <col min="1" max="2" width="3.7109375" style="42" customWidth="1"/>
    <col min="3" max="3" width="14" style="42" customWidth="1"/>
    <col min="4" max="8" width="8.28515625" style="42" customWidth="1"/>
    <col min="9" max="13" width="8.28515625" style="42" hidden="1" customWidth="1" outlineLevel="1"/>
    <col min="14" max="14" width="12.7109375" style="42" customWidth="1" collapsed="1"/>
    <col min="15" max="15" width="12.7109375" style="42" customWidth="1"/>
    <col min="16" max="16" width="5" style="42" customWidth="1"/>
    <col min="17" max="25" width="12.7109375" style="42" customWidth="1"/>
    <col min="26" max="26" width="3.7109375" style="42" customWidth="1"/>
    <col min="27" max="27" width="2.7109375" style="42" customWidth="1"/>
    <col min="28" max="16384" width="8.85546875" style="42"/>
  </cols>
  <sheetData>
    <row r="1" spans="1:27" s="28" customFormat="1" ht="6.75" customHeight="1" x14ac:dyDescent="0.25">
      <c r="C1" s="29"/>
      <c r="F1" s="30"/>
      <c r="G1" s="30"/>
      <c r="H1" s="30"/>
    </row>
    <row r="2" spans="1:27" s="31" customFormat="1" ht="20.100000000000001" customHeight="1" x14ac:dyDescent="0.25">
      <c r="B2" s="34"/>
      <c r="C2" s="108" t="s">
        <v>9</v>
      </c>
      <c r="D2" s="91"/>
      <c r="E2" s="34"/>
      <c r="F2" s="34"/>
      <c r="G2" s="34"/>
      <c r="H2" s="34"/>
      <c r="I2" s="34"/>
      <c r="J2" s="34"/>
      <c r="K2" s="34"/>
      <c r="L2" s="92"/>
      <c r="M2" s="92"/>
      <c r="N2" s="92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7" s="36" customFormat="1" ht="24" customHeight="1" x14ac:dyDescent="0.25">
      <c r="B3" s="39"/>
      <c r="C3" s="109" t="s">
        <v>288</v>
      </c>
      <c r="D3" s="93"/>
      <c r="E3" s="39"/>
      <c r="F3" s="39"/>
      <c r="G3" s="39"/>
      <c r="H3" s="39"/>
      <c r="I3" s="39"/>
      <c r="J3" s="39"/>
      <c r="K3" s="39"/>
      <c r="L3" s="94"/>
      <c r="M3" s="94"/>
      <c r="N3" s="94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7" ht="4.9000000000000004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27" ht="4.9000000000000004" customHeight="1" x14ac:dyDescent="0.25">
      <c r="A5" s="41"/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300"/>
      <c r="S5" s="300"/>
      <c r="T5" s="300"/>
      <c r="U5" s="300"/>
      <c r="V5" s="300"/>
      <c r="W5" s="300"/>
      <c r="X5" s="300"/>
      <c r="Y5" s="300"/>
      <c r="Z5" s="300"/>
    </row>
    <row r="6" spans="1:27" x14ac:dyDescent="0.25">
      <c r="A6" s="295"/>
      <c r="B6" s="47"/>
      <c r="C6" s="61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298"/>
    </row>
    <row r="7" spans="1:27" ht="24.95" customHeight="1" x14ac:dyDescent="0.25">
      <c r="A7" s="295"/>
      <c r="B7" s="47"/>
      <c r="C7" s="242" t="s">
        <v>313</v>
      </c>
      <c r="D7" s="112"/>
      <c r="E7" s="112"/>
      <c r="F7" s="113"/>
      <c r="G7" s="61"/>
      <c r="H7" s="61"/>
      <c r="I7" s="61"/>
      <c r="J7" s="61"/>
      <c r="K7" s="61"/>
      <c r="L7" s="61"/>
      <c r="M7" s="61"/>
      <c r="N7" s="61"/>
      <c r="O7" s="61"/>
      <c r="P7" s="61"/>
      <c r="Q7" s="270" t="s">
        <v>231</v>
      </c>
      <c r="R7" s="282"/>
      <c r="S7" s="283"/>
      <c r="T7" s="283"/>
      <c r="U7" s="283"/>
      <c r="V7" s="284"/>
      <c r="W7" s="47"/>
      <c r="X7" s="47"/>
      <c r="Y7" s="47"/>
      <c r="Z7" s="47"/>
      <c r="AA7" s="298"/>
    </row>
    <row r="8" spans="1:27" ht="22.5" customHeight="1" x14ac:dyDescent="0.25">
      <c r="A8" s="295"/>
      <c r="B8" s="47"/>
      <c r="C8" s="114" t="s">
        <v>319</v>
      </c>
      <c r="D8" s="115"/>
      <c r="E8" s="116"/>
      <c r="F8" s="169">
        <v>6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98" t="s">
        <v>287</v>
      </c>
      <c r="R8" s="245">
        <f>IFERROR(AVERAGE($D$15:$H$29),"")</f>
        <v>5.9901999999999997</v>
      </c>
      <c r="S8" s="99" t="s">
        <v>234</v>
      </c>
      <c r="T8" s="245">
        <f>IFERROR(Calc!$AE$9,"")</f>
        <v>6.0911402999301281</v>
      </c>
      <c r="U8" s="99" t="s">
        <v>237</v>
      </c>
      <c r="V8" s="245">
        <f>IFERROR(($F$11-$F$10)/$T$11,"")</f>
        <v>1.7721904761904699</v>
      </c>
      <c r="W8" s="47"/>
      <c r="X8" s="47"/>
      <c r="Y8" s="47"/>
      <c r="Z8" s="47"/>
      <c r="AA8" s="298"/>
    </row>
    <row r="9" spans="1:27" ht="22.5" customHeight="1" x14ac:dyDescent="0.25">
      <c r="A9" s="296"/>
      <c r="B9" s="47"/>
      <c r="C9" s="114" t="s">
        <v>219</v>
      </c>
      <c r="D9" s="115"/>
      <c r="E9" s="116"/>
      <c r="F9" s="129" t="s">
        <v>222</v>
      </c>
      <c r="G9" s="61"/>
      <c r="H9" s="61"/>
      <c r="I9" s="61"/>
      <c r="J9" s="61"/>
      <c r="K9" s="61"/>
      <c r="L9" s="61"/>
      <c r="M9" s="61"/>
      <c r="N9" s="61"/>
      <c r="O9" s="61"/>
      <c r="P9" s="61"/>
      <c r="Q9" s="98" t="s">
        <v>218</v>
      </c>
      <c r="R9" s="245">
        <f>IFERROR(IF(LEN($D$15)&gt;0,(MAX($D$15:$H$29)-MIN($D$15:$H$29)),""),"")</f>
        <v>0.24000000000000021</v>
      </c>
      <c r="S9" s="99" t="s">
        <v>235</v>
      </c>
      <c r="T9" s="245">
        <f>IFERROR(Calc!$AF$9,"")</f>
        <v>5.8892597000698714</v>
      </c>
      <c r="U9" s="99" t="s">
        <v>238</v>
      </c>
      <c r="V9" s="245">
        <f>IFERROR(MIN(ABS($R$8-$F$10),ABS($F$11-$R$8))/$T$10,"")</f>
        <v>0.3996289523809497</v>
      </c>
      <c r="W9" s="47"/>
      <c r="X9" s="47"/>
      <c r="Y9" s="47"/>
      <c r="Z9" s="47"/>
      <c r="AA9" s="298"/>
    </row>
    <row r="10" spans="1:27" ht="22.5" customHeight="1" x14ac:dyDescent="0.25">
      <c r="A10" s="296"/>
      <c r="B10" s="47"/>
      <c r="C10" s="114" t="s">
        <v>320</v>
      </c>
      <c r="D10" s="115"/>
      <c r="E10" s="116"/>
      <c r="F10" s="169">
        <v>5.9</v>
      </c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98" t="s">
        <v>233</v>
      </c>
      <c r="R10" s="245">
        <f>IFERROR(Calc!$AG$9,"")</f>
        <v>0.17499999999999999</v>
      </c>
      <c r="S10" s="99" t="s">
        <v>242</v>
      </c>
      <c r="T10" s="245">
        <f>IFERROR($R$10/INDEX(Calc!$F$8:$F$17,MATCH(COUNTA($D$15:$H$15),Calc!$C$8:$C$17,0))*3,"")</f>
        <v>0.22570937231298366</v>
      </c>
      <c r="U10" s="99" t="s">
        <v>239</v>
      </c>
      <c r="V10" s="245">
        <f>IFERROR(($F$11-$F$10)/(6*_xlfn.STDEV.P($D$15:$H$29)),"")</f>
        <v>0.4419001394442521</v>
      </c>
      <c r="W10" s="47"/>
      <c r="X10" s="47"/>
      <c r="Y10" s="47"/>
      <c r="Z10" s="47"/>
      <c r="AA10" s="298"/>
    </row>
    <row r="11" spans="1:27" ht="22.5" customHeight="1" x14ac:dyDescent="0.25">
      <c r="A11" s="296"/>
      <c r="B11" s="47"/>
      <c r="C11" s="117" t="s">
        <v>321</v>
      </c>
      <c r="D11" s="118"/>
      <c r="E11" s="119"/>
      <c r="F11" s="170">
        <v>6.1</v>
      </c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101" t="s">
        <v>236</v>
      </c>
      <c r="R11" s="246">
        <f>IFERROR(Calc!$AH$9,"")</f>
        <v>0.36994999999999995</v>
      </c>
      <c r="S11" s="102" t="s">
        <v>243</v>
      </c>
      <c r="T11" s="246">
        <f>IFERROR($T$10/2,"")</f>
        <v>0.11285468615649183</v>
      </c>
      <c r="U11" s="102" t="s">
        <v>240</v>
      </c>
      <c r="V11" s="246">
        <f>IFERROR(MIN(ABS($R$8-$F$10),ABS($F$11-$R$8))/(3*_xlfn.STDEV.P($D$15:$H$29)),"")</f>
        <v>0.39859392577871411</v>
      </c>
      <c r="W11" s="47"/>
      <c r="X11" s="47"/>
      <c r="Y11" s="47"/>
      <c r="Z11" s="47"/>
      <c r="AA11" s="298"/>
    </row>
    <row r="12" spans="1:27" ht="20.100000000000001" customHeight="1" x14ac:dyDescent="0.25">
      <c r="A12" s="296"/>
      <c r="B12" s="47"/>
      <c r="C12" s="47"/>
      <c r="D12" s="47"/>
      <c r="E12" s="47"/>
      <c r="F12" s="47"/>
      <c r="G12" s="47"/>
      <c r="H12" s="47"/>
      <c r="I12" s="61"/>
      <c r="J12" s="61"/>
      <c r="K12" s="5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298"/>
    </row>
    <row r="13" spans="1:27" s="120" customFormat="1" ht="24.95" customHeight="1" x14ac:dyDescent="0.25">
      <c r="A13" s="301"/>
      <c r="B13" s="121"/>
      <c r="C13" s="242" t="s">
        <v>290</v>
      </c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2" t="s">
        <v>267</v>
      </c>
      <c r="O13" s="244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302"/>
    </row>
    <row r="14" spans="1:27" s="120" customFormat="1" ht="22.5" customHeight="1" x14ac:dyDescent="0.25">
      <c r="A14" s="301"/>
      <c r="B14" s="121"/>
      <c r="C14" s="309" t="s">
        <v>278</v>
      </c>
      <c r="D14" s="309" t="s">
        <v>223</v>
      </c>
      <c r="E14" s="309" t="s">
        <v>224</v>
      </c>
      <c r="F14" s="309" t="s">
        <v>225</v>
      </c>
      <c r="G14" s="309" t="s">
        <v>226</v>
      </c>
      <c r="H14" s="309" t="s">
        <v>227</v>
      </c>
      <c r="I14" s="309" t="s">
        <v>255</v>
      </c>
      <c r="J14" s="309" t="s">
        <v>256</v>
      </c>
      <c r="K14" s="309" t="s">
        <v>257</v>
      </c>
      <c r="L14" s="309" t="s">
        <v>258</v>
      </c>
      <c r="M14" s="309" t="s">
        <v>259</v>
      </c>
      <c r="N14" s="309" t="s">
        <v>229</v>
      </c>
      <c r="O14" s="310" t="s">
        <v>230</v>
      </c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302"/>
    </row>
    <row r="15" spans="1:27" x14ac:dyDescent="0.25">
      <c r="A15" s="296"/>
      <c r="B15" s="47"/>
      <c r="C15" s="347">
        <v>1</v>
      </c>
      <c r="D15" s="378">
        <v>6.1</v>
      </c>
      <c r="E15" s="378">
        <v>6.09</v>
      </c>
      <c r="F15" s="378">
        <v>6.09</v>
      </c>
      <c r="G15" s="378">
        <v>5.98</v>
      </c>
      <c r="H15" s="378">
        <v>5.92</v>
      </c>
      <c r="I15" s="372"/>
      <c r="J15" s="373"/>
      <c r="K15" s="373"/>
      <c r="L15" s="373"/>
      <c r="M15" s="374"/>
      <c r="N15" s="361">
        <f>IF(LEN(D15)&gt;0,AVERAGE($D15:$H15),"")</f>
        <v>6.0359999999999996</v>
      </c>
      <c r="O15" s="362">
        <f>IF(LEN(D15)&gt;0,MAX($D15:$H15)-MIN($D15:$H15),"")</f>
        <v>0.17999999999999972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298"/>
    </row>
    <row r="16" spans="1:27" x14ac:dyDescent="0.25">
      <c r="A16" s="296"/>
      <c r="B16" s="47"/>
      <c r="C16" s="348">
        <v>2</v>
      </c>
      <c r="D16" s="379">
        <v>5.91</v>
      </c>
      <c r="E16" s="379">
        <v>6.02</v>
      </c>
      <c r="F16" s="379">
        <v>5.95</v>
      </c>
      <c r="G16" s="379">
        <v>5.88</v>
      </c>
      <c r="H16" s="379">
        <v>5.92</v>
      </c>
      <c r="I16" s="375"/>
      <c r="J16" s="317"/>
      <c r="K16" s="317"/>
      <c r="L16" s="317"/>
      <c r="M16" s="376"/>
      <c r="N16" s="363">
        <f t="shared" ref="N16:N29" si="0">IF(LEN(D16)&gt;0,AVERAGE($D16:$H16),"")</f>
        <v>5.9359999999999999</v>
      </c>
      <c r="O16" s="364">
        <f t="shared" ref="O16:O29" si="1">IF(LEN(D16)&gt;0,MAX($D16:$H16)-MIN($D16:$H16),"")</f>
        <v>0.13999999999999968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298"/>
    </row>
    <row r="17" spans="1:27" x14ac:dyDescent="0.25">
      <c r="A17" s="296"/>
      <c r="B17" s="47"/>
      <c r="C17" s="348">
        <v>3</v>
      </c>
      <c r="D17" s="379">
        <v>5.93</v>
      </c>
      <c r="E17" s="379">
        <v>6.09</v>
      </c>
      <c r="F17" s="379">
        <v>5.91</v>
      </c>
      <c r="G17" s="379">
        <v>5.94</v>
      </c>
      <c r="H17" s="379">
        <v>5.92</v>
      </c>
      <c r="I17" s="375"/>
      <c r="J17" s="317"/>
      <c r="K17" s="317"/>
      <c r="L17" s="317"/>
      <c r="M17" s="376"/>
      <c r="N17" s="363">
        <f t="shared" si="0"/>
        <v>5.9580000000000002</v>
      </c>
      <c r="O17" s="364">
        <f t="shared" si="1"/>
        <v>0.17999999999999972</v>
      </c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298"/>
    </row>
    <row r="18" spans="1:27" x14ac:dyDescent="0.25">
      <c r="A18" s="296"/>
      <c r="B18" s="47"/>
      <c r="C18" s="348">
        <v>4</v>
      </c>
      <c r="D18" s="379">
        <v>5.92</v>
      </c>
      <c r="E18" s="379">
        <v>5.97</v>
      </c>
      <c r="F18" s="379">
        <v>6.06</v>
      </c>
      <c r="G18" s="379">
        <v>6.07</v>
      </c>
      <c r="H18" s="379">
        <v>6.07</v>
      </c>
      <c r="I18" s="375"/>
      <c r="J18" s="317"/>
      <c r="K18" s="317"/>
      <c r="L18" s="317"/>
      <c r="M18" s="376"/>
      <c r="N18" s="363">
        <f t="shared" si="0"/>
        <v>6.0179999999999998</v>
      </c>
      <c r="O18" s="364">
        <f t="shared" si="1"/>
        <v>0.15000000000000036</v>
      </c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298"/>
    </row>
    <row r="19" spans="1:27" x14ac:dyDescent="0.25">
      <c r="A19" s="296"/>
      <c r="B19" s="47"/>
      <c r="C19" s="348">
        <v>5</v>
      </c>
      <c r="D19" s="379">
        <v>5.95</v>
      </c>
      <c r="E19" s="379">
        <v>5.91</v>
      </c>
      <c r="F19" s="379">
        <v>5.92</v>
      </c>
      <c r="G19" s="379">
        <v>6.11</v>
      </c>
      <c r="H19" s="379">
        <v>6.02</v>
      </c>
      <c r="I19" s="375"/>
      <c r="J19" s="317"/>
      <c r="K19" s="317"/>
      <c r="L19" s="317"/>
      <c r="M19" s="376"/>
      <c r="N19" s="363">
        <f t="shared" si="0"/>
        <v>5.9820000000000002</v>
      </c>
      <c r="O19" s="364">
        <f t="shared" si="1"/>
        <v>0.20000000000000018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298"/>
    </row>
    <row r="20" spans="1:27" x14ac:dyDescent="0.25">
      <c r="A20" s="296"/>
      <c r="B20" s="47"/>
      <c r="C20" s="348">
        <v>6</v>
      </c>
      <c r="D20" s="379">
        <v>6.08</v>
      </c>
      <c r="E20" s="379">
        <v>6.09</v>
      </c>
      <c r="F20" s="379">
        <v>6.09</v>
      </c>
      <c r="G20" s="379">
        <v>5.9</v>
      </c>
      <c r="H20" s="379">
        <v>5.94</v>
      </c>
      <c r="I20" s="375"/>
      <c r="J20" s="317"/>
      <c r="K20" s="317"/>
      <c r="L20" s="317"/>
      <c r="M20" s="376"/>
      <c r="N20" s="363">
        <f t="shared" si="0"/>
        <v>6.02</v>
      </c>
      <c r="O20" s="364">
        <f t="shared" si="1"/>
        <v>0.1899999999999995</v>
      </c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298"/>
    </row>
    <row r="21" spans="1:27" x14ac:dyDescent="0.25">
      <c r="A21" s="296"/>
      <c r="B21" s="47"/>
      <c r="C21" s="348">
        <v>7</v>
      </c>
      <c r="D21" s="379">
        <v>5.98</v>
      </c>
      <c r="E21" s="379">
        <v>5.97</v>
      </c>
      <c r="F21" s="379">
        <v>5.97</v>
      </c>
      <c r="G21" s="379">
        <v>5.92</v>
      </c>
      <c r="H21" s="379">
        <v>6.08</v>
      </c>
      <c r="I21" s="375"/>
      <c r="J21" s="317"/>
      <c r="K21" s="317"/>
      <c r="L21" s="317"/>
      <c r="M21" s="376"/>
      <c r="N21" s="363">
        <f t="shared" si="0"/>
        <v>5.9839999999999991</v>
      </c>
      <c r="O21" s="364">
        <f t="shared" si="1"/>
        <v>0.16000000000000014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298"/>
    </row>
    <row r="22" spans="1:27" x14ac:dyDescent="0.25">
      <c r="A22" s="296"/>
      <c r="B22" s="47"/>
      <c r="C22" s="348">
        <v>8</v>
      </c>
      <c r="D22" s="379">
        <v>5.95</v>
      </c>
      <c r="E22" s="379">
        <v>6.07</v>
      </c>
      <c r="F22" s="379">
        <v>5.96</v>
      </c>
      <c r="G22" s="379">
        <v>6.06</v>
      </c>
      <c r="H22" s="379">
        <v>5.93</v>
      </c>
      <c r="I22" s="375"/>
      <c r="J22" s="317"/>
      <c r="K22" s="317"/>
      <c r="L22" s="317"/>
      <c r="M22" s="376"/>
      <c r="N22" s="363">
        <f t="shared" si="0"/>
        <v>5.9939999999999998</v>
      </c>
      <c r="O22" s="364">
        <f t="shared" si="1"/>
        <v>0.14000000000000057</v>
      </c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298"/>
    </row>
    <row r="23" spans="1:27" x14ac:dyDescent="0.25">
      <c r="A23" s="296"/>
      <c r="B23" s="47"/>
      <c r="C23" s="348">
        <v>9</v>
      </c>
      <c r="D23" s="379">
        <v>5.91</v>
      </c>
      <c r="E23" s="379">
        <v>5.9</v>
      </c>
      <c r="F23" s="379">
        <v>5.91</v>
      </c>
      <c r="G23" s="379">
        <v>6.12</v>
      </c>
      <c r="H23" s="379">
        <v>6.07</v>
      </c>
      <c r="I23" s="375"/>
      <c r="J23" s="317"/>
      <c r="K23" s="317"/>
      <c r="L23" s="317"/>
      <c r="M23" s="376"/>
      <c r="N23" s="363">
        <f t="shared" si="0"/>
        <v>5.9820000000000002</v>
      </c>
      <c r="O23" s="364">
        <f t="shared" si="1"/>
        <v>0.21999999999999975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298"/>
    </row>
    <row r="24" spans="1:27" x14ac:dyDescent="0.25">
      <c r="A24" s="296"/>
      <c r="B24" s="47"/>
      <c r="C24" s="348">
        <v>10</v>
      </c>
      <c r="D24" s="379">
        <v>6.08</v>
      </c>
      <c r="E24" s="379">
        <v>5.89</v>
      </c>
      <c r="F24" s="379">
        <v>5.96</v>
      </c>
      <c r="G24" s="379">
        <v>6.08</v>
      </c>
      <c r="H24" s="379">
        <v>5.95</v>
      </c>
      <c r="I24" s="375"/>
      <c r="J24" s="317"/>
      <c r="K24" s="317"/>
      <c r="L24" s="317"/>
      <c r="M24" s="376"/>
      <c r="N24" s="363">
        <f t="shared" si="0"/>
        <v>5.9919999999999991</v>
      </c>
      <c r="O24" s="364">
        <f t="shared" si="1"/>
        <v>0.19000000000000039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298"/>
    </row>
    <row r="25" spans="1:27" x14ac:dyDescent="0.25">
      <c r="A25" s="296"/>
      <c r="B25" s="47"/>
      <c r="C25" s="348">
        <v>11</v>
      </c>
      <c r="D25" s="379"/>
      <c r="E25" s="379"/>
      <c r="F25" s="379"/>
      <c r="G25" s="379"/>
      <c r="H25" s="379"/>
      <c r="I25" s="375"/>
      <c r="J25" s="317"/>
      <c r="K25" s="317"/>
      <c r="L25" s="317"/>
      <c r="M25" s="376"/>
      <c r="N25" s="363" t="str">
        <f t="shared" si="0"/>
        <v/>
      </c>
      <c r="O25" s="364" t="str">
        <f t="shared" si="1"/>
        <v/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298"/>
    </row>
    <row r="26" spans="1:27" x14ac:dyDescent="0.25">
      <c r="A26" s="296"/>
      <c r="B26" s="47"/>
      <c r="C26" s="348">
        <v>12</v>
      </c>
      <c r="D26" s="379"/>
      <c r="E26" s="379"/>
      <c r="F26" s="379"/>
      <c r="G26" s="379"/>
      <c r="H26" s="379"/>
      <c r="I26" s="375"/>
      <c r="J26" s="317"/>
      <c r="K26" s="317"/>
      <c r="L26" s="317"/>
      <c r="M26" s="376"/>
      <c r="N26" s="363" t="str">
        <f t="shared" si="0"/>
        <v/>
      </c>
      <c r="O26" s="364" t="str">
        <f t="shared" si="1"/>
        <v/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298"/>
    </row>
    <row r="27" spans="1:27" x14ac:dyDescent="0.25">
      <c r="A27" s="296"/>
      <c r="B27" s="47"/>
      <c r="C27" s="348">
        <v>13</v>
      </c>
      <c r="D27" s="379"/>
      <c r="E27" s="379"/>
      <c r="F27" s="379"/>
      <c r="G27" s="379"/>
      <c r="H27" s="379"/>
      <c r="I27" s="375"/>
      <c r="J27" s="317"/>
      <c r="K27" s="317"/>
      <c r="L27" s="317"/>
      <c r="M27" s="376"/>
      <c r="N27" s="363" t="str">
        <f t="shared" si="0"/>
        <v/>
      </c>
      <c r="O27" s="364" t="str">
        <f t="shared" si="1"/>
        <v/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298"/>
    </row>
    <row r="28" spans="1:27" x14ac:dyDescent="0.25">
      <c r="A28" s="296"/>
      <c r="B28" s="47"/>
      <c r="C28" s="348">
        <v>14</v>
      </c>
      <c r="D28" s="379"/>
      <c r="E28" s="379"/>
      <c r="F28" s="379"/>
      <c r="G28" s="379"/>
      <c r="H28" s="379"/>
      <c r="I28" s="375"/>
      <c r="J28" s="317"/>
      <c r="K28" s="317"/>
      <c r="L28" s="317"/>
      <c r="M28" s="376"/>
      <c r="N28" s="363" t="str">
        <f t="shared" si="0"/>
        <v/>
      </c>
      <c r="O28" s="364" t="str">
        <f t="shared" si="1"/>
        <v/>
      </c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298"/>
    </row>
    <row r="29" spans="1:27" x14ac:dyDescent="0.25">
      <c r="A29" s="296"/>
      <c r="B29" s="47"/>
      <c r="C29" s="348">
        <v>15</v>
      </c>
      <c r="D29" s="379"/>
      <c r="E29" s="379"/>
      <c r="F29" s="379"/>
      <c r="G29" s="379"/>
      <c r="H29" s="379"/>
      <c r="I29" s="375"/>
      <c r="J29" s="317"/>
      <c r="K29" s="317"/>
      <c r="L29" s="317"/>
      <c r="M29" s="376"/>
      <c r="N29" s="363" t="str">
        <f t="shared" si="0"/>
        <v/>
      </c>
      <c r="O29" s="364" t="str">
        <f t="shared" si="1"/>
        <v/>
      </c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298"/>
    </row>
    <row r="30" spans="1:27" x14ac:dyDescent="0.25">
      <c r="A30" s="296"/>
      <c r="B30" s="47"/>
      <c r="C30" s="349">
        <v>16</v>
      </c>
      <c r="D30" s="350"/>
      <c r="E30" s="350"/>
      <c r="F30" s="350"/>
      <c r="G30" s="350"/>
      <c r="H30" s="350"/>
      <c r="I30" s="351"/>
      <c r="J30" s="351"/>
      <c r="K30" s="351"/>
      <c r="L30" s="351"/>
      <c r="M30" s="351"/>
      <c r="N30" s="352"/>
      <c r="O30" s="353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298"/>
    </row>
    <row r="31" spans="1:27" x14ac:dyDescent="0.25">
      <c r="A31" s="296"/>
      <c r="B31" s="47"/>
      <c r="C31" s="326">
        <v>17</v>
      </c>
      <c r="D31" s="316"/>
      <c r="E31" s="316"/>
      <c r="F31" s="316"/>
      <c r="G31" s="316"/>
      <c r="H31" s="316"/>
      <c r="I31" s="317"/>
      <c r="J31" s="317"/>
      <c r="K31" s="317"/>
      <c r="L31" s="317"/>
      <c r="M31" s="317"/>
      <c r="N31" s="318"/>
      <c r="O31" s="319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298"/>
    </row>
    <row r="32" spans="1:27" x14ac:dyDescent="0.25">
      <c r="A32" s="296"/>
      <c r="B32" s="47"/>
      <c r="C32" s="326">
        <v>18</v>
      </c>
      <c r="D32" s="316"/>
      <c r="E32" s="316"/>
      <c r="F32" s="316"/>
      <c r="G32" s="316"/>
      <c r="H32" s="316"/>
      <c r="I32" s="317"/>
      <c r="J32" s="317"/>
      <c r="K32" s="317"/>
      <c r="L32" s="317"/>
      <c r="M32" s="317"/>
      <c r="N32" s="318"/>
      <c r="O32" s="319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298"/>
    </row>
    <row r="33" spans="1:27" x14ac:dyDescent="0.25">
      <c r="A33" s="296"/>
      <c r="B33" s="47"/>
      <c r="C33" s="326">
        <v>19</v>
      </c>
      <c r="D33" s="316"/>
      <c r="E33" s="316"/>
      <c r="F33" s="316"/>
      <c r="G33" s="316"/>
      <c r="H33" s="316"/>
      <c r="I33" s="317"/>
      <c r="J33" s="317"/>
      <c r="K33" s="317"/>
      <c r="L33" s="317"/>
      <c r="M33" s="317"/>
      <c r="N33" s="318"/>
      <c r="O33" s="319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298"/>
    </row>
    <row r="34" spans="1:27" x14ac:dyDescent="0.25">
      <c r="A34" s="296"/>
      <c r="B34" s="47"/>
      <c r="C34" s="326">
        <v>20</v>
      </c>
      <c r="D34" s="316"/>
      <c r="E34" s="316"/>
      <c r="F34" s="316"/>
      <c r="G34" s="316"/>
      <c r="H34" s="316"/>
      <c r="I34" s="317"/>
      <c r="J34" s="317"/>
      <c r="K34" s="317"/>
      <c r="L34" s="317"/>
      <c r="M34" s="317"/>
      <c r="N34" s="318"/>
      <c r="O34" s="319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298"/>
    </row>
    <row r="35" spans="1:27" x14ac:dyDescent="0.25">
      <c r="A35" s="296"/>
      <c r="B35" s="47"/>
      <c r="C35" s="326">
        <v>21</v>
      </c>
      <c r="D35" s="316"/>
      <c r="E35" s="316"/>
      <c r="F35" s="316"/>
      <c r="G35" s="316"/>
      <c r="H35" s="316"/>
      <c r="I35" s="317"/>
      <c r="J35" s="317"/>
      <c r="K35" s="317"/>
      <c r="L35" s="317"/>
      <c r="M35" s="317"/>
      <c r="N35" s="318"/>
      <c r="O35" s="319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298"/>
    </row>
    <row r="36" spans="1:27" x14ac:dyDescent="0.25">
      <c r="A36" s="296"/>
      <c r="B36" s="47"/>
      <c r="C36" s="326">
        <v>22</v>
      </c>
      <c r="D36" s="316"/>
      <c r="E36" s="316"/>
      <c r="F36" s="316"/>
      <c r="G36" s="316"/>
      <c r="H36" s="316"/>
      <c r="I36" s="317"/>
      <c r="J36" s="317"/>
      <c r="K36" s="317"/>
      <c r="L36" s="317"/>
      <c r="M36" s="317"/>
      <c r="N36" s="318"/>
      <c r="O36" s="319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298"/>
    </row>
    <row r="37" spans="1:27" x14ac:dyDescent="0.25">
      <c r="A37" s="296"/>
      <c r="B37" s="47"/>
      <c r="C37" s="326">
        <v>23</v>
      </c>
      <c r="D37" s="316"/>
      <c r="E37" s="316"/>
      <c r="F37" s="316"/>
      <c r="G37" s="316"/>
      <c r="H37" s="316"/>
      <c r="I37" s="317"/>
      <c r="J37" s="317"/>
      <c r="K37" s="317"/>
      <c r="L37" s="317"/>
      <c r="M37" s="317"/>
      <c r="N37" s="318"/>
      <c r="O37" s="319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298"/>
    </row>
    <row r="38" spans="1:27" x14ac:dyDescent="0.25">
      <c r="A38" s="296"/>
      <c r="B38" s="47"/>
      <c r="C38" s="326">
        <v>24</v>
      </c>
      <c r="D38" s="316"/>
      <c r="E38" s="316"/>
      <c r="F38" s="316"/>
      <c r="G38" s="316"/>
      <c r="H38" s="316"/>
      <c r="I38" s="317"/>
      <c r="J38" s="317"/>
      <c r="K38" s="317"/>
      <c r="L38" s="317"/>
      <c r="M38" s="317"/>
      <c r="N38" s="318"/>
      <c r="O38" s="319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298"/>
    </row>
    <row r="39" spans="1:27" x14ac:dyDescent="0.25">
      <c r="A39" s="296"/>
      <c r="B39" s="47"/>
      <c r="C39" s="326">
        <v>25</v>
      </c>
      <c r="D39" s="316"/>
      <c r="E39" s="316"/>
      <c r="F39" s="316"/>
      <c r="G39" s="316"/>
      <c r="H39" s="316"/>
      <c r="I39" s="317"/>
      <c r="J39" s="317"/>
      <c r="K39" s="317"/>
      <c r="L39" s="317"/>
      <c r="M39" s="317"/>
      <c r="N39" s="318"/>
      <c r="O39" s="319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298"/>
    </row>
    <row r="40" spans="1:27" ht="15" hidden="1" customHeight="1" outlineLevel="1" x14ac:dyDescent="0.25">
      <c r="A40" s="296"/>
      <c r="B40" s="47"/>
      <c r="C40" s="315">
        <v>26</v>
      </c>
      <c r="D40" s="316"/>
      <c r="E40" s="316"/>
      <c r="F40" s="316"/>
      <c r="G40" s="316"/>
      <c r="H40" s="316"/>
      <c r="I40" s="317"/>
      <c r="J40" s="317"/>
      <c r="K40" s="317"/>
      <c r="L40" s="317"/>
      <c r="M40" s="317"/>
      <c r="N40" s="318"/>
      <c r="O40" s="319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298"/>
    </row>
    <row r="41" spans="1:27" ht="15" hidden="1" customHeight="1" outlineLevel="1" x14ac:dyDescent="0.25">
      <c r="A41" s="296"/>
      <c r="B41" s="47"/>
      <c r="C41" s="315">
        <v>27</v>
      </c>
      <c r="D41" s="316"/>
      <c r="E41" s="316"/>
      <c r="F41" s="316"/>
      <c r="G41" s="316"/>
      <c r="H41" s="316"/>
      <c r="I41" s="317"/>
      <c r="J41" s="317"/>
      <c r="K41" s="317"/>
      <c r="L41" s="317"/>
      <c r="M41" s="317"/>
      <c r="N41" s="318"/>
      <c r="O41" s="319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298"/>
    </row>
    <row r="42" spans="1:27" ht="15" hidden="1" customHeight="1" outlineLevel="1" x14ac:dyDescent="0.25">
      <c r="A42" s="296"/>
      <c r="B42" s="47"/>
      <c r="C42" s="315">
        <v>28</v>
      </c>
      <c r="D42" s="316"/>
      <c r="E42" s="316"/>
      <c r="F42" s="316"/>
      <c r="G42" s="316"/>
      <c r="H42" s="316"/>
      <c r="I42" s="317"/>
      <c r="J42" s="317"/>
      <c r="K42" s="317"/>
      <c r="L42" s="317"/>
      <c r="M42" s="317"/>
      <c r="N42" s="318"/>
      <c r="O42" s="319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298"/>
    </row>
    <row r="43" spans="1:27" ht="15" hidden="1" customHeight="1" outlineLevel="1" x14ac:dyDescent="0.25">
      <c r="A43" s="296"/>
      <c r="B43" s="47"/>
      <c r="C43" s="315">
        <v>29</v>
      </c>
      <c r="D43" s="316"/>
      <c r="E43" s="316"/>
      <c r="F43" s="316"/>
      <c r="G43" s="316"/>
      <c r="H43" s="316"/>
      <c r="I43" s="317"/>
      <c r="J43" s="317"/>
      <c r="K43" s="317"/>
      <c r="L43" s="317"/>
      <c r="M43" s="317"/>
      <c r="N43" s="318"/>
      <c r="O43" s="319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298"/>
    </row>
    <row r="44" spans="1:27" ht="15" hidden="1" customHeight="1" outlineLevel="1" x14ac:dyDescent="0.25">
      <c r="A44" s="296"/>
      <c r="B44" s="47"/>
      <c r="C44" s="315">
        <v>30</v>
      </c>
      <c r="D44" s="316"/>
      <c r="E44" s="316"/>
      <c r="F44" s="316"/>
      <c r="G44" s="316"/>
      <c r="H44" s="316"/>
      <c r="I44" s="317"/>
      <c r="J44" s="317"/>
      <c r="K44" s="317"/>
      <c r="L44" s="317"/>
      <c r="M44" s="317"/>
      <c r="N44" s="318"/>
      <c r="O44" s="319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298"/>
    </row>
    <row r="45" spans="1:27" ht="15" hidden="1" customHeight="1" outlineLevel="1" x14ac:dyDescent="0.25">
      <c r="A45" s="296"/>
      <c r="B45" s="47"/>
      <c r="C45" s="315">
        <v>31</v>
      </c>
      <c r="D45" s="316"/>
      <c r="E45" s="316"/>
      <c r="F45" s="316"/>
      <c r="G45" s="316"/>
      <c r="H45" s="316"/>
      <c r="I45" s="317"/>
      <c r="J45" s="317"/>
      <c r="K45" s="317"/>
      <c r="L45" s="317"/>
      <c r="M45" s="317"/>
      <c r="N45" s="318"/>
      <c r="O45" s="319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298"/>
    </row>
    <row r="46" spans="1:27" ht="15" hidden="1" customHeight="1" outlineLevel="1" x14ac:dyDescent="0.25">
      <c r="A46" s="296"/>
      <c r="B46" s="47"/>
      <c r="C46" s="315">
        <v>32</v>
      </c>
      <c r="D46" s="316"/>
      <c r="E46" s="316"/>
      <c r="F46" s="316"/>
      <c r="G46" s="316"/>
      <c r="H46" s="316"/>
      <c r="I46" s="317"/>
      <c r="J46" s="317"/>
      <c r="K46" s="317"/>
      <c r="L46" s="317"/>
      <c r="M46" s="317"/>
      <c r="N46" s="318"/>
      <c r="O46" s="319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298"/>
    </row>
    <row r="47" spans="1:27" ht="15" hidden="1" customHeight="1" outlineLevel="1" x14ac:dyDescent="0.25">
      <c r="A47" s="296"/>
      <c r="B47" s="47"/>
      <c r="C47" s="315">
        <v>33</v>
      </c>
      <c r="D47" s="316"/>
      <c r="E47" s="316"/>
      <c r="F47" s="316"/>
      <c r="G47" s="316"/>
      <c r="H47" s="316"/>
      <c r="I47" s="317"/>
      <c r="J47" s="317"/>
      <c r="K47" s="317"/>
      <c r="L47" s="317"/>
      <c r="M47" s="317"/>
      <c r="N47" s="318"/>
      <c r="O47" s="319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298"/>
    </row>
    <row r="48" spans="1:27" ht="15" hidden="1" customHeight="1" outlineLevel="1" x14ac:dyDescent="0.25">
      <c r="A48" s="296"/>
      <c r="B48" s="47"/>
      <c r="C48" s="315">
        <v>34</v>
      </c>
      <c r="D48" s="316"/>
      <c r="E48" s="316"/>
      <c r="F48" s="316"/>
      <c r="G48" s="316"/>
      <c r="H48" s="316"/>
      <c r="I48" s="317"/>
      <c r="J48" s="317"/>
      <c r="K48" s="317"/>
      <c r="L48" s="317"/>
      <c r="M48" s="317"/>
      <c r="N48" s="318"/>
      <c r="O48" s="319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298"/>
    </row>
    <row r="49" spans="1:27" ht="15" hidden="1" customHeight="1" outlineLevel="1" x14ac:dyDescent="0.25">
      <c r="A49" s="296"/>
      <c r="B49" s="47"/>
      <c r="C49" s="315">
        <v>35</v>
      </c>
      <c r="D49" s="316"/>
      <c r="E49" s="316"/>
      <c r="F49" s="316"/>
      <c r="G49" s="316"/>
      <c r="H49" s="316"/>
      <c r="I49" s="317"/>
      <c r="J49" s="317"/>
      <c r="K49" s="317"/>
      <c r="L49" s="317"/>
      <c r="M49" s="317"/>
      <c r="N49" s="318"/>
      <c r="O49" s="319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298"/>
    </row>
    <row r="50" spans="1:27" ht="15" hidden="1" customHeight="1" outlineLevel="1" x14ac:dyDescent="0.25">
      <c r="A50" s="296"/>
      <c r="B50" s="47"/>
      <c r="C50" s="315">
        <v>36</v>
      </c>
      <c r="D50" s="316"/>
      <c r="E50" s="316"/>
      <c r="F50" s="316"/>
      <c r="G50" s="316"/>
      <c r="H50" s="316"/>
      <c r="I50" s="317"/>
      <c r="J50" s="317"/>
      <c r="K50" s="317"/>
      <c r="L50" s="317"/>
      <c r="M50" s="317"/>
      <c r="N50" s="318"/>
      <c r="O50" s="319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298"/>
    </row>
    <row r="51" spans="1:27" ht="15" hidden="1" customHeight="1" outlineLevel="1" x14ac:dyDescent="0.25">
      <c r="A51" s="296"/>
      <c r="B51" s="47"/>
      <c r="C51" s="315">
        <v>37</v>
      </c>
      <c r="D51" s="316"/>
      <c r="E51" s="316"/>
      <c r="F51" s="316"/>
      <c r="G51" s="316"/>
      <c r="H51" s="316"/>
      <c r="I51" s="317"/>
      <c r="J51" s="317"/>
      <c r="K51" s="317"/>
      <c r="L51" s="317"/>
      <c r="M51" s="317"/>
      <c r="N51" s="318"/>
      <c r="O51" s="319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298"/>
    </row>
    <row r="52" spans="1:27" ht="15" hidden="1" customHeight="1" outlineLevel="1" x14ac:dyDescent="0.25">
      <c r="A52" s="296"/>
      <c r="B52" s="47"/>
      <c r="C52" s="315">
        <v>38</v>
      </c>
      <c r="D52" s="316"/>
      <c r="E52" s="316"/>
      <c r="F52" s="316"/>
      <c r="G52" s="316"/>
      <c r="H52" s="316"/>
      <c r="I52" s="317"/>
      <c r="J52" s="317"/>
      <c r="K52" s="317"/>
      <c r="L52" s="317"/>
      <c r="M52" s="317"/>
      <c r="N52" s="318"/>
      <c r="O52" s="319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298"/>
    </row>
    <row r="53" spans="1:27" ht="15" hidden="1" customHeight="1" outlineLevel="1" x14ac:dyDescent="0.25">
      <c r="A53" s="296"/>
      <c r="B53" s="47"/>
      <c r="C53" s="315">
        <v>39</v>
      </c>
      <c r="D53" s="316"/>
      <c r="E53" s="316"/>
      <c r="F53" s="316"/>
      <c r="G53" s="316"/>
      <c r="H53" s="316"/>
      <c r="I53" s="317"/>
      <c r="J53" s="317"/>
      <c r="K53" s="317"/>
      <c r="L53" s="317"/>
      <c r="M53" s="317"/>
      <c r="N53" s="318"/>
      <c r="O53" s="319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298"/>
    </row>
    <row r="54" spans="1:27" ht="15" hidden="1" customHeight="1" outlineLevel="1" x14ac:dyDescent="0.25">
      <c r="A54" s="296"/>
      <c r="B54" s="47"/>
      <c r="C54" s="315">
        <v>40</v>
      </c>
      <c r="D54" s="316"/>
      <c r="E54" s="316"/>
      <c r="F54" s="316"/>
      <c r="G54" s="316"/>
      <c r="H54" s="316"/>
      <c r="I54" s="317"/>
      <c r="J54" s="317"/>
      <c r="K54" s="317"/>
      <c r="L54" s="317"/>
      <c r="M54" s="317"/>
      <c r="N54" s="318"/>
      <c r="O54" s="319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298"/>
    </row>
    <row r="55" spans="1:27" ht="15" hidden="1" customHeight="1" outlineLevel="1" x14ac:dyDescent="0.25">
      <c r="A55" s="296"/>
      <c r="B55" s="47"/>
      <c r="C55" s="315">
        <v>41</v>
      </c>
      <c r="D55" s="316"/>
      <c r="E55" s="316"/>
      <c r="F55" s="316"/>
      <c r="G55" s="316"/>
      <c r="H55" s="316"/>
      <c r="I55" s="317"/>
      <c r="J55" s="317"/>
      <c r="K55" s="317"/>
      <c r="L55" s="317"/>
      <c r="M55" s="317"/>
      <c r="N55" s="318"/>
      <c r="O55" s="319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298"/>
    </row>
    <row r="56" spans="1:27" ht="15" hidden="1" customHeight="1" outlineLevel="1" x14ac:dyDescent="0.25">
      <c r="A56" s="296"/>
      <c r="B56" s="47"/>
      <c r="C56" s="315">
        <v>42</v>
      </c>
      <c r="D56" s="316"/>
      <c r="E56" s="316"/>
      <c r="F56" s="316"/>
      <c r="G56" s="316"/>
      <c r="H56" s="316"/>
      <c r="I56" s="317"/>
      <c r="J56" s="317"/>
      <c r="K56" s="317"/>
      <c r="L56" s="317"/>
      <c r="M56" s="317"/>
      <c r="N56" s="318"/>
      <c r="O56" s="319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298"/>
    </row>
    <row r="57" spans="1:27" ht="15" hidden="1" customHeight="1" outlineLevel="1" x14ac:dyDescent="0.25">
      <c r="A57" s="296"/>
      <c r="B57" s="47"/>
      <c r="C57" s="315">
        <v>43</v>
      </c>
      <c r="D57" s="316"/>
      <c r="E57" s="316"/>
      <c r="F57" s="316"/>
      <c r="G57" s="316"/>
      <c r="H57" s="316"/>
      <c r="I57" s="317"/>
      <c r="J57" s="317"/>
      <c r="K57" s="317"/>
      <c r="L57" s="317"/>
      <c r="M57" s="317"/>
      <c r="N57" s="318"/>
      <c r="O57" s="319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298"/>
    </row>
    <row r="58" spans="1:27" ht="15" hidden="1" customHeight="1" outlineLevel="1" x14ac:dyDescent="0.25">
      <c r="A58" s="296"/>
      <c r="B58" s="47"/>
      <c r="C58" s="315">
        <v>44</v>
      </c>
      <c r="D58" s="316"/>
      <c r="E58" s="316"/>
      <c r="F58" s="316"/>
      <c r="G58" s="316"/>
      <c r="H58" s="316"/>
      <c r="I58" s="317"/>
      <c r="J58" s="317"/>
      <c r="K58" s="317"/>
      <c r="L58" s="317"/>
      <c r="M58" s="317"/>
      <c r="N58" s="318"/>
      <c r="O58" s="319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298"/>
    </row>
    <row r="59" spans="1:27" ht="15" hidden="1" customHeight="1" outlineLevel="1" x14ac:dyDescent="0.25">
      <c r="A59" s="296"/>
      <c r="B59" s="47"/>
      <c r="C59" s="315">
        <v>45</v>
      </c>
      <c r="D59" s="316"/>
      <c r="E59" s="316"/>
      <c r="F59" s="316"/>
      <c r="G59" s="316"/>
      <c r="H59" s="316"/>
      <c r="I59" s="317"/>
      <c r="J59" s="317"/>
      <c r="K59" s="317"/>
      <c r="L59" s="317"/>
      <c r="M59" s="317"/>
      <c r="N59" s="318"/>
      <c r="O59" s="319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298"/>
    </row>
    <row r="60" spans="1:27" ht="15" hidden="1" customHeight="1" outlineLevel="1" x14ac:dyDescent="0.25">
      <c r="A60" s="296"/>
      <c r="B60" s="47"/>
      <c r="C60" s="315">
        <v>46</v>
      </c>
      <c r="D60" s="316"/>
      <c r="E60" s="316"/>
      <c r="F60" s="316"/>
      <c r="G60" s="316"/>
      <c r="H60" s="316"/>
      <c r="I60" s="317"/>
      <c r="J60" s="317"/>
      <c r="K60" s="317"/>
      <c r="L60" s="317"/>
      <c r="M60" s="317"/>
      <c r="N60" s="318"/>
      <c r="O60" s="319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298"/>
    </row>
    <row r="61" spans="1:27" ht="15" hidden="1" customHeight="1" outlineLevel="1" x14ac:dyDescent="0.25">
      <c r="A61" s="296"/>
      <c r="B61" s="47"/>
      <c r="C61" s="315">
        <v>47</v>
      </c>
      <c r="D61" s="316"/>
      <c r="E61" s="316"/>
      <c r="F61" s="316"/>
      <c r="G61" s="316"/>
      <c r="H61" s="316"/>
      <c r="I61" s="317"/>
      <c r="J61" s="317"/>
      <c r="K61" s="317"/>
      <c r="L61" s="317"/>
      <c r="M61" s="317"/>
      <c r="N61" s="318"/>
      <c r="O61" s="319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298"/>
    </row>
    <row r="62" spans="1:27" ht="15" hidden="1" customHeight="1" outlineLevel="1" x14ac:dyDescent="0.25">
      <c r="A62" s="296"/>
      <c r="B62" s="47"/>
      <c r="C62" s="315">
        <v>48</v>
      </c>
      <c r="D62" s="316"/>
      <c r="E62" s="316"/>
      <c r="F62" s="316"/>
      <c r="G62" s="316"/>
      <c r="H62" s="316"/>
      <c r="I62" s="317"/>
      <c r="J62" s="317"/>
      <c r="K62" s="317"/>
      <c r="L62" s="317"/>
      <c r="M62" s="317"/>
      <c r="N62" s="318"/>
      <c r="O62" s="319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298"/>
    </row>
    <row r="63" spans="1:27" ht="15" hidden="1" customHeight="1" outlineLevel="1" x14ac:dyDescent="0.25">
      <c r="A63" s="296"/>
      <c r="B63" s="47"/>
      <c r="C63" s="315">
        <v>49</v>
      </c>
      <c r="D63" s="316"/>
      <c r="E63" s="316"/>
      <c r="F63" s="316"/>
      <c r="G63" s="316"/>
      <c r="H63" s="316"/>
      <c r="I63" s="317"/>
      <c r="J63" s="317"/>
      <c r="K63" s="317"/>
      <c r="L63" s="317"/>
      <c r="M63" s="317"/>
      <c r="N63" s="318"/>
      <c r="O63" s="319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298"/>
    </row>
    <row r="64" spans="1:27" ht="15" hidden="1" customHeight="1" outlineLevel="1" x14ac:dyDescent="0.25">
      <c r="A64" s="296"/>
      <c r="B64" s="47"/>
      <c r="C64" s="315">
        <v>50</v>
      </c>
      <c r="D64" s="316"/>
      <c r="E64" s="316"/>
      <c r="F64" s="316"/>
      <c r="G64" s="316"/>
      <c r="H64" s="316"/>
      <c r="I64" s="317"/>
      <c r="J64" s="317"/>
      <c r="K64" s="317"/>
      <c r="L64" s="317"/>
      <c r="M64" s="317"/>
      <c r="N64" s="318"/>
      <c r="O64" s="319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298"/>
    </row>
    <row r="65" spans="1:27" ht="15" hidden="1" customHeight="1" outlineLevel="1" x14ac:dyDescent="0.25">
      <c r="A65" s="296"/>
      <c r="B65" s="47"/>
      <c r="C65" s="315">
        <v>51</v>
      </c>
      <c r="D65" s="316"/>
      <c r="E65" s="316"/>
      <c r="F65" s="316"/>
      <c r="G65" s="316"/>
      <c r="H65" s="316"/>
      <c r="I65" s="317"/>
      <c r="J65" s="317"/>
      <c r="K65" s="317"/>
      <c r="L65" s="317"/>
      <c r="M65" s="317"/>
      <c r="N65" s="318"/>
      <c r="O65" s="319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298"/>
    </row>
    <row r="66" spans="1:27" ht="15" hidden="1" customHeight="1" outlineLevel="1" x14ac:dyDescent="0.25">
      <c r="A66" s="296"/>
      <c r="B66" s="47"/>
      <c r="C66" s="315">
        <v>52</v>
      </c>
      <c r="D66" s="316"/>
      <c r="E66" s="316"/>
      <c r="F66" s="316"/>
      <c r="G66" s="316"/>
      <c r="H66" s="316"/>
      <c r="I66" s="317"/>
      <c r="J66" s="317"/>
      <c r="K66" s="317"/>
      <c r="L66" s="317"/>
      <c r="M66" s="317"/>
      <c r="N66" s="318"/>
      <c r="O66" s="319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298"/>
    </row>
    <row r="67" spans="1:27" ht="15" hidden="1" customHeight="1" outlineLevel="1" x14ac:dyDescent="0.25">
      <c r="A67" s="296"/>
      <c r="B67" s="47"/>
      <c r="C67" s="315">
        <v>53</v>
      </c>
      <c r="D67" s="316"/>
      <c r="E67" s="316"/>
      <c r="F67" s="316"/>
      <c r="G67" s="316"/>
      <c r="H67" s="316"/>
      <c r="I67" s="317"/>
      <c r="J67" s="317"/>
      <c r="K67" s="317"/>
      <c r="L67" s="317"/>
      <c r="M67" s="317"/>
      <c r="N67" s="318"/>
      <c r="O67" s="319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298"/>
    </row>
    <row r="68" spans="1:27" ht="15" hidden="1" customHeight="1" outlineLevel="1" x14ac:dyDescent="0.25">
      <c r="A68" s="296"/>
      <c r="B68" s="47"/>
      <c r="C68" s="315">
        <v>54</v>
      </c>
      <c r="D68" s="316"/>
      <c r="E68" s="316"/>
      <c r="F68" s="316"/>
      <c r="G68" s="316"/>
      <c r="H68" s="316"/>
      <c r="I68" s="317"/>
      <c r="J68" s="317"/>
      <c r="K68" s="317"/>
      <c r="L68" s="317"/>
      <c r="M68" s="317"/>
      <c r="N68" s="318"/>
      <c r="O68" s="319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298"/>
    </row>
    <row r="69" spans="1:27" ht="15" hidden="1" customHeight="1" outlineLevel="1" x14ac:dyDescent="0.25">
      <c r="A69" s="296"/>
      <c r="B69" s="47"/>
      <c r="C69" s="315">
        <v>55</v>
      </c>
      <c r="D69" s="316"/>
      <c r="E69" s="316"/>
      <c r="F69" s="316"/>
      <c r="G69" s="316"/>
      <c r="H69" s="316"/>
      <c r="I69" s="317"/>
      <c r="J69" s="317"/>
      <c r="K69" s="317"/>
      <c r="L69" s="317"/>
      <c r="M69" s="317"/>
      <c r="N69" s="318"/>
      <c r="O69" s="319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298"/>
    </row>
    <row r="70" spans="1:27" ht="15" hidden="1" customHeight="1" outlineLevel="1" x14ac:dyDescent="0.25">
      <c r="A70" s="296"/>
      <c r="B70" s="47"/>
      <c r="C70" s="315">
        <v>56</v>
      </c>
      <c r="D70" s="316"/>
      <c r="E70" s="316"/>
      <c r="F70" s="316"/>
      <c r="G70" s="316"/>
      <c r="H70" s="316"/>
      <c r="I70" s="317"/>
      <c r="J70" s="317"/>
      <c r="K70" s="317"/>
      <c r="L70" s="317"/>
      <c r="M70" s="317"/>
      <c r="N70" s="318"/>
      <c r="O70" s="319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298"/>
    </row>
    <row r="71" spans="1:27" ht="15" hidden="1" customHeight="1" outlineLevel="1" x14ac:dyDescent="0.25">
      <c r="A71" s="296"/>
      <c r="B71" s="47"/>
      <c r="C71" s="315">
        <v>57</v>
      </c>
      <c r="D71" s="316"/>
      <c r="E71" s="316"/>
      <c r="F71" s="316"/>
      <c r="G71" s="316"/>
      <c r="H71" s="316"/>
      <c r="I71" s="317"/>
      <c r="J71" s="317"/>
      <c r="K71" s="317"/>
      <c r="L71" s="317"/>
      <c r="M71" s="317"/>
      <c r="N71" s="318"/>
      <c r="O71" s="319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298"/>
    </row>
    <row r="72" spans="1:27" ht="15" hidden="1" customHeight="1" outlineLevel="1" x14ac:dyDescent="0.25">
      <c r="A72" s="296"/>
      <c r="B72" s="47"/>
      <c r="C72" s="315">
        <v>58</v>
      </c>
      <c r="D72" s="316"/>
      <c r="E72" s="316"/>
      <c r="F72" s="316"/>
      <c r="G72" s="316"/>
      <c r="H72" s="316"/>
      <c r="I72" s="317"/>
      <c r="J72" s="317"/>
      <c r="K72" s="317"/>
      <c r="L72" s="317"/>
      <c r="M72" s="317"/>
      <c r="N72" s="318"/>
      <c r="O72" s="319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298"/>
    </row>
    <row r="73" spans="1:27" ht="15" hidden="1" customHeight="1" outlineLevel="1" x14ac:dyDescent="0.25">
      <c r="A73" s="296"/>
      <c r="B73" s="47"/>
      <c r="C73" s="315">
        <v>59</v>
      </c>
      <c r="D73" s="316"/>
      <c r="E73" s="316"/>
      <c r="F73" s="316"/>
      <c r="G73" s="316"/>
      <c r="H73" s="316"/>
      <c r="I73" s="317"/>
      <c r="J73" s="317"/>
      <c r="K73" s="317"/>
      <c r="L73" s="317"/>
      <c r="M73" s="317"/>
      <c r="N73" s="318"/>
      <c r="O73" s="319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298"/>
    </row>
    <row r="74" spans="1:27" ht="15" hidden="1" customHeight="1" outlineLevel="1" x14ac:dyDescent="0.25">
      <c r="A74" s="296"/>
      <c r="B74" s="47"/>
      <c r="C74" s="315">
        <v>60</v>
      </c>
      <c r="D74" s="316"/>
      <c r="E74" s="316"/>
      <c r="F74" s="316"/>
      <c r="G74" s="316"/>
      <c r="H74" s="316"/>
      <c r="I74" s="317"/>
      <c r="J74" s="317"/>
      <c r="K74" s="317"/>
      <c r="L74" s="317"/>
      <c r="M74" s="317"/>
      <c r="N74" s="318"/>
      <c r="O74" s="319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298"/>
    </row>
    <row r="75" spans="1:27" ht="15" hidden="1" customHeight="1" outlineLevel="1" x14ac:dyDescent="0.25">
      <c r="A75" s="296"/>
      <c r="B75" s="47"/>
      <c r="C75" s="315">
        <v>61</v>
      </c>
      <c r="D75" s="316"/>
      <c r="E75" s="316"/>
      <c r="F75" s="316"/>
      <c r="G75" s="316"/>
      <c r="H75" s="316"/>
      <c r="I75" s="317"/>
      <c r="J75" s="317"/>
      <c r="K75" s="317"/>
      <c r="L75" s="317"/>
      <c r="M75" s="317"/>
      <c r="N75" s="318"/>
      <c r="O75" s="319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298"/>
    </row>
    <row r="76" spans="1:27" ht="15" hidden="1" customHeight="1" outlineLevel="1" x14ac:dyDescent="0.25">
      <c r="A76" s="296"/>
      <c r="B76" s="47"/>
      <c r="C76" s="315">
        <v>62</v>
      </c>
      <c r="D76" s="316"/>
      <c r="E76" s="316"/>
      <c r="F76" s="316"/>
      <c r="G76" s="316"/>
      <c r="H76" s="316"/>
      <c r="I76" s="317"/>
      <c r="J76" s="317"/>
      <c r="K76" s="317"/>
      <c r="L76" s="317"/>
      <c r="M76" s="317"/>
      <c r="N76" s="318"/>
      <c r="O76" s="319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298"/>
    </row>
    <row r="77" spans="1:27" ht="15" hidden="1" customHeight="1" outlineLevel="1" x14ac:dyDescent="0.25">
      <c r="A77" s="296"/>
      <c r="B77" s="47"/>
      <c r="C77" s="315">
        <v>63</v>
      </c>
      <c r="D77" s="316"/>
      <c r="E77" s="316"/>
      <c r="F77" s="316"/>
      <c r="G77" s="316"/>
      <c r="H77" s="316"/>
      <c r="I77" s="317"/>
      <c r="J77" s="317"/>
      <c r="K77" s="317"/>
      <c r="L77" s="317"/>
      <c r="M77" s="317"/>
      <c r="N77" s="318"/>
      <c r="O77" s="319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298"/>
    </row>
    <row r="78" spans="1:27" ht="15" hidden="1" customHeight="1" outlineLevel="1" x14ac:dyDescent="0.25">
      <c r="A78" s="296"/>
      <c r="B78" s="47"/>
      <c r="C78" s="315">
        <v>64</v>
      </c>
      <c r="D78" s="316"/>
      <c r="E78" s="316"/>
      <c r="F78" s="316"/>
      <c r="G78" s="316"/>
      <c r="H78" s="316"/>
      <c r="I78" s="317"/>
      <c r="J78" s="317"/>
      <c r="K78" s="317"/>
      <c r="L78" s="317"/>
      <c r="M78" s="317"/>
      <c r="N78" s="318"/>
      <c r="O78" s="319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298"/>
    </row>
    <row r="79" spans="1:27" ht="15" hidden="1" customHeight="1" outlineLevel="1" x14ac:dyDescent="0.25">
      <c r="A79" s="296"/>
      <c r="B79" s="47"/>
      <c r="C79" s="315">
        <v>65</v>
      </c>
      <c r="D79" s="316"/>
      <c r="E79" s="316"/>
      <c r="F79" s="316"/>
      <c r="G79" s="316"/>
      <c r="H79" s="316"/>
      <c r="I79" s="317"/>
      <c r="J79" s="317"/>
      <c r="K79" s="317"/>
      <c r="L79" s="317"/>
      <c r="M79" s="317"/>
      <c r="N79" s="318"/>
      <c r="O79" s="319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298"/>
    </row>
    <row r="80" spans="1:27" ht="15" hidden="1" customHeight="1" outlineLevel="1" x14ac:dyDescent="0.25">
      <c r="A80" s="296"/>
      <c r="B80" s="47"/>
      <c r="C80" s="315">
        <v>66</v>
      </c>
      <c r="D80" s="316"/>
      <c r="E80" s="316"/>
      <c r="F80" s="316"/>
      <c r="G80" s="316"/>
      <c r="H80" s="316"/>
      <c r="I80" s="317"/>
      <c r="J80" s="317"/>
      <c r="K80" s="317"/>
      <c r="L80" s="317"/>
      <c r="M80" s="317"/>
      <c r="N80" s="318"/>
      <c r="O80" s="319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298"/>
    </row>
    <row r="81" spans="1:27" ht="15" hidden="1" customHeight="1" outlineLevel="1" x14ac:dyDescent="0.25">
      <c r="A81" s="296"/>
      <c r="B81" s="47"/>
      <c r="C81" s="315">
        <v>67</v>
      </c>
      <c r="D81" s="316"/>
      <c r="E81" s="316"/>
      <c r="F81" s="316"/>
      <c r="G81" s="316"/>
      <c r="H81" s="316"/>
      <c r="I81" s="317"/>
      <c r="J81" s="317"/>
      <c r="K81" s="317"/>
      <c r="L81" s="317"/>
      <c r="M81" s="317"/>
      <c r="N81" s="318"/>
      <c r="O81" s="319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298"/>
    </row>
    <row r="82" spans="1:27" ht="15" hidden="1" customHeight="1" outlineLevel="1" x14ac:dyDescent="0.25">
      <c r="A82" s="296"/>
      <c r="B82" s="47"/>
      <c r="C82" s="315">
        <v>68</v>
      </c>
      <c r="D82" s="316"/>
      <c r="E82" s="316"/>
      <c r="F82" s="316"/>
      <c r="G82" s="316"/>
      <c r="H82" s="316"/>
      <c r="I82" s="317"/>
      <c r="J82" s="317"/>
      <c r="K82" s="317"/>
      <c r="L82" s="317"/>
      <c r="M82" s="317"/>
      <c r="N82" s="318"/>
      <c r="O82" s="319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298"/>
    </row>
    <row r="83" spans="1:27" ht="15" hidden="1" customHeight="1" outlineLevel="1" x14ac:dyDescent="0.25">
      <c r="A83" s="296"/>
      <c r="B83" s="47"/>
      <c r="C83" s="315">
        <v>69</v>
      </c>
      <c r="D83" s="316"/>
      <c r="E83" s="316"/>
      <c r="F83" s="316"/>
      <c r="G83" s="316"/>
      <c r="H83" s="316"/>
      <c r="I83" s="317"/>
      <c r="J83" s="317"/>
      <c r="K83" s="317"/>
      <c r="L83" s="317"/>
      <c r="M83" s="317"/>
      <c r="N83" s="318"/>
      <c r="O83" s="319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298"/>
    </row>
    <row r="84" spans="1:27" ht="15" hidden="1" customHeight="1" outlineLevel="1" x14ac:dyDescent="0.25">
      <c r="A84" s="296"/>
      <c r="B84" s="47"/>
      <c r="C84" s="315">
        <v>70</v>
      </c>
      <c r="D84" s="316"/>
      <c r="E84" s="316"/>
      <c r="F84" s="316"/>
      <c r="G84" s="316"/>
      <c r="H84" s="316"/>
      <c r="I84" s="317"/>
      <c r="J84" s="317"/>
      <c r="K84" s="317"/>
      <c r="L84" s="317"/>
      <c r="M84" s="317"/>
      <c r="N84" s="318"/>
      <c r="O84" s="319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298"/>
    </row>
    <row r="85" spans="1:27" ht="15" hidden="1" customHeight="1" outlineLevel="1" x14ac:dyDescent="0.25">
      <c r="A85" s="296"/>
      <c r="B85" s="47"/>
      <c r="C85" s="315">
        <v>71</v>
      </c>
      <c r="D85" s="316"/>
      <c r="E85" s="316"/>
      <c r="F85" s="316"/>
      <c r="G85" s="316"/>
      <c r="H85" s="316"/>
      <c r="I85" s="317"/>
      <c r="J85" s="317"/>
      <c r="K85" s="317"/>
      <c r="L85" s="317"/>
      <c r="M85" s="317"/>
      <c r="N85" s="318"/>
      <c r="O85" s="319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298"/>
    </row>
    <row r="86" spans="1:27" ht="15" hidden="1" customHeight="1" outlineLevel="1" x14ac:dyDescent="0.25">
      <c r="A86" s="296"/>
      <c r="B86" s="47"/>
      <c r="C86" s="315">
        <v>72</v>
      </c>
      <c r="D86" s="316"/>
      <c r="E86" s="316"/>
      <c r="F86" s="316"/>
      <c r="G86" s="316"/>
      <c r="H86" s="316"/>
      <c r="I86" s="317"/>
      <c r="J86" s="317"/>
      <c r="K86" s="317"/>
      <c r="L86" s="317"/>
      <c r="M86" s="317"/>
      <c r="N86" s="318"/>
      <c r="O86" s="319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298"/>
    </row>
    <row r="87" spans="1:27" ht="15" hidden="1" customHeight="1" outlineLevel="1" x14ac:dyDescent="0.25">
      <c r="A87" s="296"/>
      <c r="B87" s="47"/>
      <c r="C87" s="315">
        <v>73</v>
      </c>
      <c r="D87" s="316"/>
      <c r="E87" s="316"/>
      <c r="F87" s="316"/>
      <c r="G87" s="316"/>
      <c r="H87" s="316"/>
      <c r="I87" s="317"/>
      <c r="J87" s="317"/>
      <c r="K87" s="317"/>
      <c r="L87" s="317"/>
      <c r="M87" s="317"/>
      <c r="N87" s="318"/>
      <c r="O87" s="319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298"/>
    </row>
    <row r="88" spans="1:27" ht="15" hidden="1" customHeight="1" outlineLevel="1" x14ac:dyDescent="0.25">
      <c r="A88" s="296"/>
      <c r="B88" s="47"/>
      <c r="C88" s="315">
        <v>74</v>
      </c>
      <c r="D88" s="316"/>
      <c r="E88" s="316"/>
      <c r="F88" s="316"/>
      <c r="G88" s="316"/>
      <c r="H88" s="316"/>
      <c r="I88" s="317"/>
      <c r="J88" s="317"/>
      <c r="K88" s="317"/>
      <c r="L88" s="317"/>
      <c r="M88" s="317"/>
      <c r="N88" s="318"/>
      <c r="O88" s="319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298"/>
    </row>
    <row r="89" spans="1:27" ht="15" hidden="1" customHeight="1" outlineLevel="1" x14ac:dyDescent="0.25">
      <c r="A89" s="296"/>
      <c r="B89" s="47"/>
      <c r="C89" s="315">
        <v>75</v>
      </c>
      <c r="D89" s="316"/>
      <c r="E89" s="316"/>
      <c r="F89" s="316"/>
      <c r="G89" s="316"/>
      <c r="H89" s="316"/>
      <c r="I89" s="317"/>
      <c r="J89" s="317"/>
      <c r="K89" s="317"/>
      <c r="L89" s="317"/>
      <c r="M89" s="317"/>
      <c r="N89" s="318"/>
      <c r="O89" s="319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298"/>
    </row>
    <row r="90" spans="1:27" ht="15" hidden="1" customHeight="1" outlineLevel="1" x14ac:dyDescent="0.25">
      <c r="A90" s="296"/>
      <c r="B90" s="47"/>
      <c r="C90" s="315">
        <v>76</v>
      </c>
      <c r="D90" s="316"/>
      <c r="E90" s="316"/>
      <c r="F90" s="316"/>
      <c r="G90" s="316"/>
      <c r="H90" s="316"/>
      <c r="I90" s="317"/>
      <c r="J90" s="317"/>
      <c r="K90" s="317"/>
      <c r="L90" s="317"/>
      <c r="M90" s="317"/>
      <c r="N90" s="318"/>
      <c r="O90" s="319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298"/>
    </row>
    <row r="91" spans="1:27" ht="15" hidden="1" customHeight="1" outlineLevel="1" x14ac:dyDescent="0.25">
      <c r="A91" s="296"/>
      <c r="B91" s="47"/>
      <c r="C91" s="315">
        <v>77</v>
      </c>
      <c r="D91" s="316"/>
      <c r="E91" s="316"/>
      <c r="F91" s="316"/>
      <c r="G91" s="316"/>
      <c r="H91" s="316"/>
      <c r="I91" s="317"/>
      <c r="J91" s="317"/>
      <c r="K91" s="317"/>
      <c r="L91" s="317"/>
      <c r="M91" s="317"/>
      <c r="N91" s="318"/>
      <c r="O91" s="319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298"/>
    </row>
    <row r="92" spans="1:27" ht="15" hidden="1" customHeight="1" outlineLevel="1" x14ac:dyDescent="0.25">
      <c r="A92" s="296"/>
      <c r="B92" s="47"/>
      <c r="C92" s="315">
        <v>78</v>
      </c>
      <c r="D92" s="316"/>
      <c r="E92" s="316"/>
      <c r="F92" s="316"/>
      <c r="G92" s="316"/>
      <c r="H92" s="316"/>
      <c r="I92" s="317"/>
      <c r="J92" s="317"/>
      <c r="K92" s="317"/>
      <c r="L92" s="317"/>
      <c r="M92" s="317"/>
      <c r="N92" s="318"/>
      <c r="O92" s="319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298"/>
    </row>
    <row r="93" spans="1:27" ht="15" hidden="1" customHeight="1" outlineLevel="1" x14ac:dyDescent="0.25">
      <c r="A93" s="296"/>
      <c r="B93" s="47"/>
      <c r="C93" s="315">
        <v>79</v>
      </c>
      <c r="D93" s="316"/>
      <c r="E93" s="316"/>
      <c r="F93" s="316"/>
      <c r="G93" s="316"/>
      <c r="H93" s="316"/>
      <c r="I93" s="317"/>
      <c r="J93" s="317"/>
      <c r="K93" s="317"/>
      <c r="L93" s="317"/>
      <c r="M93" s="317"/>
      <c r="N93" s="318"/>
      <c r="O93" s="319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298"/>
    </row>
    <row r="94" spans="1:27" ht="15" hidden="1" customHeight="1" outlineLevel="1" x14ac:dyDescent="0.25">
      <c r="A94" s="296"/>
      <c r="B94" s="47"/>
      <c r="C94" s="315">
        <v>80</v>
      </c>
      <c r="D94" s="316"/>
      <c r="E94" s="316"/>
      <c r="F94" s="316"/>
      <c r="G94" s="316"/>
      <c r="H94" s="316"/>
      <c r="I94" s="317"/>
      <c r="J94" s="317"/>
      <c r="K94" s="317"/>
      <c r="L94" s="317"/>
      <c r="M94" s="317"/>
      <c r="N94" s="318"/>
      <c r="O94" s="319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298"/>
    </row>
    <row r="95" spans="1:27" ht="15" hidden="1" customHeight="1" outlineLevel="1" x14ac:dyDescent="0.25">
      <c r="A95" s="296"/>
      <c r="B95" s="47"/>
      <c r="C95" s="315">
        <v>81</v>
      </c>
      <c r="D95" s="316"/>
      <c r="E95" s="316"/>
      <c r="F95" s="316"/>
      <c r="G95" s="316"/>
      <c r="H95" s="316"/>
      <c r="I95" s="317"/>
      <c r="J95" s="317"/>
      <c r="K95" s="317"/>
      <c r="L95" s="317"/>
      <c r="M95" s="317"/>
      <c r="N95" s="318"/>
      <c r="O95" s="319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298"/>
    </row>
    <row r="96" spans="1:27" ht="15" hidden="1" customHeight="1" outlineLevel="1" x14ac:dyDescent="0.25">
      <c r="A96" s="296"/>
      <c r="B96" s="47"/>
      <c r="C96" s="315">
        <v>82</v>
      </c>
      <c r="D96" s="316"/>
      <c r="E96" s="316"/>
      <c r="F96" s="316"/>
      <c r="G96" s="316"/>
      <c r="H96" s="316"/>
      <c r="I96" s="317"/>
      <c r="J96" s="317"/>
      <c r="K96" s="317"/>
      <c r="L96" s="317"/>
      <c r="M96" s="317"/>
      <c r="N96" s="318"/>
      <c r="O96" s="319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298"/>
    </row>
    <row r="97" spans="1:27" ht="15" hidden="1" customHeight="1" outlineLevel="1" x14ac:dyDescent="0.25">
      <c r="A97" s="296"/>
      <c r="B97" s="47"/>
      <c r="C97" s="315">
        <v>83</v>
      </c>
      <c r="D97" s="316"/>
      <c r="E97" s="316"/>
      <c r="F97" s="316"/>
      <c r="G97" s="316"/>
      <c r="H97" s="316"/>
      <c r="I97" s="317"/>
      <c r="J97" s="317"/>
      <c r="K97" s="317"/>
      <c r="L97" s="317"/>
      <c r="M97" s="317"/>
      <c r="N97" s="318"/>
      <c r="O97" s="319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298"/>
    </row>
    <row r="98" spans="1:27" ht="15" hidden="1" customHeight="1" outlineLevel="1" x14ac:dyDescent="0.25">
      <c r="A98" s="296"/>
      <c r="B98" s="47"/>
      <c r="C98" s="315">
        <v>84</v>
      </c>
      <c r="D98" s="316"/>
      <c r="E98" s="316"/>
      <c r="F98" s="316"/>
      <c r="G98" s="316"/>
      <c r="H98" s="316"/>
      <c r="I98" s="317"/>
      <c r="J98" s="317"/>
      <c r="K98" s="317"/>
      <c r="L98" s="317"/>
      <c r="M98" s="317"/>
      <c r="N98" s="318"/>
      <c r="O98" s="319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298"/>
    </row>
    <row r="99" spans="1:27" ht="15" hidden="1" customHeight="1" outlineLevel="1" x14ac:dyDescent="0.25">
      <c r="A99" s="296"/>
      <c r="B99" s="47"/>
      <c r="C99" s="315">
        <v>85</v>
      </c>
      <c r="D99" s="316"/>
      <c r="E99" s="316"/>
      <c r="F99" s="316"/>
      <c r="G99" s="316"/>
      <c r="H99" s="316"/>
      <c r="I99" s="317"/>
      <c r="J99" s="317"/>
      <c r="K99" s="317"/>
      <c r="L99" s="317"/>
      <c r="M99" s="317"/>
      <c r="N99" s="318"/>
      <c r="O99" s="319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298"/>
    </row>
    <row r="100" spans="1:27" ht="15" hidden="1" customHeight="1" outlineLevel="1" x14ac:dyDescent="0.25">
      <c r="A100" s="296"/>
      <c r="B100" s="47"/>
      <c r="C100" s="315">
        <v>86</v>
      </c>
      <c r="D100" s="316"/>
      <c r="E100" s="316"/>
      <c r="F100" s="316"/>
      <c r="G100" s="316"/>
      <c r="H100" s="316"/>
      <c r="I100" s="317"/>
      <c r="J100" s="317"/>
      <c r="K100" s="317"/>
      <c r="L100" s="317"/>
      <c r="M100" s="317"/>
      <c r="N100" s="318"/>
      <c r="O100" s="319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298"/>
    </row>
    <row r="101" spans="1:27" ht="15" hidden="1" customHeight="1" outlineLevel="1" x14ac:dyDescent="0.25">
      <c r="A101" s="296"/>
      <c r="B101" s="47"/>
      <c r="C101" s="315">
        <v>87</v>
      </c>
      <c r="D101" s="316"/>
      <c r="E101" s="316"/>
      <c r="F101" s="316"/>
      <c r="G101" s="316"/>
      <c r="H101" s="316"/>
      <c r="I101" s="317"/>
      <c r="J101" s="317"/>
      <c r="K101" s="317"/>
      <c r="L101" s="317"/>
      <c r="M101" s="317"/>
      <c r="N101" s="318"/>
      <c r="O101" s="319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298"/>
    </row>
    <row r="102" spans="1:27" ht="15" hidden="1" customHeight="1" outlineLevel="1" x14ac:dyDescent="0.25">
      <c r="A102" s="296"/>
      <c r="B102" s="47"/>
      <c r="C102" s="315">
        <v>88</v>
      </c>
      <c r="D102" s="316"/>
      <c r="E102" s="316"/>
      <c r="F102" s="316"/>
      <c r="G102" s="316"/>
      <c r="H102" s="316"/>
      <c r="I102" s="317"/>
      <c r="J102" s="317"/>
      <c r="K102" s="317"/>
      <c r="L102" s="317"/>
      <c r="M102" s="317"/>
      <c r="N102" s="318"/>
      <c r="O102" s="319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298"/>
    </row>
    <row r="103" spans="1:27" ht="15" hidden="1" customHeight="1" outlineLevel="1" x14ac:dyDescent="0.25">
      <c r="A103" s="296"/>
      <c r="B103" s="47"/>
      <c r="C103" s="315">
        <v>89</v>
      </c>
      <c r="D103" s="316"/>
      <c r="E103" s="316"/>
      <c r="F103" s="316"/>
      <c r="G103" s="316"/>
      <c r="H103" s="316"/>
      <c r="I103" s="317"/>
      <c r="J103" s="317"/>
      <c r="K103" s="317"/>
      <c r="L103" s="317"/>
      <c r="M103" s="317"/>
      <c r="N103" s="318"/>
      <c r="O103" s="319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298"/>
    </row>
    <row r="104" spans="1:27" ht="15" hidden="1" customHeight="1" outlineLevel="1" x14ac:dyDescent="0.25">
      <c r="A104" s="296"/>
      <c r="B104" s="47"/>
      <c r="C104" s="315">
        <v>90</v>
      </c>
      <c r="D104" s="316"/>
      <c r="E104" s="316"/>
      <c r="F104" s="316"/>
      <c r="G104" s="316"/>
      <c r="H104" s="316"/>
      <c r="I104" s="317"/>
      <c r="J104" s="317"/>
      <c r="K104" s="317"/>
      <c r="L104" s="317"/>
      <c r="M104" s="317"/>
      <c r="N104" s="318"/>
      <c r="O104" s="319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298"/>
    </row>
    <row r="105" spans="1:27" ht="15" hidden="1" customHeight="1" outlineLevel="1" x14ac:dyDescent="0.25">
      <c r="A105" s="296"/>
      <c r="B105" s="47"/>
      <c r="C105" s="315">
        <v>91</v>
      </c>
      <c r="D105" s="316"/>
      <c r="E105" s="316"/>
      <c r="F105" s="316"/>
      <c r="G105" s="316"/>
      <c r="H105" s="316"/>
      <c r="I105" s="317"/>
      <c r="J105" s="317"/>
      <c r="K105" s="317"/>
      <c r="L105" s="317"/>
      <c r="M105" s="317"/>
      <c r="N105" s="318"/>
      <c r="O105" s="319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298"/>
    </row>
    <row r="106" spans="1:27" ht="15" hidden="1" customHeight="1" outlineLevel="1" x14ac:dyDescent="0.25">
      <c r="A106" s="296"/>
      <c r="B106" s="47"/>
      <c r="C106" s="315">
        <v>92</v>
      </c>
      <c r="D106" s="316"/>
      <c r="E106" s="316"/>
      <c r="F106" s="316"/>
      <c r="G106" s="316"/>
      <c r="H106" s="316"/>
      <c r="I106" s="317"/>
      <c r="J106" s="317"/>
      <c r="K106" s="317"/>
      <c r="L106" s="317"/>
      <c r="M106" s="317"/>
      <c r="N106" s="318"/>
      <c r="O106" s="319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298"/>
    </row>
    <row r="107" spans="1:27" ht="15" hidden="1" customHeight="1" outlineLevel="1" x14ac:dyDescent="0.25">
      <c r="A107" s="296"/>
      <c r="B107" s="47"/>
      <c r="C107" s="315">
        <v>93</v>
      </c>
      <c r="D107" s="316"/>
      <c r="E107" s="316"/>
      <c r="F107" s="316"/>
      <c r="G107" s="316"/>
      <c r="H107" s="316"/>
      <c r="I107" s="317"/>
      <c r="J107" s="317"/>
      <c r="K107" s="317"/>
      <c r="L107" s="317"/>
      <c r="M107" s="317"/>
      <c r="N107" s="318"/>
      <c r="O107" s="319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298"/>
    </row>
    <row r="108" spans="1:27" ht="15" hidden="1" customHeight="1" outlineLevel="1" x14ac:dyDescent="0.25">
      <c r="A108" s="296"/>
      <c r="B108" s="47"/>
      <c r="C108" s="315">
        <v>94</v>
      </c>
      <c r="D108" s="316"/>
      <c r="E108" s="316"/>
      <c r="F108" s="316"/>
      <c r="G108" s="316"/>
      <c r="H108" s="316"/>
      <c r="I108" s="317"/>
      <c r="J108" s="317"/>
      <c r="K108" s="317"/>
      <c r="L108" s="317"/>
      <c r="M108" s="317"/>
      <c r="N108" s="318"/>
      <c r="O108" s="319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298"/>
    </row>
    <row r="109" spans="1:27" ht="15" hidden="1" customHeight="1" outlineLevel="1" x14ac:dyDescent="0.25">
      <c r="A109" s="296"/>
      <c r="B109" s="47"/>
      <c r="C109" s="315">
        <v>95</v>
      </c>
      <c r="D109" s="316"/>
      <c r="E109" s="316"/>
      <c r="F109" s="316"/>
      <c r="G109" s="316"/>
      <c r="H109" s="316"/>
      <c r="I109" s="317"/>
      <c r="J109" s="317"/>
      <c r="K109" s="317"/>
      <c r="L109" s="317"/>
      <c r="M109" s="317"/>
      <c r="N109" s="318"/>
      <c r="O109" s="319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298"/>
    </row>
    <row r="110" spans="1:27" ht="15" hidden="1" customHeight="1" outlineLevel="1" x14ac:dyDescent="0.25">
      <c r="A110" s="296"/>
      <c r="B110" s="47"/>
      <c r="C110" s="315">
        <v>96</v>
      </c>
      <c r="D110" s="316"/>
      <c r="E110" s="316"/>
      <c r="F110" s="316"/>
      <c r="G110" s="316"/>
      <c r="H110" s="316"/>
      <c r="I110" s="317"/>
      <c r="J110" s="317"/>
      <c r="K110" s="317"/>
      <c r="L110" s="317"/>
      <c r="M110" s="317"/>
      <c r="N110" s="318"/>
      <c r="O110" s="319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298"/>
    </row>
    <row r="111" spans="1:27" ht="15" hidden="1" customHeight="1" outlineLevel="1" x14ac:dyDescent="0.25">
      <c r="A111" s="296"/>
      <c r="B111" s="47"/>
      <c r="C111" s="315">
        <v>97</v>
      </c>
      <c r="D111" s="316"/>
      <c r="E111" s="316"/>
      <c r="F111" s="316"/>
      <c r="G111" s="316"/>
      <c r="H111" s="316"/>
      <c r="I111" s="317"/>
      <c r="J111" s="317"/>
      <c r="K111" s="317"/>
      <c r="L111" s="317"/>
      <c r="M111" s="317"/>
      <c r="N111" s="318"/>
      <c r="O111" s="319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298"/>
    </row>
    <row r="112" spans="1:27" ht="15" hidden="1" customHeight="1" outlineLevel="1" x14ac:dyDescent="0.25">
      <c r="A112" s="296"/>
      <c r="B112" s="47"/>
      <c r="C112" s="315">
        <v>98</v>
      </c>
      <c r="D112" s="316"/>
      <c r="E112" s="316"/>
      <c r="F112" s="316"/>
      <c r="G112" s="316"/>
      <c r="H112" s="316"/>
      <c r="I112" s="317"/>
      <c r="J112" s="317"/>
      <c r="K112" s="317"/>
      <c r="L112" s="317"/>
      <c r="M112" s="317"/>
      <c r="N112" s="318"/>
      <c r="O112" s="319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298"/>
    </row>
    <row r="113" spans="1:27" ht="15" hidden="1" customHeight="1" outlineLevel="1" x14ac:dyDescent="0.25">
      <c r="A113" s="296"/>
      <c r="B113" s="47"/>
      <c r="C113" s="315">
        <v>99</v>
      </c>
      <c r="D113" s="316"/>
      <c r="E113" s="316"/>
      <c r="F113" s="316"/>
      <c r="G113" s="316"/>
      <c r="H113" s="316"/>
      <c r="I113" s="317"/>
      <c r="J113" s="317"/>
      <c r="K113" s="317"/>
      <c r="L113" s="317"/>
      <c r="M113" s="317"/>
      <c r="N113" s="318"/>
      <c r="O113" s="319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298"/>
    </row>
    <row r="114" spans="1:27" ht="15" hidden="1" customHeight="1" outlineLevel="1" x14ac:dyDescent="0.25">
      <c r="A114" s="296"/>
      <c r="B114" s="47"/>
      <c r="C114" s="320">
        <v>100</v>
      </c>
      <c r="D114" s="321"/>
      <c r="E114" s="321"/>
      <c r="F114" s="321"/>
      <c r="G114" s="321"/>
      <c r="H114" s="321"/>
      <c r="I114" s="322"/>
      <c r="J114" s="322"/>
      <c r="K114" s="322"/>
      <c r="L114" s="322"/>
      <c r="M114" s="322"/>
      <c r="N114" s="323"/>
      <c r="O114" s="324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298"/>
    </row>
    <row r="115" spans="1:27" ht="15" customHeight="1" collapsed="1" x14ac:dyDescent="0.25">
      <c r="A115" s="296"/>
      <c r="B115" s="47"/>
      <c r="C115" s="325"/>
      <c r="D115" s="325"/>
      <c r="E115" s="325"/>
      <c r="F115" s="325"/>
      <c r="G115" s="325"/>
      <c r="H115" s="325"/>
      <c r="I115" s="325"/>
      <c r="J115" s="325"/>
      <c r="K115" s="325"/>
      <c r="L115" s="325"/>
      <c r="M115" s="325"/>
      <c r="N115" s="325"/>
      <c r="O115" s="325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298"/>
    </row>
    <row r="116" spans="1:27" x14ac:dyDescent="0.25">
      <c r="B116" s="297"/>
      <c r="C116" s="297"/>
      <c r="D116" s="297"/>
      <c r="E116" s="297"/>
      <c r="F116" s="297"/>
      <c r="G116" s="297"/>
      <c r="H116" s="297"/>
      <c r="I116" s="297"/>
      <c r="J116" s="297"/>
      <c r="K116" s="297"/>
      <c r="L116" s="297"/>
      <c r="M116" s="297"/>
      <c r="N116" s="297"/>
      <c r="O116" s="297"/>
      <c r="P116" s="297"/>
      <c r="Q116" s="297"/>
      <c r="R116" s="297"/>
      <c r="S116" s="297"/>
      <c r="T116" s="297"/>
      <c r="U116" s="297"/>
      <c r="V116" s="297"/>
      <c r="W116" s="297"/>
      <c r="X116" s="297"/>
      <c r="Y116" s="297"/>
      <c r="Z116" s="297"/>
    </row>
  </sheetData>
  <sheetProtection algorithmName="SHA-512" hashValue="XeDiF62NsOunjPX3YLuYmtccAwx6xBClQ0dyulOcOCJaUhmEunH1beGrIzZvldOBK1GfKZc46MhugmP4+nK5NA==" saltValue="Hp7lEXY11Ic1+t8yin8HAw==" spinCount="100000" sheet="1" objects="1" scenarios="1"/>
  <phoneticPr fontId="31" type="noConversion"/>
  <conditionalFormatting sqref="D15:M114">
    <cfRule type="expression" dxfId="0" priority="1">
      <formula>OR(D15&lt;$F$10,D15&gt;$F$11)</formula>
    </cfRule>
  </conditionalFormatting>
  <dataValidations count="1">
    <dataValidation type="decimal" operator="greaterThanOrEqual" allowBlank="1" showInputMessage="1" showErrorMessage="1" errorTitle="Data Type Error" error="These data cannot be used in calculations. Please enter a numeric value." sqref="F8 F10:F11 D15:M114" xr:uid="{F9192694-80D9-4860-A03F-56E299C68ABE}">
      <formula1>-1000000000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C7DAE-C909-4455-8982-9294C47C5999}">
  <sheetPr codeName="Sheet10">
    <pageSetUpPr autoPageBreaks="0" fitToPage="1"/>
  </sheetPr>
  <dimension ref="A1:P110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42" customWidth="1"/>
    <col min="2" max="2" width="5.7109375" style="42" customWidth="1"/>
    <col min="3" max="3" width="14.140625" style="42" customWidth="1"/>
    <col min="4" max="4" width="15.140625" style="42" customWidth="1"/>
    <col min="5" max="5" width="33" style="42" customWidth="1"/>
    <col min="6" max="6" width="22" style="42" customWidth="1"/>
    <col min="7" max="7" width="4.85546875" style="42" customWidth="1"/>
    <col min="8" max="8" width="12.7109375" style="42" customWidth="1"/>
    <col min="9" max="9" width="13.42578125" style="42" customWidth="1"/>
    <col min="10" max="12" width="12.85546875" style="42" customWidth="1"/>
    <col min="13" max="14" width="14.140625" style="42" customWidth="1"/>
    <col min="15" max="15" width="5.7109375" style="42" customWidth="1"/>
    <col min="16" max="16" width="2.7109375" style="42" customWidth="1"/>
    <col min="17" max="16384" width="8.85546875" style="42"/>
  </cols>
  <sheetData>
    <row r="1" spans="1:16" s="28" customFormat="1" ht="6.75" customHeight="1" x14ac:dyDescent="0.25">
      <c r="B1" s="29"/>
      <c r="E1" s="30"/>
      <c r="F1" s="30"/>
      <c r="G1" s="30"/>
      <c r="H1" s="30"/>
    </row>
    <row r="2" spans="1:16" s="31" customFormat="1" ht="20.100000000000001" customHeight="1" x14ac:dyDescent="0.25">
      <c r="B2" s="32"/>
      <c r="C2" s="33" t="s">
        <v>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92"/>
      <c r="O2" s="34"/>
      <c r="P2" s="35"/>
    </row>
    <row r="3" spans="1:16" s="36" customFormat="1" ht="24" customHeight="1" x14ac:dyDescent="0.25">
      <c r="B3" s="37"/>
      <c r="C3" s="38" t="s">
        <v>273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94"/>
      <c r="O3" s="39"/>
      <c r="P3" s="40"/>
    </row>
    <row r="4" spans="1:16" ht="4.9000000000000004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4.9000000000000004" customHeight="1" x14ac:dyDescent="0.25">
      <c r="A5" s="41"/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41"/>
    </row>
    <row r="6" spans="1:16" x14ac:dyDescent="0.25">
      <c r="A6" s="295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307"/>
    </row>
    <row r="7" spans="1:16" ht="24.95" customHeight="1" x14ac:dyDescent="0.25">
      <c r="A7" s="296"/>
      <c r="B7" s="47"/>
      <c r="C7" s="268" t="s">
        <v>228</v>
      </c>
      <c r="D7" s="269"/>
      <c r="E7" s="270"/>
      <c r="F7" s="270" t="s">
        <v>267</v>
      </c>
      <c r="G7" s="128"/>
      <c r="H7" s="382" t="s">
        <v>231</v>
      </c>
      <c r="I7" s="197" t="s">
        <v>286</v>
      </c>
      <c r="J7" s="198" t="s">
        <v>327</v>
      </c>
      <c r="K7" s="198" t="s">
        <v>328</v>
      </c>
      <c r="L7" s="198" t="s">
        <v>241</v>
      </c>
      <c r="M7" s="198" t="s">
        <v>242</v>
      </c>
      <c r="N7" s="199" t="s">
        <v>243</v>
      </c>
      <c r="O7" s="47"/>
      <c r="P7" s="298"/>
    </row>
    <row r="8" spans="1:16" ht="22.5" customHeight="1" x14ac:dyDescent="0.25">
      <c r="A8" s="296"/>
      <c r="B8" s="47"/>
      <c r="C8" s="327" t="s">
        <v>265</v>
      </c>
      <c r="D8" s="328" t="s">
        <v>276</v>
      </c>
      <c r="E8" s="327" t="s">
        <v>275</v>
      </c>
      <c r="F8" s="329" t="s">
        <v>285</v>
      </c>
      <c r="G8" s="303"/>
      <c r="H8" s="383"/>
      <c r="I8" s="292">
        <f>IFERROR(AVERAGE($F$9:$F$23),"")</f>
        <v>1.4059621309564761E-2</v>
      </c>
      <c r="J8" s="293">
        <f>IFERROR(AVERAGE(Calc!$CF$9:$CF$23),"")</f>
        <v>2.4172129262221734E-2</v>
      </c>
      <c r="K8" s="293">
        <f>IFERROR(AVERAGE(Calc!$CG$9:$CG$23),"")</f>
        <v>3.9471133569077849E-3</v>
      </c>
      <c r="L8" s="293">
        <f>IFERROR(_xlfn.STDEV.P($F$9:$F$23),"")</f>
        <v>3.6036454731561618E-3</v>
      </c>
      <c r="M8" s="293">
        <f>IFERROR($L$8*3,"")</f>
        <v>1.0810936419468484E-2</v>
      </c>
      <c r="N8" s="294">
        <f>IFERROR($L$8*6,"")</f>
        <v>2.1621872838936969E-2</v>
      </c>
      <c r="O8" s="47"/>
      <c r="P8" s="298"/>
    </row>
    <row r="9" spans="1:16" ht="20.100000000000001" customHeight="1" x14ac:dyDescent="0.25">
      <c r="A9" s="296"/>
      <c r="B9" s="47"/>
      <c r="C9" s="357">
        <v>1</v>
      </c>
      <c r="D9" s="380">
        <v>1250</v>
      </c>
      <c r="E9" s="380">
        <v>18</v>
      </c>
      <c r="F9" s="365">
        <f>IFERROR(IF(LEN(D9)&gt;0,E9/D9,""),"")</f>
        <v>1.44E-2</v>
      </c>
      <c r="G9" s="57"/>
      <c r="H9" s="57"/>
      <c r="I9" s="61"/>
      <c r="J9" s="61"/>
      <c r="K9" s="61"/>
      <c r="L9" s="61"/>
      <c r="M9" s="61"/>
      <c r="N9" s="61"/>
      <c r="O9" s="47"/>
      <c r="P9" s="298"/>
    </row>
    <row r="10" spans="1:16" ht="20.100000000000001" customHeight="1" x14ac:dyDescent="0.25">
      <c r="A10" s="296"/>
      <c r="B10" s="47"/>
      <c r="C10" s="358">
        <v>2</v>
      </c>
      <c r="D10" s="381">
        <v>1300</v>
      </c>
      <c r="E10" s="381">
        <v>25</v>
      </c>
      <c r="F10" s="366">
        <f t="shared" ref="F10:F23" si="0">IFERROR(IF(LEN(D10)&gt;0,E10/D10,""),"")</f>
        <v>1.9230769230769232E-2</v>
      </c>
      <c r="G10" s="57"/>
      <c r="H10" s="57"/>
      <c r="I10" s="61"/>
      <c r="J10" s="61"/>
      <c r="K10" s="61"/>
      <c r="L10" s="61"/>
      <c r="M10" s="61"/>
      <c r="N10" s="61"/>
      <c r="O10" s="47"/>
      <c r="P10" s="298"/>
    </row>
    <row r="11" spans="1:16" ht="20.100000000000001" customHeight="1" x14ac:dyDescent="0.25">
      <c r="A11" s="296"/>
      <c r="B11" s="47"/>
      <c r="C11" s="358">
        <v>3</v>
      </c>
      <c r="D11" s="381">
        <v>1500</v>
      </c>
      <c r="E11" s="381">
        <v>28</v>
      </c>
      <c r="F11" s="366">
        <f t="shared" si="0"/>
        <v>1.8666666666666668E-2</v>
      </c>
      <c r="G11" s="57"/>
      <c r="H11" s="57"/>
      <c r="I11" s="47"/>
      <c r="J11" s="47"/>
      <c r="K11" s="47"/>
      <c r="L11" s="57"/>
      <c r="M11" s="57"/>
      <c r="N11" s="61"/>
      <c r="O11" s="47"/>
      <c r="P11" s="298"/>
    </row>
    <row r="12" spans="1:16" ht="20.100000000000001" customHeight="1" x14ac:dyDescent="0.25">
      <c r="A12" s="296"/>
      <c r="B12" s="47"/>
      <c r="C12" s="358">
        <v>4</v>
      </c>
      <c r="D12" s="381">
        <v>1125</v>
      </c>
      <c r="E12" s="381">
        <v>17</v>
      </c>
      <c r="F12" s="366">
        <f t="shared" si="0"/>
        <v>1.5111111111111112E-2</v>
      </c>
      <c r="G12" s="57"/>
      <c r="H12" s="57"/>
      <c r="I12" s="47"/>
      <c r="J12" s="47"/>
      <c r="K12" s="47"/>
      <c r="L12" s="57"/>
      <c r="M12" s="57"/>
      <c r="N12" s="61"/>
      <c r="O12" s="47"/>
      <c r="P12" s="298"/>
    </row>
    <row r="13" spans="1:16" ht="20.100000000000001" customHeight="1" x14ac:dyDescent="0.25">
      <c r="A13" s="296"/>
      <c r="B13" s="47"/>
      <c r="C13" s="358">
        <v>5</v>
      </c>
      <c r="D13" s="381">
        <v>1160</v>
      </c>
      <c r="E13" s="381">
        <v>10</v>
      </c>
      <c r="F13" s="366">
        <f t="shared" si="0"/>
        <v>8.6206896551724137E-3</v>
      </c>
      <c r="G13" s="57"/>
      <c r="H13" s="57"/>
      <c r="I13" s="304"/>
      <c r="J13" s="305"/>
      <c r="K13" s="305"/>
      <c r="L13" s="57"/>
      <c r="M13" s="57"/>
      <c r="N13" s="47"/>
      <c r="O13" s="47"/>
      <c r="P13" s="298"/>
    </row>
    <row r="14" spans="1:16" ht="20.100000000000001" customHeight="1" x14ac:dyDescent="0.25">
      <c r="A14" s="296"/>
      <c r="B14" s="47"/>
      <c r="C14" s="358">
        <v>6</v>
      </c>
      <c r="D14" s="381">
        <v>1050</v>
      </c>
      <c r="E14" s="381">
        <v>9</v>
      </c>
      <c r="F14" s="366">
        <f t="shared" si="0"/>
        <v>8.5714285714285719E-3</v>
      </c>
      <c r="G14" s="57"/>
      <c r="H14" s="57"/>
      <c r="I14" s="47"/>
      <c r="J14" s="47"/>
      <c r="K14" s="47"/>
      <c r="L14" s="57"/>
      <c r="M14" s="57"/>
      <c r="N14" s="47"/>
      <c r="O14" s="47"/>
      <c r="P14" s="298"/>
    </row>
    <row r="15" spans="1:16" ht="20.100000000000001" customHeight="1" x14ac:dyDescent="0.25">
      <c r="A15" s="296"/>
      <c r="B15" s="47"/>
      <c r="C15" s="358">
        <v>7</v>
      </c>
      <c r="D15" s="381">
        <v>1036.6666666666699</v>
      </c>
      <c r="E15" s="381">
        <v>11</v>
      </c>
      <c r="F15" s="366">
        <f t="shared" si="0"/>
        <v>1.0610932475884211E-2</v>
      </c>
      <c r="G15" s="57"/>
      <c r="H15" s="57"/>
      <c r="I15" s="304"/>
      <c r="J15" s="306"/>
      <c r="K15" s="306"/>
      <c r="L15" s="57"/>
      <c r="M15" s="57"/>
      <c r="N15" s="47"/>
      <c r="O15" s="47"/>
      <c r="P15" s="298"/>
    </row>
    <row r="16" spans="1:16" ht="20.100000000000001" customHeight="1" x14ac:dyDescent="0.25">
      <c r="A16" s="296"/>
      <c r="B16" s="47"/>
      <c r="C16" s="358">
        <v>8</v>
      </c>
      <c r="D16" s="381">
        <v>1300</v>
      </c>
      <c r="E16" s="381">
        <v>20</v>
      </c>
      <c r="F16" s="366">
        <f t="shared" si="0"/>
        <v>1.5384615384615385E-2</v>
      </c>
      <c r="G16" s="47"/>
      <c r="H16" s="47"/>
      <c r="I16" s="47"/>
      <c r="J16" s="47"/>
      <c r="K16" s="47"/>
      <c r="L16" s="57"/>
      <c r="M16" s="57"/>
      <c r="N16" s="47"/>
      <c r="O16" s="47"/>
      <c r="P16" s="298"/>
    </row>
    <row r="17" spans="1:16" ht="20.100000000000001" customHeight="1" x14ac:dyDescent="0.25">
      <c r="A17" s="296"/>
      <c r="B17" s="47"/>
      <c r="C17" s="358">
        <v>9</v>
      </c>
      <c r="D17" s="381">
        <v>1500</v>
      </c>
      <c r="E17" s="381">
        <v>25</v>
      </c>
      <c r="F17" s="366">
        <f t="shared" si="0"/>
        <v>1.6666666666666666E-2</v>
      </c>
      <c r="G17" s="47"/>
      <c r="H17" s="47"/>
      <c r="I17" s="47"/>
      <c r="J17" s="47"/>
      <c r="K17" s="47"/>
      <c r="L17" s="57"/>
      <c r="M17" s="57"/>
      <c r="N17" s="47"/>
      <c r="O17" s="47"/>
      <c r="P17" s="298"/>
    </row>
    <row r="18" spans="1:16" ht="20.100000000000001" customHeight="1" x14ac:dyDescent="0.25">
      <c r="A18" s="296"/>
      <c r="B18" s="47"/>
      <c r="C18" s="358">
        <v>10</v>
      </c>
      <c r="D18" s="381">
        <v>1125</v>
      </c>
      <c r="E18" s="381">
        <v>15</v>
      </c>
      <c r="F18" s="366">
        <f t="shared" si="0"/>
        <v>1.3333333333333334E-2</v>
      </c>
      <c r="G18" s="47"/>
      <c r="H18" s="47"/>
      <c r="I18" s="47"/>
      <c r="J18" s="47"/>
      <c r="K18" s="47"/>
      <c r="L18" s="57"/>
      <c r="M18" s="57"/>
      <c r="N18" s="47"/>
      <c r="O18" s="47"/>
      <c r="P18" s="298"/>
    </row>
    <row r="19" spans="1:16" ht="20.100000000000001" customHeight="1" x14ac:dyDescent="0.25">
      <c r="A19" s="296"/>
      <c r="B19" s="47"/>
      <c r="C19" s="358">
        <v>11</v>
      </c>
      <c r="D19" s="381"/>
      <c r="E19" s="381"/>
      <c r="F19" s="366" t="str">
        <f t="shared" si="0"/>
        <v/>
      </c>
      <c r="G19" s="47"/>
      <c r="H19" s="47"/>
      <c r="I19" s="47"/>
      <c r="J19" s="47"/>
      <c r="K19" s="47"/>
      <c r="L19" s="57"/>
      <c r="M19" s="57"/>
      <c r="N19" s="47"/>
      <c r="O19" s="47"/>
      <c r="P19" s="298"/>
    </row>
    <row r="20" spans="1:16" ht="20.100000000000001" customHeight="1" x14ac:dyDescent="0.25">
      <c r="A20" s="296"/>
      <c r="B20" s="47"/>
      <c r="C20" s="358">
        <v>12</v>
      </c>
      <c r="D20" s="381"/>
      <c r="E20" s="381"/>
      <c r="F20" s="366" t="str">
        <f t="shared" si="0"/>
        <v/>
      </c>
      <c r="G20" s="47"/>
      <c r="H20" s="47"/>
      <c r="I20" s="47"/>
      <c r="J20" s="47"/>
      <c r="K20" s="47"/>
      <c r="L20" s="57"/>
      <c r="M20" s="57"/>
      <c r="N20" s="47"/>
      <c r="O20" s="47"/>
      <c r="P20" s="298"/>
    </row>
    <row r="21" spans="1:16" ht="20.100000000000001" customHeight="1" x14ac:dyDescent="0.25">
      <c r="A21" s="296"/>
      <c r="B21" s="47"/>
      <c r="C21" s="358">
        <v>13</v>
      </c>
      <c r="D21" s="381"/>
      <c r="E21" s="381"/>
      <c r="F21" s="366" t="str">
        <f t="shared" si="0"/>
        <v/>
      </c>
      <c r="G21" s="47"/>
      <c r="H21" s="47"/>
      <c r="I21" s="47"/>
      <c r="J21" s="47"/>
      <c r="K21" s="47"/>
      <c r="L21" s="47"/>
      <c r="M21" s="47"/>
      <c r="N21" s="47"/>
      <c r="O21" s="47"/>
      <c r="P21" s="298"/>
    </row>
    <row r="22" spans="1:16" ht="20.100000000000001" customHeight="1" x14ac:dyDescent="0.25">
      <c r="A22" s="296"/>
      <c r="B22" s="47"/>
      <c r="C22" s="358">
        <v>14</v>
      </c>
      <c r="D22" s="381"/>
      <c r="E22" s="381"/>
      <c r="F22" s="366" t="str">
        <f t="shared" si="0"/>
        <v/>
      </c>
      <c r="G22" s="47"/>
      <c r="H22" s="47"/>
      <c r="I22" s="47"/>
      <c r="J22" s="47"/>
      <c r="K22" s="47"/>
      <c r="L22" s="47"/>
      <c r="M22" s="47"/>
      <c r="N22" s="47"/>
      <c r="O22" s="47"/>
      <c r="P22" s="298"/>
    </row>
    <row r="23" spans="1:16" ht="20.100000000000001" customHeight="1" x14ac:dyDescent="0.25">
      <c r="A23" s="296"/>
      <c r="B23" s="47"/>
      <c r="C23" s="358">
        <v>15</v>
      </c>
      <c r="D23" s="381"/>
      <c r="E23" s="381"/>
      <c r="F23" s="366" t="str">
        <f t="shared" si="0"/>
        <v/>
      </c>
      <c r="G23" s="47"/>
      <c r="H23" s="47"/>
      <c r="I23" s="47"/>
      <c r="J23" s="47"/>
      <c r="K23" s="47"/>
      <c r="L23" s="47"/>
      <c r="M23" s="47"/>
      <c r="N23" s="47"/>
      <c r="O23" s="47"/>
      <c r="P23" s="298"/>
    </row>
    <row r="24" spans="1:16" ht="20.100000000000001" customHeight="1" x14ac:dyDescent="0.25">
      <c r="A24" s="296"/>
      <c r="B24" s="47"/>
      <c r="C24" s="354">
        <v>16</v>
      </c>
      <c r="D24" s="355"/>
      <c r="E24" s="355"/>
      <c r="F24" s="356"/>
      <c r="G24" s="47"/>
      <c r="H24" s="47"/>
      <c r="I24" s="47"/>
      <c r="J24" s="47"/>
      <c r="K24" s="47"/>
      <c r="L24" s="47"/>
      <c r="M24" s="47"/>
      <c r="N24" s="47"/>
      <c r="O24" s="47"/>
      <c r="P24" s="298"/>
    </row>
    <row r="25" spans="1:16" ht="20.100000000000001" customHeight="1" x14ac:dyDescent="0.25">
      <c r="A25" s="296"/>
      <c r="B25" s="47"/>
      <c r="C25" s="330">
        <v>17</v>
      </c>
      <c r="D25" s="331"/>
      <c r="E25" s="331"/>
      <c r="F25" s="332"/>
      <c r="G25" s="47"/>
      <c r="H25" s="47"/>
      <c r="I25" s="47"/>
      <c r="J25" s="47"/>
      <c r="K25" s="47"/>
      <c r="L25" s="47"/>
      <c r="M25" s="47"/>
      <c r="N25" s="47"/>
      <c r="O25" s="47"/>
      <c r="P25" s="298"/>
    </row>
    <row r="26" spans="1:16" ht="20.100000000000001" customHeight="1" x14ac:dyDescent="0.25">
      <c r="A26" s="296"/>
      <c r="B26" s="47"/>
      <c r="C26" s="330">
        <v>18</v>
      </c>
      <c r="D26" s="331"/>
      <c r="E26" s="331"/>
      <c r="F26" s="332"/>
      <c r="G26" s="61"/>
      <c r="H26" s="61"/>
      <c r="I26" s="61"/>
      <c r="J26" s="61"/>
      <c r="K26" s="61"/>
      <c r="L26" s="47"/>
      <c r="M26" s="47"/>
      <c r="N26" s="47"/>
      <c r="O26" s="47"/>
      <c r="P26" s="298"/>
    </row>
    <row r="27" spans="1:16" ht="20.100000000000001" customHeight="1" x14ac:dyDescent="0.25">
      <c r="A27" s="296"/>
      <c r="B27" s="47"/>
      <c r="C27" s="330">
        <v>19</v>
      </c>
      <c r="D27" s="331"/>
      <c r="E27" s="331"/>
      <c r="F27" s="332"/>
      <c r="G27" s="61"/>
      <c r="H27" s="61"/>
      <c r="I27" s="61"/>
      <c r="J27" s="61"/>
      <c r="K27" s="61"/>
      <c r="L27" s="47"/>
      <c r="M27" s="47"/>
      <c r="N27" s="47"/>
      <c r="O27" s="47"/>
      <c r="P27" s="298"/>
    </row>
    <row r="28" spans="1:16" ht="20.100000000000001" customHeight="1" x14ac:dyDescent="0.25">
      <c r="A28" s="296"/>
      <c r="B28" s="47"/>
      <c r="C28" s="330">
        <v>20</v>
      </c>
      <c r="D28" s="331"/>
      <c r="E28" s="331"/>
      <c r="F28" s="332"/>
      <c r="G28" s="61"/>
      <c r="H28" s="61"/>
      <c r="I28" s="61"/>
      <c r="J28" s="61"/>
      <c r="K28" s="61"/>
      <c r="L28" s="47"/>
      <c r="M28" s="47"/>
      <c r="N28" s="47"/>
      <c r="O28" s="47"/>
      <c r="P28" s="298"/>
    </row>
    <row r="29" spans="1:16" ht="20.100000000000001" hidden="1" customHeight="1" outlineLevel="1" x14ac:dyDescent="0.25">
      <c r="A29" s="296"/>
      <c r="B29" s="47"/>
      <c r="C29" s="330">
        <v>21</v>
      </c>
      <c r="D29" s="331"/>
      <c r="E29" s="331"/>
      <c r="F29" s="332"/>
      <c r="G29" s="61"/>
      <c r="H29" s="61"/>
      <c r="I29" s="61"/>
      <c r="J29" s="61"/>
      <c r="K29" s="61"/>
      <c r="L29" s="47"/>
      <c r="M29" s="47"/>
      <c r="N29" s="47"/>
      <c r="O29" s="47"/>
      <c r="P29" s="298"/>
    </row>
    <row r="30" spans="1:16" ht="20.100000000000001" hidden="1" customHeight="1" outlineLevel="1" x14ac:dyDescent="0.25">
      <c r="A30" s="296"/>
      <c r="B30" s="47"/>
      <c r="C30" s="330">
        <v>22</v>
      </c>
      <c r="D30" s="331"/>
      <c r="E30" s="331"/>
      <c r="F30" s="332"/>
      <c r="G30" s="61"/>
      <c r="H30" s="61"/>
      <c r="I30" s="61"/>
      <c r="J30" s="61"/>
      <c r="K30" s="61"/>
      <c r="L30" s="47"/>
      <c r="M30" s="47"/>
      <c r="N30" s="47"/>
      <c r="O30" s="47"/>
      <c r="P30" s="298"/>
    </row>
    <row r="31" spans="1:16" ht="20.100000000000001" hidden="1" customHeight="1" outlineLevel="1" x14ac:dyDescent="0.25">
      <c r="A31" s="296"/>
      <c r="B31" s="47"/>
      <c r="C31" s="330">
        <v>23</v>
      </c>
      <c r="D31" s="331"/>
      <c r="E31" s="331"/>
      <c r="F31" s="332"/>
      <c r="G31" s="61"/>
      <c r="H31" s="61"/>
      <c r="I31" s="61"/>
      <c r="J31" s="61"/>
      <c r="K31" s="61"/>
      <c r="L31" s="47"/>
      <c r="M31" s="47"/>
      <c r="N31" s="47"/>
      <c r="O31" s="47"/>
      <c r="P31" s="298"/>
    </row>
    <row r="32" spans="1:16" ht="20.100000000000001" hidden="1" customHeight="1" outlineLevel="1" x14ac:dyDescent="0.25">
      <c r="A32" s="296"/>
      <c r="B32" s="47"/>
      <c r="C32" s="330">
        <v>24</v>
      </c>
      <c r="D32" s="331"/>
      <c r="E32" s="331"/>
      <c r="F32" s="332"/>
      <c r="G32" s="61"/>
      <c r="H32" s="61"/>
      <c r="I32" s="61"/>
      <c r="J32" s="61"/>
      <c r="K32" s="61"/>
      <c r="L32" s="47"/>
      <c r="M32" s="47"/>
      <c r="N32" s="47"/>
      <c r="O32" s="47"/>
      <c r="P32" s="298"/>
    </row>
    <row r="33" spans="1:16" ht="20.100000000000001" hidden="1" customHeight="1" outlineLevel="1" x14ac:dyDescent="0.25">
      <c r="A33" s="296"/>
      <c r="B33" s="47"/>
      <c r="C33" s="330">
        <v>25</v>
      </c>
      <c r="D33" s="331"/>
      <c r="E33" s="331"/>
      <c r="F33" s="332"/>
      <c r="G33" s="61"/>
      <c r="H33" s="61"/>
      <c r="I33" s="61"/>
      <c r="J33" s="61"/>
      <c r="K33" s="61"/>
      <c r="L33" s="47"/>
      <c r="M33" s="47"/>
      <c r="N33" s="47"/>
      <c r="O33" s="47"/>
      <c r="P33" s="298"/>
    </row>
    <row r="34" spans="1:16" ht="20.100000000000001" hidden="1" customHeight="1" outlineLevel="1" x14ac:dyDescent="0.25">
      <c r="A34" s="296"/>
      <c r="B34" s="47"/>
      <c r="C34" s="330">
        <v>26</v>
      </c>
      <c r="D34" s="331"/>
      <c r="E34" s="331"/>
      <c r="F34" s="332"/>
      <c r="G34" s="61"/>
      <c r="H34" s="61"/>
      <c r="I34" s="61"/>
      <c r="J34" s="61"/>
      <c r="K34" s="61"/>
      <c r="L34" s="47"/>
      <c r="M34" s="47"/>
      <c r="N34" s="47"/>
      <c r="O34" s="47"/>
      <c r="P34" s="298"/>
    </row>
    <row r="35" spans="1:16" ht="20.100000000000001" hidden="1" customHeight="1" outlineLevel="1" x14ac:dyDescent="0.25">
      <c r="A35" s="296"/>
      <c r="B35" s="47"/>
      <c r="C35" s="330">
        <v>27</v>
      </c>
      <c r="D35" s="331"/>
      <c r="E35" s="331"/>
      <c r="F35" s="332"/>
      <c r="G35" s="61"/>
      <c r="H35" s="61"/>
      <c r="I35" s="61"/>
      <c r="J35" s="61"/>
      <c r="K35" s="61"/>
      <c r="L35" s="47"/>
      <c r="M35" s="47"/>
      <c r="N35" s="47"/>
      <c r="O35" s="47"/>
      <c r="P35" s="298"/>
    </row>
    <row r="36" spans="1:16" ht="20.100000000000001" hidden="1" customHeight="1" outlineLevel="1" x14ac:dyDescent="0.25">
      <c r="A36" s="296"/>
      <c r="B36" s="47"/>
      <c r="C36" s="330">
        <v>28</v>
      </c>
      <c r="D36" s="331"/>
      <c r="E36" s="331"/>
      <c r="F36" s="332"/>
      <c r="G36" s="61"/>
      <c r="H36" s="61"/>
      <c r="I36" s="61"/>
      <c r="J36" s="61"/>
      <c r="K36" s="61"/>
      <c r="L36" s="47"/>
      <c r="M36" s="47"/>
      <c r="N36" s="47"/>
      <c r="O36" s="47"/>
      <c r="P36" s="298"/>
    </row>
    <row r="37" spans="1:16" ht="20.100000000000001" hidden="1" customHeight="1" outlineLevel="1" x14ac:dyDescent="0.25">
      <c r="A37" s="296"/>
      <c r="B37" s="47"/>
      <c r="C37" s="330">
        <v>29</v>
      </c>
      <c r="D37" s="331"/>
      <c r="E37" s="331"/>
      <c r="F37" s="332"/>
      <c r="G37" s="61"/>
      <c r="H37" s="61"/>
      <c r="I37" s="61"/>
      <c r="J37" s="61"/>
      <c r="K37" s="61"/>
      <c r="L37" s="47"/>
      <c r="M37" s="47"/>
      <c r="N37" s="47"/>
      <c r="O37" s="47"/>
      <c r="P37" s="298"/>
    </row>
    <row r="38" spans="1:16" ht="20.100000000000001" hidden="1" customHeight="1" outlineLevel="1" x14ac:dyDescent="0.25">
      <c r="A38" s="296"/>
      <c r="B38" s="47"/>
      <c r="C38" s="330">
        <v>30</v>
      </c>
      <c r="D38" s="331"/>
      <c r="E38" s="331"/>
      <c r="F38" s="332"/>
      <c r="G38" s="61"/>
      <c r="H38" s="61"/>
      <c r="I38" s="61"/>
      <c r="J38" s="61"/>
      <c r="K38" s="61"/>
      <c r="L38" s="61"/>
      <c r="M38" s="61"/>
      <c r="N38" s="61"/>
      <c r="O38" s="61"/>
      <c r="P38" s="298"/>
    </row>
    <row r="39" spans="1:16" ht="20.100000000000001" hidden="1" customHeight="1" outlineLevel="1" x14ac:dyDescent="0.25">
      <c r="A39" s="296"/>
      <c r="B39" s="47"/>
      <c r="C39" s="330">
        <v>31</v>
      </c>
      <c r="D39" s="331"/>
      <c r="E39" s="331"/>
      <c r="F39" s="332"/>
      <c r="G39" s="61"/>
      <c r="H39" s="61"/>
      <c r="I39" s="61"/>
      <c r="J39" s="61"/>
      <c r="K39" s="61"/>
      <c r="L39" s="61"/>
      <c r="M39" s="61"/>
      <c r="N39" s="61"/>
      <c r="O39" s="61"/>
      <c r="P39" s="298"/>
    </row>
    <row r="40" spans="1:16" ht="20.100000000000001" hidden="1" customHeight="1" outlineLevel="1" x14ac:dyDescent="0.25">
      <c r="A40" s="296"/>
      <c r="B40" s="47"/>
      <c r="C40" s="330">
        <v>32</v>
      </c>
      <c r="D40" s="331"/>
      <c r="E40" s="331"/>
      <c r="F40" s="332"/>
      <c r="G40" s="61"/>
      <c r="H40" s="61"/>
      <c r="I40" s="61"/>
      <c r="J40" s="61"/>
      <c r="K40" s="61"/>
      <c r="L40" s="61"/>
      <c r="M40" s="61"/>
      <c r="N40" s="61"/>
      <c r="O40" s="61"/>
      <c r="P40" s="298"/>
    </row>
    <row r="41" spans="1:16" ht="20.100000000000001" hidden="1" customHeight="1" outlineLevel="1" x14ac:dyDescent="0.25">
      <c r="A41" s="296"/>
      <c r="B41" s="47"/>
      <c r="C41" s="330">
        <v>33</v>
      </c>
      <c r="D41" s="331"/>
      <c r="E41" s="331"/>
      <c r="F41" s="332"/>
      <c r="G41" s="61"/>
      <c r="H41" s="61"/>
      <c r="I41" s="61"/>
      <c r="J41" s="61"/>
      <c r="K41" s="61"/>
      <c r="L41" s="61"/>
      <c r="M41" s="61"/>
      <c r="N41" s="61"/>
      <c r="O41" s="61"/>
      <c r="P41" s="298"/>
    </row>
    <row r="42" spans="1:16" ht="20.100000000000001" hidden="1" customHeight="1" outlineLevel="1" x14ac:dyDescent="0.25">
      <c r="A42" s="296"/>
      <c r="B42" s="47"/>
      <c r="C42" s="330">
        <v>34</v>
      </c>
      <c r="D42" s="331"/>
      <c r="E42" s="331"/>
      <c r="F42" s="332"/>
      <c r="G42" s="61"/>
      <c r="H42" s="61"/>
      <c r="I42" s="61"/>
      <c r="J42" s="61"/>
      <c r="K42" s="61"/>
      <c r="L42" s="61"/>
      <c r="M42" s="61"/>
      <c r="N42" s="61"/>
      <c r="O42" s="61"/>
      <c r="P42" s="298"/>
    </row>
    <row r="43" spans="1:16" ht="20.100000000000001" hidden="1" customHeight="1" outlineLevel="1" x14ac:dyDescent="0.25">
      <c r="A43" s="296"/>
      <c r="B43" s="47"/>
      <c r="C43" s="330">
        <v>35</v>
      </c>
      <c r="D43" s="331"/>
      <c r="E43" s="331"/>
      <c r="F43" s="332"/>
      <c r="G43" s="61"/>
      <c r="H43" s="61"/>
      <c r="I43" s="61"/>
      <c r="J43" s="61"/>
      <c r="K43" s="61"/>
      <c r="L43" s="61"/>
      <c r="M43" s="61"/>
      <c r="N43" s="61"/>
      <c r="O43" s="61"/>
      <c r="P43" s="298"/>
    </row>
    <row r="44" spans="1:16" ht="20.100000000000001" hidden="1" customHeight="1" outlineLevel="1" x14ac:dyDescent="0.25">
      <c r="A44" s="296"/>
      <c r="B44" s="47"/>
      <c r="C44" s="330">
        <v>36</v>
      </c>
      <c r="D44" s="331"/>
      <c r="E44" s="331"/>
      <c r="F44" s="332"/>
      <c r="G44" s="61"/>
      <c r="H44" s="61"/>
      <c r="I44" s="61"/>
      <c r="J44" s="61"/>
      <c r="K44" s="61"/>
      <c r="L44" s="61"/>
      <c r="M44" s="61"/>
      <c r="N44" s="61"/>
      <c r="O44" s="61"/>
      <c r="P44" s="298"/>
    </row>
    <row r="45" spans="1:16" ht="20.100000000000001" hidden="1" customHeight="1" outlineLevel="1" x14ac:dyDescent="0.25">
      <c r="A45" s="296"/>
      <c r="B45" s="47"/>
      <c r="C45" s="330">
        <v>37</v>
      </c>
      <c r="D45" s="331"/>
      <c r="E45" s="331"/>
      <c r="F45" s="332"/>
      <c r="G45" s="61"/>
      <c r="H45" s="61"/>
      <c r="I45" s="61"/>
      <c r="J45" s="61"/>
      <c r="K45" s="61"/>
      <c r="L45" s="61"/>
      <c r="M45" s="61"/>
      <c r="N45" s="61"/>
      <c r="O45" s="61"/>
      <c r="P45" s="298"/>
    </row>
    <row r="46" spans="1:16" ht="20.100000000000001" hidden="1" customHeight="1" outlineLevel="1" x14ac:dyDescent="0.25">
      <c r="A46" s="296"/>
      <c r="B46" s="47"/>
      <c r="C46" s="330">
        <v>38</v>
      </c>
      <c r="D46" s="331"/>
      <c r="E46" s="331"/>
      <c r="F46" s="332"/>
      <c r="G46" s="61"/>
      <c r="H46" s="61"/>
      <c r="I46" s="61"/>
      <c r="J46" s="61"/>
      <c r="K46" s="61"/>
      <c r="L46" s="61"/>
      <c r="M46" s="61"/>
      <c r="N46" s="61"/>
      <c r="O46" s="61"/>
      <c r="P46" s="298"/>
    </row>
    <row r="47" spans="1:16" ht="20.100000000000001" hidden="1" customHeight="1" outlineLevel="1" x14ac:dyDescent="0.25">
      <c r="A47" s="296"/>
      <c r="B47" s="47"/>
      <c r="C47" s="330">
        <v>39</v>
      </c>
      <c r="D47" s="331"/>
      <c r="E47" s="331"/>
      <c r="F47" s="332"/>
      <c r="G47" s="61"/>
      <c r="H47" s="61"/>
      <c r="I47" s="61"/>
      <c r="J47" s="61"/>
      <c r="K47" s="61"/>
      <c r="L47" s="61"/>
      <c r="M47" s="61"/>
      <c r="N47" s="61"/>
      <c r="O47" s="61"/>
      <c r="P47" s="298"/>
    </row>
    <row r="48" spans="1:16" ht="20.100000000000001" hidden="1" customHeight="1" outlineLevel="1" x14ac:dyDescent="0.25">
      <c r="A48" s="296"/>
      <c r="B48" s="47"/>
      <c r="C48" s="330">
        <v>40</v>
      </c>
      <c r="D48" s="331"/>
      <c r="E48" s="331"/>
      <c r="F48" s="332"/>
      <c r="G48" s="61"/>
      <c r="H48" s="61"/>
      <c r="I48" s="61"/>
      <c r="J48" s="61"/>
      <c r="K48" s="61"/>
      <c r="L48" s="61"/>
      <c r="M48" s="61"/>
      <c r="N48" s="61"/>
      <c r="O48" s="61"/>
      <c r="P48" s="298"/>
    </row>
    <row r="49" spans="1:16" ht="20.100000000000001" hidden="1" customHeight="1" outlineLevel="1" x14ac:dyDescent="0.25">
      <c r="A49" s="296"/>
      <c r="B49" s="47"/>
      <c r="C49" s="330">
        <v>41</v>
      </c>
      <c r="D49" s="331"/>
      <c r="E49" s="331"/>
      <c r="F49" s="332"/>
      <c r="G49" s="61"/>
      <c r="H49" s="61"/>
      <c r="I49" s="61"/>
      <c r="J49" s="61"/>
      <c r="K49" s="61"/>
      <c r="L49" s="61"/>
      <c r="M49" s="61"/>
      <c r="N49" s="61"/>
      <c r="O49" s="61"/>
      <c r="P49" s="298"/>
    </row>
    <row r="50" spans="1:16" ht="20.100000000000001" hidden="1" customHeight="1" outlineLevel="1" x14ac:dyDescent="0.25">
      <c r="A50" s="296"/>
      <c r="B50" s="47"/>
      <c r="C50" s="330">
        <v>42</v>
      </c>
      <c r="D50" s="331"/>
      <c r="E50" s="331"/>
      <c r="F50" s="332"/>
      <c r="G50" s="61"/>
      <c r="H50" s="61"/>
      <c r="I50" s="61"/>
      <c r="J50" s="61"/>
      <c r="K50" s="61"/>
      <c r="L50" s="61"/>
      <c r="M50" s="61"/>
      <c r="N50" s="61"/>
      <c r="O50" s="61"/>
      <c r="P50" s="298"/>
    </row>
    <row r="51" spans="1:16" ht="20.100000000000001" hidden="1" customHeight="1" outlineLevel="1" x14ac:dyDescent="0.25">
      <c r="A51" s="296"/>
      <c r="B51" s="47"/>
      <c r="C51" s="330">
        <v>43</v>
      </c>
      <c r="D51" s="331"/>
      <c r="E51" s="331"/>
      <c r="F51" s="332"/>
      <c r="G51" s="61"/>
      <c r="H51" s="61"/>
      <c r="I51" s="61"/>
      <c r="J51" s="61"/>
      <c r="K51" s="61"/>
      <c r="L51" s="61"/>
      <c r="M51" s="61"/>
      <c r="N51" s="61"/>
      <c r="O51" s="61"/>
      <c r="P51" s="298"/>
    </row>
    <row r="52" spans="1:16" ht="20.100000000000001" hidden="1" customHeight="1" outlineLevel="1" x14ac:dyDescent="0.25">
      <c r="A52" s="296"/>
      <c r="B52" s="47"/>
      <c r="C52" s="330">
        <v>44</v>
      </c>
      <c r="D52" s="331"/>
      <c r="E52" s="331"/>
      <c r="F52" s="332"/>
      <c r="G52" s="61"/>
      <c r="H52" s="61"/>
      <c r="I52" s="61"/>
      <c r="J52" s="61"/>
      <c r="K52" s="61"/>
      <c r="L52" s="61"/>
      <c r="M52" s="61"/>
      <c r="N52" s="61"/>
      <c r="O52" s="61"/>
      <c r="P52" s="298"/>
    </row>
    <row r="53" spans="1:16" ht="20.100000000000001" hidden="1" customHeight="1" outlineLevel="1" x14ac:dyDescent="0.25">
      <c r="A53" s="296"/>
      <c r="B53" s="47"/>
      <c r="C53" s="330">
        <v>45</v>
      </c>
      <c r="D53" s="331"/>
      <c r="E53" s="331"/>
      <c r="F53" s="332"/>
      <c r="G53" s="61"/>
      <c r="H53" s="61"/>
      <c r="I53" s="61"/>
      <c r="J53" s="61"/>
      <c r="K53" s="61"/>
      <c r="L53" s="61"/>
      <c r="M53" s="61"/>
      <c r="N53" s="61"/>
      <c r="O53" s="61"/>
      <c r="P53" s="298"/>
    </row>
    <row r="54" spans="1:16" ht="20.100000000000001" hidden="1" customHeight="1" outlineLevel="1" x14ac:dyDescent="0.25">
      <c r="A54" s="296"/>
      <c r="B54" s="47"/>
      <c r="C54" s="330">
        <v>46</v>
      </c>
      <c r="D54" s="331"/>
      <c r="E54" s="331"/>
      <c r="F54" s="332"/>
      <c r="G54" s="61"/>
      <c r="H54" s="61"/>
      <c r="I54" s="61"/>
      <c r="J54" s="61"/>
      <c r="K54" s="61"/>
      <c r="L54" s="61"/>
      <c r="M54" s="61"/>
      <c r="N54" s="61"/>
      <c r="O54" s="61"/>
      <c r="P54" s="298"/>
    </row>
    <row r="55" spans="1:16" ht="20.100000000000001" hidden="1" customHeight="1" outlineLevel="1" x14ac:dyDescent="0.25">
      <c r="A55" s="296"/>
      <c r="B55" s="47"/>
      <c r="C55" s="330">
        <v>47</v>
      </c>
      <c r="D55" s="331"/>
      <c r="E55" s="331"/>
      <c r="F55" s="332"/>
      <c r="G55" s="61"/>
      <c r="H55" s="61"/>
      <c r="I55" s="61"/>
      <c r="J55" s="61"/>
      <c r="K55" s="61"/>
      <c r="L55" s="61"/>
      <c r="M55" s="61"/>
      <c r="N55" s="61"/>
      <c r="O55" s="61"/>
      <c r="P55" s="298"/>
    </row>
    <row r="56" spans="1:16" ht="20.100000000000001" hidden="1" customHeight="1" outlineLevel="1" x14ac:dyDescent="0.25">
      <c r="A56" s="296"/>
      <c r="B56" s="47"/>
      <c r="C56" s="330">
        <v>48</v>
      </c>
      <c r="D56" s="331"/>
      <c r="E56" s="331"/>
      <c r="F56" s="332"/>
      <c r="G56" s="61"/>
      <c r="H56" s="61"/>
      <c r="I56" s="61"/>
      <c r="J56" s="61"/>
      <c r="K56" s="61"/>
      <c r="L56" s="61"/>
      <c r="M56" s="61"/>
      <c r="N56" s="61"/>
      <c r="O56" s="61"/>
      <c r="P56" s="298"/>
    </row>
    <row r="57" spans="1:16" ht="20.100000000000001" hidden="1" customHeight="1" outlineLevel="1" x14ac:dyDescent="0.25">
      <c r="A57" s="296"/>
      <c r="B57" s="47"/>
      <c r="C57" s="330">
        <v>49</v>
      </c>
      <c r="D57" s="331"/>
      <c r="E57" s="331"/>
      <c r="F57" s="332"/>
      <c r="G57" s="61"/>
      <c r="H57" s="61"/>
      <c r="I57" s="61"/>
      <c r="J57" s="61"/>
      <c r="K57" s="61"/>
      <c r="L57" s="61"/>
      <c r="M57" s="61"/>
      <c r="N57" s="61"/>
      <c r="O57" s="61"/>
      <c r="P57" s="298"/>
    </row>
    <row r="58" spans="1:16" ht="20.100000000000001" hidden="1" customHeight="1" outlineLevel="1" x14ac:dyDescent="0.25">
      <c r="A58" s="296"/>
      <c r="B58" s="47"/>
      <c r="C58" s="330">
        <v>50</v>
      </c>
      <c r="D58" s="331"/>
      <c r="E58" s="331"/>
      <c r="F58" s="332"/>
      <c r="G58" s="61"/>
      <c r="H58" s="61"/>
      <c r="I58" s="61"/>
      <c r="J58" s="61"/>
      <c r="K58" s="61"/>
      <c r="L58" s="61"/>
      <c r="M58" s="61"/>
      <c r="N58" s="61"/>
      <c r="O58" s="61"/>
      <c r="P58" s="298"/>
    </row>
    <row r="59" spans="1:16" ht="20.100000000000001" hidden="1" customHeight="1" outlineLevel="1" x14ac:dyDescent="0.25">
      <c r="A59" s="296"/>
      <c r="B59" s="47"/>
      <c r="C59" s="330">
        <v>51</v>
      </c>
      <c r="D59" s="331"/>
      <c r="E59" s="331"/>
      <c r="F59" s="332"/>
      <c r="G59" s="61"/>
      <c r="H59" s="61"/>
      <c r="I59" s="61"/>
      <c r="J59" s="61"/>
      <c r="K59" s="61"/>
      <c r="L59" s="61"/>
      <c r="M59" s="61"/>
      <c r="N59" s="61"/>
      <c r="O59" s="61"/>
      <c r="P59" s="298"/>
    </row>
    <row r="60" spans="1:16" ht="20.100000000000001" hidden="1" customHeight="1" outlineLevel="1" x14ac:dyDescent="0.25">
      <c r="A60" s="296"/>
      <c r="B60" s="47"/>
      <c r="C60" s="330">
        <v>52</v>
      </c>
      <c r="D60" s="331"/>
      <c r="E60" s="331"/>
      <c r="F60" s="332"/>
      <c r="G60" s="61"/>
      <c r="H60" s="61"/>
      <c r="I60" s="61"/>
      <c r="J60" s="61"/>
      <c r="K60" s="61"/>
      <c r="L60" s="61"/>
      <c r="M60" s="61"/>
      <c r="N60" s="61"/>
      <c r="O60" s="61"/>
      <c r="P60" s="298"/>
    </row>
    <row r="61" spans="1:16" ht="20.100000000000001" hidden="1" customHeight="1" outlineLevel="1" x14ac:dyDescent="0.25">
      <c r="A61" s="296"/>
      <c r="B61" s="47"/>
      <c r="C61" s="330">
        <v>53</v>
      </c>
      <c r="D61" s="331"/>
      <c r="E61" s="331"/>
      <c r="F61" s="332"/>
      <c r="G61" s="61"/>
      <c r="H61" s="61"/>
      <c r="I61" s="61"/>
      <c r="J61" s="61"/>
      <c r="K61" s="61"/>
      <c r="L61" s="61"/>
      <c r="M61" s="61"/>
      <c r="N61" s="61"/>
      <c r="O61" s="61"/>
      <c r="P61" s="298"/>
    </row>
    <row r="62" spans="1:16" ht="20.100000000000001" hidden="1" customHeight="1" outlineLevel="1" x14ac:dyDescent="0.25">
      <c r="A62" s="296"/>
      <c r="B62" s="47"/>
      <c r="C62" s="330">
        <v>54</v>
      </c>
      <c r="D62" s="331"/>
      <c r="E62" s="331"/>
      <c r="F62" s="332"/>
      <c r="G62" s="61"/>
      <c r="H62" s="61"/>
      <c r="I62" s="61"/>
      <c r="J62" s="61"/>
      <c r="K62" s="61"/>
      <c r="L62" s="61"/>
      <c r="M62" s="61"/>
      <c r="N62" s="61"/>
      <c r="O62" s="61"/>
      <c r="P62" s="298"/>
    </row>
    <row r="63" spans="1:16" ht="20.100000000000001" hidden="1" customHeight="1" outlineLevel="1" x14ac:dyDescent="0.25">
      <c r="A63" s="296"/>
      <c r="B63" s="47"/>
      <c r="C63" s="330">
        <v>55</v>
      </c>
      <c r="D63" s="331"/>
      <c r="E63" s="331"/>
      <c r="F63" s="332"/>
      <c r="G63" s="61"/>
      <c r="H63" s="61"/>
      <c r="I63" s="61"/>
      <c r="J63" s="61"/>
      <c r="K63" s="61"/>
      <c r="L63" s="61"/>
      <c r="M63" s="61"/>
      <c r="N63" s="61"/>
      <c r="O63" s="61"/>
      <c r="P63" s="298"/>
    </row>
    <row r="64" spans="1:16" ht="20.100000000000001" hidden="1" customHeight="1" outlineLevel="1" x14ac:dyDescent="0.25">
      <c r="A64" s="296"/>
      <c r="B64" s="47"/>
      <c r="C64" s="330">
        <v>56</v>
      </c>
      <c r="D64" s="331"/>
      <c r="E64" s="331"/>
      <c r="F64" s="332"/>
      <c r="G64" s="61"/>
      <c r="H64" s="61"/>
      <c r="I64" s="61"/>
      <c r="J64" s="61"/>
      <c r="K64" s="61"/>
      <c r="L64" s="61"/>
      <c r="M64" s="61"/>
      <c r="N64" s="61"/>
      <c r="O64" s="61"/>
      <c r="P64" s="298"/>
    </row>
    <row r="65" spans="1:16" ht="20.100000000000001" hidden="1" customHeight="1" outlineLevel="1" x14ac:dyDescent="0.25">
      <c r="A65" s="296"/>
      <c r="B65" s="47"/>
      <c r="C65" s="330">
        <v>57</v>
      </c>
      <c r="D65" s="331"/>
      <c r="E65" s="331"/>
      <c r="F65" s="332"/>
      <c r="G65" s="61"/>
      <c r="H65" s="61"/>
      <c r="I65" s="61"/>
      <c r="J65" s="61"/>
      <c r="K65" s="61"/>
      <c r="L65" s="61"/>
      <c r="M65" s="61"/>
      <c r="N65" s="61"/>
      <c r="O65" s="61"/>
      <c r="P65" s="298"/>
    </row>
    <row r="66" spans="1:16" ht="20.100000000000001" hidden="1" customHeight="1" outlineLevel="1" x14ac:dyDescent="0.25">
      <c r="A66" s="296"/>
      <c r="B66" s="47"/>
      <c r="C66" s="330">
        <v>58</v>
      </c>
      <c r="D66" s="331"/>
      <c r="E66" s="331"/>
      <c r="F66" s="332"/>
      <c r="G66" s="61"/>
      <c r="H66" s="61"/>
      <c r="I66" s="61"/>
      <c r="J66" s="61"/>
      <c r="K66" s="61"/>
      <c r="L66" s="61"/>
      <c r="M66" s="61"/>
      <c r="N66" s="61"/>
      <c r="O66" s="61"/>
      <c r="P66" s="298"/>
    </row>
    <row r="67" spans="1:16" ht="20.100000000000001" hidden="1" customHeight="1" outlineLevel="1" x14ac:dyDescent="0.25">
      <c r="A67" s="296"/>
      <c r="B67" s="47"/>
      <c r="C67" s="330">
        <v>59</v>
      </c>
      <c r="D67" s="331"/>
      <c r="E67" s="331"/>
      <c r="F67" s="332"/>
      <c r="G67" s="61"/>
      <c r="H67" s="61"/>
      <c r="I67" s="61"/>
      <c r="J67" s="61"/>
      <c r="K67" s="61"/>
      <c r="L67" s="61"/>
      <c r="M67" s="61"/>
      <c r="N67" s="61"/>
      <c r="O67" s="61"/>
      <c r="P67" s="298"/>
    </row>
    <row r="68" spans="1:16" ht="20.100000000000001" hidden="1" customHeight="1" outlineLevel="1" x14ac:dyDescent="0.25">
      <c r="A68" s="296"/>
      <c r="B68" s="47"/>
      <c r="C68" s="330">
        <v>60</v>
      </c>
      <c r="D68" s="331"/>
      <c r="E68" s="331"/>
      <c r="F68" s="332"/>
      <c r="G68" s="61"/>
      <c r="H68" s="61"/>
      <c r="I68" s="61"/>
      <c r="J68" s="61"/>
      <c r="K68" s="61"/>
      <c r="L68" s="61"/>
      <c r="M68" s="61"/>
      <c r="N68" s="61"/>
      <c r="O68" s="61"/>
      <c r="P68" s="298"/>
    </row>
    <row r="69" spans="1:16" ht="20.100000000000001" hidden="1" customHeight="1" outlineLevel="1" x14ac:dyDescent="0.25">
      <c r="A69" s="296"/>
      <c r="B69" s="47"/>
      <c r="C69" s="330">
        <v>61</v>
      </c>
      <c r="D69" s="331"/>
      <c r="E69" s="331"/>
      <c r="F69" s="332"/>
      <c r="G69" s="61"/>
      <c r="H69" s="61"/>
      <c r="I69" s="61"/>
      <c r="J69" s="61"/>
      <c r="K69" s="61"/>
      <c r="L69" s="61"/>
      <c r="M69" s="61"/>
      <c r="N69" s="61"/>
      <c r="O69" s="61"/>
      <c r="P69" s="298"/>
    </row>
    <row r="70" spans="1:16" ht="20.100000000000001" hidden="1" customHeight="1" outlineLevel="1" x14ac:dyDescent="0.25">
      <c r="A70" s="296"/>
      <c r="B70" s="47"/>
      <c r="C70" s="330">
        <v>62</v>
      </c>
      <c r="D70" s="331"/>
      <c r="E70" s="331"/>
      <c r="F70" s="332"/>
      <c r="G70" s="61"/>
      <c r="H70" s="61"/>
      <c r="I70" s="61"/>
      <c r="J70" s="61"/>
      <c r="K70" s="61"/>
      <c r="L70" s="61"/>
      <c r="M70" s="61"/>
      <c r="N70" s="61"/>
      <c r="O70" s="61"/>
      <c r="P70" s="298"/>
    </row>
    <row r="71" spans="1:16" ht="20.100000000000001" hidden="1" customHeight="1" outlineLevel="1" x14ac:dyDescent="0.25">
      <c r="A71" s="296"/>
      <c r="B71" s="47"/>
      <c r="C71" s="330">
        <v>63</v>
      </c>
      <c r="D71" s="331"/>
      <c r="E71" s="331"/>
      <c r="F71" s="332"/>
      <c r="G71" s="61"/>
      <c r="H71" s="61"/>
      <c r="I71" s="61"/>
      <c r="J71" s="61"/>
      <c r="K71" s="61"/>
      <c r="L71" s="61"/>
      <c r="M71" s="61"/>
      <c r="N71" s="61"/>
      <c r="O71" s="61"/>
      <c r="P71" s="298"/>
    </row>
    <row r="72" spans="1:16" ht="20.100000000000001" hidden="1" customHeight="1" outlineLevel="1" x14ac:dyDescent="0.25">
      <c r="A72" s="296"/>
      <c r="B72" s="47"/>
      <c r="C72" s="330">
        <v>64</v>
      </c>
      <c r="D72" s="331"/>
      <c r="E72" s="331"/>
      <c r="F72" s="332"/>
      <c r="G72" s="61"/>
      <c r="H72" s="61"/>
      <c r="I72" s="61"/>
      <c r="J72" s="61"/>
      <c r="K72" s="61"/>
      <c r="L72" s="61"/>
      <c r="M72" s="61"/>
      <c r="N72" s="61"/>
      <c r="O72" s="61"/>
      <c r="P72" s="298"/>
    </row>
    <row r="73" spans="1:16" ht="20.100000000000001" hidden="1" customHeight="1" outlineLevel="1" x14ac:dyDescent="0.25">
      <c r="A73" s="296"/>
      <c r="B73" s="47"/>
      <c r="C73" s="330">
        <v>65</v>
      </c>
      <c r="D73" s="331"/>
      <c r="E73" s="331"/>
      <c r="F73" s="332"/>
      <c r="G73" s="61"/>
      <c r="H73" s="61"/>
      <c r="I73" s="61"/>
      <c r="J73" s="61"/>
      <c r="K73" s="61"/>
      <c r="L73" s="61"/>
      <c r="M73" s="61"/>
      <c r="N73" s="61"/>
      <c r="O73" s="61"/>
      <c r="P73" s="298"/>
    </row>
    <row r="74" spans="1:16" ht="20.100000000000001" hidden="1" customHeight="1" outlineLevel="1" x14ac:dyDescent="0.25">
      <c r="A74" s="296"/>
      <c r="B74" s="47"/>
      <c r="C74" s="330">
        <v>66</v>
      </c>
      <c r="D74" s="331"/>
      <c r="E74" s="331"/>
      <c r="F74" s="332"/>
      <c r="G74" s="61"/>
      <c r="H74" s="61"/>
      <c r="I74" s="61"/>
      <c r="J74" s="61"/>
      <c r="K74" s="61"/>
      <c r="L74" s="61"/>
      <c r="M74" s="61"/>
      <c r="N74" s="61"/>
      <c r="O74" s="61"/>
      <c r="P74" s="298"/>
    </row>
    <row r="75" spans="1:16" ht="20.100000000000001" hidden="1" customHeight="1" outlineLevel="1" x14ac:dyDescent="0.25">
      <c r="A75" s="296"/>
      <c r="B75" s="47"/>
      <c r="C75" s="330">
        <v>67</v>
      </c>
      <c r="D75" s="331"/>
      <c r="E75" s="331"/>
      <c r="F75" s="332"/>
      <c r="G75" s="61"/>
      <c r="H75" s="61"/>
      <c r="I75" s="61"/>
      <c r="J75" s="61"/>
      <c r="K75" s="61"/>
      <c r="L75" s="61"/>
      <c r="M75" s="61"/>
      <c r="N75" s="61"/>
      <c r="O75" s="61"/>
      <c r="P75" s="298"/>
    </row>
    <row r="76" spans="1:16" ht="20.100000000000001" hidden="1" customHeight="1" outlineLevel="1" x14ac:dyDescent="0.25">
      <c r="A76" s="296"/>
      <c r="B76" s="47"/>
      <c r="C76" s="330">
        <v>68</v>
      </c>
      <c r="D76" s="331"/>
      <c r="E76" s="331"/>
      <c r="F76" s="332"/>
      <c r="G76" s="61"/>
      <c r="H76" s="61"/>
      <c r="I76" s="61"/>
      <c r="J76" s="61"/>
      <c r="K76" s="61"/>
      <c r="L76" s="61"/>
      <c r="M76" s="61"/>
      <c r="N76" s="61"/>
      <c r="O76" s="61"/>
      <c r="P76" s="298"/>
    </row>
    <row r="77" spans="1:16" ht="20.100000000000001" hidden="1" customHeight="1" outlineLevel="1" x14ac:dyDescent="0.25">
      <c r="A77" s="296"/>
      <c r="B77" s="47"/>
      <c r="C77" s="330">
        <v>69</v>
      </c>
      <c r="D77" s="331"/>
      <c r="E77" s="331"/>
      <c r="F77" s="332"/>
      <c r="G77" s="61"/>
      <c r="H77" s="61"/>
      <c r="I77" s="61"/>
      <c r="J77" s="61"/>
      <c r="K77" s="61"/>
      <c r="L77" s="61"/>
      <c r="M77" s="61"/>
      <c r="N77" s="61"/>
      <c r="O77" s="61"/>
      <c r="P77" s="298"/>
    </row>
    <row r="78" spans="1:16" ht="20.100000000000001" hidden="1" customHeight="1" outlineLevel="1" x14ac:dyDescent="0.25">
      <c r="A78" s="296"/>
      <c r="B78" s="47"/>
      <c r="C78" s="330">
        <v>70</v>
      </c>
      <c r="D78" s="331"/>
      <c r="E78" s="331"/>
      <c r="F78" s="332"/>
      <c r="G78" s="61"/>
      <c r="H78" s="61"/>
      <c r="I78" s="61"/>
      <c r="J78" s="61"/>
      <c r="K78" s="61"/>
      <c r="L78" s="61"/>
      <c r="M78" s="61"/>
      <c r="N78" s="61"/>
      <c r="O78" s="61"/>
      <c r="P78" s="298"/>
    </row>
    <row r="79" spans="1:16" ht="20.100000000000001" hidden="1" customHeight="1" outlineLevel="1" x14ac:dyDescent="0.25">
      <c r="A79" s="296"/>
      <c r="B79" s="47"/>
      <c r="C79" s="330">
        <v>71</v>
      </c>
      <c r="D79" s="331"/>
      <c r="E79" s="331"/>
      <c r="F79" s="332"/>
      <c r="G79" s="61"/>
      <c r="H79" s="61"/>
      <c r="I79" s="61"/>
      <c r="J79" s="61"/>
      <c r="K79" s="61"/>
      <c r="L79" s="61"/>
      <c r="M79" s="61"/>
      <c r="N79" s="61"/>
      <c r="O79" s="61"/>
      <c r="P79" s="298"/>
    </row>
    <row r="80" spans="1:16" ht="20.100000000000001" hidden="1" customHeight="1" outlineLevel="1" x14ac:dyDescent="0.25">
      <c r="A80" s="296"/>
      <c r="B80" s="47"/>
      <c r="C80" s="330">
        <v>72</v>
      </c>
      <c r="D80" s="331"/>
      <c r="E80" s="331"/>
      <c r="F80" s="332"/>
      <c r="G80" s="61"/>
      <c r="H80" s="61"/>
      <c r="I80" s="61"/>
      <c r="J80" s="61"/>
      <c r="K80" s="61"/>
      <c r="L80" s="61"/>
      <c r="M80" s="61"/>
      <c r="N80" s="61"/>
      <c r="O80" s="61"/>
      <c r="P80" s="298"/>
    </row>
    <row r="81" spans="1:16" ht="20.100000000000001" hidden="1" customHeight="1" outlineLevel="1" x14ac:dyDescent="0.25">
      <c r="A81" s="296"/>
      <c r="B81" s="47"/>
      <c r="C81" s="330">
        <v>73</v>
      </c>
      <c r="D81" s="331"/>
      <c r="E81" s="331"/>
      <c r="F81" s="332"/>
      <c r="G81" s="61"/>
      <c r="H81" s="61"/>
      <c r="I81" s="61"/>
      <c r="J81" s="61"/>
      <c r="K81" s="61"/>
      <c r="L81" s="61"/>
      <c r="M81" s="61"/>
      <c r="N81" s="61"/>
      <c r="O81" s="61"/>
      <c r="P81" s="298"/>
    </row>
    <row r="82" spans="1:16" ht="20.100000000000001" hidden="1" customHeight="1" outlineLevel="1" x14ac:dyDescent="0.25">
      <c r="A82" s="296"/>
      <c r="B82" s="47"/>
      <c r="C82" s="330">
        <v>74</v>
      </c>
      <c r="D82" s="331"/>
      <c r="E82" s="331"/>
      <c r="F82" s="332"/>
      <c r="G82" s="61"/>
      <c r="H82" s="61"/>
      <c r="I82" s="61"/>
      <c r="J82" s="61"/>
      <c r="K82" s="61"/>
      <c r="L82" s="61"/>
      <c r="M82" s="61"/>
      <c r="N82" s="61"/>
      <c r="O82" s="61"/>
      <c r="P82" s="298"/>
    </row>
    <row r="83" spans="1:16" ht="20.100000000000001" hidden="1" customHeight="1" outlineLevel="1" x14ac:dyDescent="0.25">
      <c r="A83" s="296"/>
      <c r="B83" s="47"/>
      <c r="C83" s="330">
        <v>75</v>
      </c>
      <c r="D83" s="331"/>
      <c r="E83" s="331"/>
      <c r="F83" s="332"/>
      <c r="G83" s="61"/>
      <c r="H83" s="61"/>
      <c r="I83" s="61"/>
      <c r="J83" s="61"/>
      <c r="K83" s="61"/>
      <c r="L83" s="61"/>
      <c r="M83" s="61"/>
      <c r="N83" s="61"/>
      <c r="O83" s="61"/>
      <c r="P83" s="298"/>
    </row>
    <row r="84" spans="1:16" ht="20.100000000000001" hidden="1" customHeight="1" outlineLevel="1" x14ac:dyDescent="0.25">
      <c r="A84" s="296"/>
      <c r="B84" s="47"/>
      <c r="C84" s="330">
        <v>76</v>
      </c>
      <c r="D84" s="331"/>
      <c r="E84" s="331"/>
      <c r="F84" s="332"/>
      <c r="G84" s="61"/>
      <c r="H84" s="61"/>
      <c r="I84" s="61"/>
      <c r="J84" s="61"/>
      <c r="K84" s="61"/>
      <c r="L84" s="61"/>
      <c r="M84" s="61"/>
      <c r="N84" s="61"/>
      <c r="O84" s="61"/>
      <c r="P84" s="298"/>
    </row>
    <row r="85" spans="1:16" ht="20.100000000000001" hidden="1" customHeight="1" outlineLevel="1" x14ac:dyDescent="0.25">
      <c r="A85" s="296"/>
      <c r="B85" s="47"/>
      <c r="C85" s="330">
        <v>77</v>
      </c>
      <c r="D85" s="331"/>
      <c r="E85" s="331"/>
      <c r="F85" s="332"/>
      <c r="G85" s="61"/>
      <c r="H85" s="61"/>
      <c r="I85" s="61"/>
      <c r="J85" s="61"/>
      <c r="K85" s="61"/>
      <c r="L85" s="61"/>
      <c r="M85" s="61"/>
      <c r="N85" s="61"/>
      <c r="O85" s="61"/>
      <c r="P85" s="298"/>
    </row>
    <row r="86" spans="1:16" ht="20.100000000000001" hidden="1" customHeight="1" outlineLevel="1" x14ac:dyDescent="0.25">
      <c r="A86" s="296"/>
      <c r="B86" s="47"/>
      <c r="C86" s="330">
        <v>78</v>
      </c>
      <c r="D86" s="331"/>
      <c r="E86" s="331"/>
      <c r="F86" s="332"/>
      <c r="G86" s="61"/>
      <c r="H86" s="61"/>
      <c r="I86" s="61"/>
      <c r="J86" s="61"/>
      <c r="K86" s="61"/>
      <c r="L86" s="61"/>
      <c r="M86" s="61"/>
      <c r="N86" s="61"/>
      <c r="O86" s="61"/>
      <c r="P86" s="298"/>
    </row>
    <row r="87" spans="1:16" ht="20.100000000000001" hidden="1" customHeight="1" outlineLevel="1" x14ac:dyDescent="0.25">
      <c r="A87" s="296"/>
      <c r="B87" s="47"/>
      <c r="C87" s="330">
        <v>79</v>
      </c>
      <c r="D87" s="331"/>
      <c r="E87" s="331"/>
      <c r="F87" s="332"/>
      <c r="G87" s="61"/>
      <c r="H87" s="61"/>
      <c r="I87" s="61"/>
      <c r="J87" s="61"/>
      <c r="K87" s="61"/>
      <c r="L87" s="61"/>
      <c r="M87" s="61"/>
      <c r="N87" s="61"/>
      <c r="O87" s="61"/>
      <c r="P87" s="298"/>
    </row>
    <row r="88" spans="1:16" ht="20.100000000000001" hidden="1" customHeight="1" outlineLevel="1" x14ac:dyDescent="0.25">
      <c r="A88" s="296"/>
      <c r="B88" s="47"/>
      <c r="C88" s="330">
        <v>80</v>
      </c>
      <c r="D88" s="331"/>
      <c r="E88" s="331"/>
      <c r="F88" s="332"/>
      <c r="G88" s="61"/>
      <c r="H88" s="61"/>
      <c r="I88" s="61"/>
      <c r="J88" s="61"/>
      <c r="K88" s="61"/>
      <c r="L88" s="61"/>
      <c r="M88" s="61"/>
      <c r="N88" s="61"/>
      <c r="O88" s="61"/>
      <c r="P88" s="298"/>
    </row>
    <row r="89" spans="1:16" ht="20.100000000000001" hidden="1" customHeight="1" outlineLevel="1" x14ac:dyDescent="0.25">
      <c r="A89" s="296"/>
      <c r="B89" s="47"/>
      <c r="C89" s="330">
        <v>81</v>
      </c>
      <c r="D89" s="331"/>
      <c r="E89" s="331"/>
      <c r="F89" s="332"/>
      <c r="G89" s="61"/>
      <c r="H89" s="61"/>
      <c r="I89" s="61"/>
      <c r="J89" s="61"/>
      <c r="K89" s="61"/>
      <c r="L89" s="61"/>
      <c r="M89" s="61"/>
      <c r="N89" s="61"/>
      <c r="O89" s="61"/>
      <c r="P89" s="298"/>
    </row>
    <row r="90" spans="1:16" ht="20.100000000000001" hidden="1" customHeight="1" outlineLevel="1" x14ac:dyDescent="0.25">
      <c r="A90" s="296"/>
      <c r="B90" s="47"/>
      <c r="C90" s="330">
        <v>82</v>
      </c>
      <c r="D90" s="331"/>
      <c r="E90" s="331"/>
      <c r="F90" s="332"/>
      <c r="G90" s="61"/>
      <c r="H90" s="61"/>
      <c r="I90" s="61"/>
      <c r="J90" s="61"/>
      <c r="K90" s="61"/>
      <c r="L90" s="61"/>
      <c r="M90" s="61"/>
      <c r="N90" s="61"/>
      <c r="O90" s="61"/>
      <c r="P90" s="298"/>
    </row>
    <row r="91" spans="1:16" ht="20.100000000000001" hidden="1" customHeight="1" outlineLevel="1" x14ac:dyDescent="0.25">
      <c r="A91" s="296"/>
      <c r="B91" s="47"/>
      <c r="C91" s="330">
        <v>83</v>
      </c>
      <c r="D91" s="331"/>
      <c r="E91" s="331"/>
      <c r="F91" s="332"/>
      <c r="G91" s="61"/>
      <c r="H91" s="61"/>
      <c r="I91" s="61"/>
      <c r="J91" s="61"/>
      <c r="K91" s="61"/>
      <c r="L91" s="61"/>
      <c r="M91" s="61"/>
      <c r="N91" s="61"/>
      <c r="O91" s="61"/>
      <c r="P91" s="298"/>
    </row>
    <row r="92" spans="1:16" ht="20.100000000000001" hidden="1" customHeight="1" outlineLevel="1" x14ac:dyDescent="0.25">
      <c r="A92" s="296"/>
      <c r="B92" s="47"/>
      <c r="C92" s="330">
        <v>84</v>
      </c>
      <c r="D92" s="331"/>
      <c r="E92" s="331"/>
      <c r="F92" s="332"/>
      <c r="G92" s="61"/>
      <c r="H92" s="61"/>
      <c r="I92" s="61"/>
      <c r="J92" s="61"/>
      <c r="K92" s="61"/>
      <c r="L92" s="61"/>
      <c r="M92" s="61"/>
      <c r="N92" s="61"/>
      <c r="O92" s="61"/>
      <c r="P92" s="298"/>
    </row>
    <row r="93" spans="1:16" ht="20.100000000000001" hidden="1" customHeight="1" outlineLevel="1" x14ac:dyDescent="0.25">
      <c r="A93" s="296"/>
      <c r="B93" s="47"/>
      <c r="C93" s="330">
        <v>85</v>
      </c>
      <c r="D93" s="331"/>
      <c r="E93" s="331"/>
      <c r="F93" s="332"/>
      <c r="G93" s="61"/>
      <c r="H93" s="61"/>
      <c r="I93" s="61"/>
      <c r="J93" s="61"/>
      <c r="K93" s="61"/>
      <c r="L93" s="61"/>
      <c r="M93" s="61"/>
      <c r="N93" s="61"/>
      <c r="O93" s="61"/>
      <c r="P93" s="298"/>
    </row>
    <row r="94" spans="1:16" ht="20.100000000000001" hidden="1" customHeight="1" outlineLevel="1" x14ac:dyDescent="0.25">
      <c r="A94" s="296"/>
      <c r="B94" s="47"/>
      <c r="C94" s="330">
        <v>86</v>
      </c>
      <c r="D94" s="331"/>
      <c r="E94" s="331"/>
      <c r="F94" s="332"/>
      <c r="G94" s="61"/>
      <c r="H94" s="61"/>
      <c r="I94" s="61"/>
      <c r="J94" s="61"/>
      <c r="K94" s="61"/>
      <c r="L94" s="61"/>
      <c r="M94" s="61"/>
      <c r="N94" s="61"/>
      <c r="O94" s="61"/>
      <c r="P94" s="298"/>
    </row>
    <row r="95" spans="1:16" ht="20.100000000000001" hidden="1" customHeight="1" outlineLevel="1" x14ac:dyDescent="0.25">
      <c r="A95" s="296"/>
      <c r="B95" s="47"/>
      <c r="C95" s="330">
        <v>87</v>
      </c>
      <c r="D95" s="331"/>
      <c r="E95" s="331"/>
      <c r="F95" s="332"/>
      <c r="G95" s="61"/>
      <c r="H95" s="61"/>
      <c r="I95" s="61"/>
      <c r="J95" s="61"/>
      <c r="K95" s="61"/>
      <c r="L95" s="61"/>
      <c r="M95" s="61"/>
      <c r="N95" s="61"/>
      <c r="O95" s="61"/>
      <c r="P95" s="298"/>
    </row>
    <row r="96" spans="1:16" ht="20.100000000000001" hidden="1" customHeight="1" outlineLevel="1" x14ac:dyDescent="0.25">
      <c r="A96" s="296"/>
      <c r="B96" s="47"/>
      <c r="C96" s="330">
        <v>88</v>
      </c>
      <c r="D96" s="331"/>
      <c r="E96" s="331"/>
      <c r="F96" s="332"/>
      <c r="G96" s="61"/>
      <c r="H96" s="61"/>
      <c r="I96" s="61"/>
      <c r="J96" s="61"/>
      <c r="K96" s="61"/>
      <c r="L96" s="61"/>
      <c r="M96" s="61"/>
      <c r="N96" s="61"/>
      <c r="O96" s="61"/>
      <c r="P96" s="298"/>
    </row>
    <row r="97" spans="1:16" ht="20.100000000000001" hidden="1" customHeight="1" outlineLevel="1" x14ac:dyDescent="0.25">
      <c r="A97" s="296"/>
      <c r="B97" s="47"/>
      <c r="C97" s="330">
        <v>89</v>
      </c>
      <c r="D97" s="331"/>
      <c r="E97" s="331"/>
      <c r="F97" s="332"/>
      <c r="G97" s="61"/>
      <c r="H97" s="61"/>
      <c r="I97" s="61"/>
      <c r="J97" s="61"/>
      <c r="K97" s="61"/>
      <c r="L97" s="61"/>
      <c r="M97" s="61"/>
      <c r="N97" s="61"/>
      <c r="O97" s="61"/>
      <c r="P97" s="298"/>
    </row>
    <row r="98" spans="1:16" ht="20.100000000000001" hidden="1" customHeight="1" outlineLevel="1" x14ac:dyDescent="0.25">
      <c r="A98" s="296"/>
      <c r="B98" s="47"/>
      <c r="C98" s="330">
        <v>90</v>
      </c>
      <c r="D98" s="331"/>
      <c r="E98" s="331"/>
      <c r="F98" s="332"/>
      <c r="G98" s="61"/>
      <c r="H98" s="61"/>
      <c r="I98" s="61"/>
      <c r="J98" s="61"/>
      <c r="K98" s="61"/>
      <c r="L98" s="61"/>
      <c r="M98" s="61"/>
      <c r="N98" s="61"/>
      <c r="O98" s="61"/>
      <c r="P98" s="298"/>
    </row>
    <row r="99" spans="1:16" ht="20.100000000000001" hidden="1" customHeight="1" outlineLevel="1" x14ac:dyDescent="0.25">
      <c r="A99" s="296"/>
      <c r="B99" s="47"/>
      <c r="C99" s="330">
        <v>91</v>
      </c>
      <c r="D99" s="331"/>
      <c r="E99" s="331"/>
      <c r="F99" s="332"/>
      <c r="G99" s="61"/>
      <c r="H99" s="61"/>
      <c r="I99" s="61"/>
      <c r="J99" s="61"/>
      <c r="K99" s="61"/>
      <c r="L99" s="61"/>
      <c r="M99" s="61"/>
      <c r="N99" s="61"/>
      <c r="O99" s="61"/>
      <c r="P99" s="298"/>
    </row>
    <row r="100" spans="1:16" ht="20.100000000000001" hidden="1" customHeight="1" outlineLevel="1" x14ac:dyDescent="0.25">
      <c r="A100" s="296"/>
      <c r="B100" s="47"/>
      <c r="C100" s="330">
        <v>92</v>
      </c>
      <c r="D100" s="331"/>
      <c r="E100" s="331"/>
      <c r="F100" s="332"/>
      <c r="G100" s="61"/>
      <c r="H100" s="61"/>
      <c r="I100" s="61"/>
      <c r="J100" s="61"/>
      <c r="K100" s="61"/>
      <c r="L100" s="61"/>
      <c r="M100" s="61"/>
      <c r="N100" s="61"/>
      <c r="O100" s="61"/>
      <c r="P100" s="298"/>
    </row>
    <row r="101" spans="1:16" ht="20.100000000000001" hidden="1" customHeight="1" outlineLevel="1" x14ac:dyDescent="0.25">
      <c r="A101" s="296"/>
      <c r="B101" s="47"/>
      <c r="C101" s="330">
        <v>93</v>
      </c>
      <c r="D101" s="331"/>
      <c r="E101" s="331"/>
      <c r="F101" s="332"/>
      <c r="G101" s="61"/>
      <c r="H101" s="61"/>
      <c r="I101" s="61"/>
      <c r="J101" s="61"/>
      <c r="K101" s="61"/>
      <c r="L101" s="61"/>
      <c r="M101" s="61"/>
      <c r="N101" s="61"/>
      <c r="O101" s="61"/>
      <c r="P101" s="298"/>
    </row>
    <row r="102" spans="1:16" ht="20.100000000000001" hidden="1" customHeight="1" outlineLevel="1" x14ac:dyDescent="0.25">
      <c r="A102" s="296"/>
      <c r="B102" s="47"/>
      <c r="C102" s="330">
        <v>94</v>
      </c>
      <c r="D102" s="331"/>
      <c r="E102" s="331"/>
      <c r="F102" s="332"/>
      <c r="G102" s="61"/>
      <c r="H102" s="61"/>
      <c r="I102" s="61"/>
      <c r="J102" s="61"/>
      <c r="K102" s="61"/>
      <c r="L102" s="61"/>
      <c r="M102" s="61"/>
      <c r="N102" s="61"/>
      <c r="O102" s="61"/>
      <c r="P102" s="298"/>
    </row>
    <row r="103" spans="1:16" ht="20.100000000000001" hidden="1" customHeight="1" outlineLevel="1" x14ac:dyDescent="0.25">
      <c r="A103" s="296"/>
      <c r="B103" s="47"/>
      <c r="C103" s="330">
        <v>95</v>
      </c>
      <c r="D103" s="331"/>
      <c r="E103" s="331"/>
      <c r="F103" s="332"/>
      <c r="G103" s="61"/>
      <c r="H103" s="61"/>
      <c r="I103" s="61"/>
      <c r="J103" s="61"/>
      <c r="K103" s="61"/>
      <c r="L103" s="61"/>
      <c r="M103" s="61"/>
      <c r="N103" s="61"/>
      <c r="O103" s="61"/>
      <c r="P103" s="298"/>
    </row>
    <row r="104" spans="1:16" ht="20.100000000000001" hidden="1" customHeight="1" outlineLevel="1" x14ac:dyDescent="0.25">
      <c r="A104" s="296"/>
      <c r="B104" s="47"/>
      <c r="C104" s="330">
        <v>96</v>
      </c>
      <c r="D104" s="331"/>
      <c r="E104" s="331"/>
      <c r="F104" s="332"/>
      <c r="G104" s="61"/>
      <c r="H104" s="61"/>
      <c r="I104" s="61"/>
      <c r="J104" s="61"/>
      <c r="K104" s="61"/>
      <c r="L104" s="61"/>
      <c r="M104" s="61"/>
      <c r="N104" s="61"/>
      <c r="O104" s="61"/>
      <c r="P104" s="298"/>
    </row>
    <row r="105" spans="1:16" ht="20.100000000000001" hidden="1" customHeight="1" outlineLevel="1" x14ac:dyDescent="0.25">
      <c r="A105" s="296"/>
      <c r="B105" s="47"/>
      <c r="C105" s="330">
        <v>97</v>
      </c>
      <c r="D105" s="331"/>
      <c r="E105" s="331"/>
      <c r="F105" s="332"/>
      <c r="G105" s="61"/>
      <c r="H105" s="61"/>
      <c r="I105" s="61"/>
      <c r="J105" s="61"/>
      <c r="K105" s="61"/>
      <c r="L105" s="61"/>
      <c r="M105" s="61"/>
      <c r="N105" s="61"/>
      <c r="O105" s="61"/>
      <c r="P105" s="298"/>
    </row>
    <row r="106" spans="1:16" ht="20.100000000000001" hidden="1" customHeight="1" outlineLevel="1" x14ac:dyDescent="0.25">
      <c r="A106" s="296"/>
      <c r="B106" s="47"/>
      <c r="C106" s="330">
        <v>98</v>
      </c>
      <c r="D106" s="331"/>
      <c r="E106" s="331"/>
      <c r="F106" s="332"/>
      <c r="G106" s="61"/>
      <c r="H106" s="61"/>
      <c r="I106" s="61"/>
      <c r="J106" s="61"/>
      <c r="K106" s="61"/>
      <c r="L106" s="61"/>
      <c r="M106" s="61"/>
      <c r="N106" s="61"/>
      <c r="O106" s="61"/>
      <c r="P106" s="298"/>
    </row>
    <row r="107" spans="1:16" ht="20.100000000000001" hidden="1" customHeight="1" outlineLevel="1" x14ac:dyDescent="0.25">
      <c r="A107" s="296"/>
      <c r="B107" s="47"/>
      <c r="C107" s="330">
        <v>99</v>
      </c>
      <c r="D107" s="331"/>
      <c r="E107" s="331"/>
      <c r="F107" s="332"/>
      <c r="G107" s="61"/>
      <c r="H107" s="61"/>
      <c r="I107" s="61"/>
      <c r="J107" s="61"/>
      <c r="K107" s="61"/>
      <c r="L107" s="61"/>
      <c r="M107" s="61"/>
      <c r="N107" s="61"/>
      <c r="O107" s="61"/>
      <c r="P107" s="298"/>
    </row>
    <row r="108" spans="1:16" ht="20.100000000000001" hidden="1" customHeight="1" outlineLevel="1" x14ac:dyDescent="0.25">
      <c r="A108" s="296"/>
      <c r="B108" s="47"/>
      <c r="C108" s="333">
        <v>100</v>
      </c>
      <c r="D108" s="334"/>
      <c r="E108" s="334"/>
      <c r="F108" s="335"/>
      <c r="G108" s="61"/>
      <c r="H108" s="61"/>
      <c r="I108" s="61"/>
      <c r="J108" s="61"/>
      <c r="K108" s="61"/>
      <c r="L108" s="61"/>
      <c r="M108" s="61"/>
      <c r="N108" s="61"/>
      <c r="O108" s="61"/>
      <c r="P108" s="298"/>
    </row>
    <row r="109" spans="1:16" collapsed="1" x14ac:dyDescent="0.25">
      <c r="A109" s="296"/>
      <c r="B109" s="47"/>
      <c r="C109" s="336"/>
      <c r="D109" s="336"/>
      <c r="E109" s="336"/>
      <c r="F109" s="336"/>
      <c r="G109" s="61"/>
      <c r="H109" s="61"/>
      <c r="I109" s="61"/>
      <c r="J109" s="61"/>
      <c r="K109" s="61"/>
      <c r="L109" s="61"/>
      <c r="M109" s="61"/>
      <c r="N109" s="61"/>
      <c r="O109" s="61"/>
      <c r="P109" s="298"/>
    </row>
    <row r="110" spans="1:16" x14ac:dyDescent="0.25">
      <c r="B110" s="297"/>
      <c r="C110" s="297"/>
      <c r="D110" s="297"/>
      <c r="E110" s="297"/>
      <c r="F110" s="297"/>
      <c r="G110" s="297"/>
      <c r="H110" s="297"/>
      <c r="I110" s="297"/>
      <c r="J110" s="297"/>
      <c r="K110" s="297"/>
      <c r="L110" s="297"/>
      <c r="M110" s="297"/>
      <c r="N110" s="297"/>
      <c r="O110" s="297"/>
    </row>
  </sheetData>
  <sheetProtection algorithmName="SHA-512" hashValue="vrNDmJ6h2mFIzly/tVzFAz8tzqBr1pHgwG21O41gldiXZp7jBLldqQrwc+9ZIxWJNbKIvw8ttujmbip+/KJysA==" saltValue="xkqNQfGh8vPi4z7YKredlg==" spinCount="100000" sheet="1" objects="1" scenarios="1"/>
  <mergeCells count="1">
    <mergeCell ref="H7:H8"/>
  </mergeCells>
  <phoneticPr fontId="31" type="noConversion"/>
  <dataValidations count="2">
    <dataValidation type="whole" allowBlank="1" showInputMessage="1" showErrorMessage="1" errorTitle="Data Type Error" error="These data cannot be used in calculations. Please enter a numeric value." sqref="D9:D108" xr:uid="{8F3B866A-3E85-41BD-A0CE-66617F92BEE9}">
      <formula1>0</formula1>
      <formula2>1000000</formula2>
    </dataValidation>
    <dataValidation type="whole" operator="lessThanOrEqual" allowBlank="1" showInputMessage="1" showErrorMessage="1" errorTitle="Data Error" error="Number of defectives can not be higher than Lot Size." sqref="E9:E108" xr:uid="{4BA329C8-CCAC-4735-86C2-2BE17AE2D989}">
      <formula1>$D9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2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93EA-9270-494B-A39E-1B2F7B56B947}">
  <sheetPr>
    <pageSetUpPr autoPageBreaks="0" fitToPage="1"/>
  </sheetPr>
  <dimension ref="A1:P110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42" customWidth="1"/>
    <col min="2" max="2" width="5.7109375" style="42" customWidth="1"/>
    <col min="3" max="3" width="12.85546875" style="42" customWidth="1"/>
    <col min="4" max="4" width="13.85546875" style="42" customWidth="1"/>
    <col min="5" max="5" width="20.7109375" style="42" customWidth="1"/>
    <col min="6" max="6" width="22.42578125" style="42" customWidth="1"/>
    <col min="7" max="7" width="4.85546875" style="42" customWidth="1"/>
    <col min="8" max="8" width="12.7109375" style="42" customWidth="1"/>
    <col min="9" max="14" width="14.7109375" style="42" customWidth="1"/>
    <col min="15" max="15" width="5.7109375" style="42" customWidth="1"/>
    <col min="16" max="16" width="2.7109375" style="42" customWidth="1"/>
    <col min="17" max="16384" width="8.85546875" style="42"/>
  </cols>
  <sheetData>
    <row r="1" spans="1:16" s="28" customFormat="1" ht="6.75" customHeight="1" x14ac:dyDescent="0.25">
      <c r="B1" s="29"/>
      <c r="E1" s="30"/>
      <c r="F1" s="30"/>
      <c r="G1" s="30"/>
      <c r="H1" s="30"/>
    </row>
    <row r="2" spans="1:16" s="31" customFormat="1" ht="20.100000000000001" customHeight="1" x14ac:dyDescent="0.25">
      <c r="B2" s="32"/>
      <c r="C2" s="33" t="s">
        <v>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92"/>
      <c r="O2" s="34"/>
      <c r="P2" s="35"/>
    </row>
    <row r="3" spans="1:16" s="36" customFormat="1" ht="24" customHeight="1" x14ac:dyDescent="0.25">
      <c r="B3" s="37"/>
      <c r="C3" s="38" t="s">
        <v>274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94"/>
      <c r="O3" s="39"/>
      <c r="P3" s="40"/>
    </row>
    <row r="4" spans="1:16" ht="4.9000000000000004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4.9000000000000004" customHeight="1" x14ac:dyDescent="0.25">
      <c r="A5" s="377"/>
      <c r="B5" s="299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41"/>
    </row>
    <row r="6" spans="1:16" x14ac:dyDescent="0.25">
      <c r="A6" s="295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307"/>
    </row>
    <row r="7" spans="1:16" ht="24.95" customHeight="1" x14ac:dyDescent="0.25">
      <c r="A7" s="296"/>
      <c r="B7" s="47"/>
      <c r="C7" s="268" t="s">
        <v>228</v>
      </c>
      <c r="D7" s="269"/>
      <c r="E7" s="270"/>
      <c r="F7" s="270" t="s">
        <v>267</v>
      </c>
      <c r="G7" s="128"/>
      <c r="H7" s="382" t="s">
        <v>231</v>
      </c>
      <c r="I7" s="197" t="s">
        <v>281</v>
      </c>
      <c r="J7" s="198" t="s">
        <v>329</v>
      </c>
      <c r="K7" s="198" t="s">
        <v>330</v>
      </c>
      <c r="L7" s="198" t="s">
        <v>241</v>
      </c>
      <c r="M7" s="198" t="s">
        <v>242</v>
      </c>
      <c r="N7" s="199" t="s">
        <v>243</v>
      </c>
      <c r="O7" s="47"/>
      <c r="P7" s="298"/>
    </row>
    <row r="8" spans="1:16" ht="22.5" customHeight="1" x14ac:dyDescent="0.25">
      <c r="A8" s="296"/>
      <c r="B8" s="47"/>
      <c r="C8" s="327" t="s">
        <v>278</v>
      </c>
      <c r="D8" s="328" t="s">
        <v>277</v>
      </c>
      <c r="E8" s="327" t="s">
        <v>279</v>
      </c>
      <c r="F8" s="329" t="s">
        <v>282</v>
      </c>
      <c r="G8" s="303"/>
      <c r="H8" s="383"/>
      <c r="I8" s="292">
        <f>IFERROR(AVERAGE($F$9:$F$23),"")</f>
        <v>6.9346437618263744E-3</v>
      </c>
      <c r="J8" s="293">
        <f>IFERROR(AVERAGE(Calc!CP9:$CP$23),"")</f>
        <v>1.2774648322985768E-2</v>
      </c>
      <c r="K8" s="293">
        <f>IFERROR(AVERAGE(Calc!$CQ$9:$CQ$23),"")</f>
        <v>1.094639200666981E-3</v>
      </c>
      <c r="L8" s="293">
        <f>IFERROR(_xlfn.STDEV.P($F$9:$F$23),"")</f>
        <v>1.9674878992469056E-3</v>
      </c>
      <c r="M8" s="293">
        <f>IFERROR($L$8*3,"")</f>
        <v>5.9024636977407169E-3</v>
      </c>
      <c r="N8" s="294">
        <f>IFERROR($L$8*6,"")</f>
        <v>1.1804927395481434E-2</v>
      </c>
      <c r="O8" s="47"/>
      <c r="P8" s="298"/>
    </row>
    <row r="9" spans="1:16" ht="20.100000000000001" customHeight="1" x14ac:dyDescent="0.25">
      <c r="A9" s="296"/>
      <c r="B9" s="47"/>
      <c r="C9" s="357">
        <v>1</v>
      </c>
      <c r="D9" s="380">
        <v>1875</v>
      </c>
      <c r="E9" s="380">
        <v>13</v>
      </c>
      <c r="F9" s="367">
        <f>IFERROR(IF(LEN(D9)&gt;0,E9/D9,""),"")</f>
        <v>6.933333333333333E-3</v>
      </c>
      <c r="G9" s="57"/>
      <c r="H9" s="308"/>
      <c r="I9" s="308"/>
      <c r="J9" s="308"/>
      <c r="K9" s="308"/>
      <c r="L9" s="308"/>
      <c r="M9" s="308"/>
      <c r="N9" s="308"/>
      <c r="O9" s="47"/>
      <c r="P9" s="298"/>
    </row>
    <row r="10" spans="1:16" ht="20.100000000000001" customHeight="1" x14ac:dyDescent="0.25">
      <c r="A10" s="296"/>
      <c r="B10" s="47"/>
      <c r="C10" s="358">
        <v>2</v>
      </c>
      <c r="D10" s="381">
        <v>1950</v>
      </c>
      <c r="E10" s="381">
        <v>19</v>
      </c>
      <c r="F10" s="368">
        <f t="shared" ref="F10:F23" si="0">IFERROR(IF(LEN(D10)&gt;0,E10/D10,""),"")</f>
        <v>9.743589743589744E-3</v>
      </c>
      <c r="G10" s="57"/>
      <c r="H10" s="57"/>
      <c r="I10" s="61"/>
      <c r="J10" s="61"/>
      <c r="K10" s="61"/>
      <c r="L10" s="61"/>
      <c r="M10" s="61"/>
      <c r="N10" s="61"/>
      <c r="O10" s="47"/>
      <c r="P10" s="298"/>
    </row>
    <row r="11" spans="1:16" ht="20.100000000000001" customHeight="1" x14ac:dyDescent="0.25">
      <c r="A11" s="296"/>
      <c r="B11" s="47"/>
      <c r="C11" s="358">
        <v>3</v>
      </c>
      <c r="D11" s="381">
        <v>2250</v>
      </c>
      <c r="E11" s="381">
        <v>21</v>
      </c>
      <c r="F11" s="368">
        <f t="shared" si="0"/>
        <v>9.3333333333333341E-3</v>
      </c>
      <c r="G11" s="57"/>
      <c r="H11" s="57"/>
      <c r="I11" s="47"/>
      <c r="J11" s="47"/>
      <c r="K11" s="47"/>
      <c r="L11" s="57"/>
      <c r="M11" s="57"/>
      <c r="N11" s="61"/>
      <c r="O11" s="47"/>
      <c r="P11" s="298"/>
    </row>
    <row r="12" spans="1:16" ht="20.100000000000001" customHeight="1" x14ac:dyDescent="0.25">
      <c r="A12" s="296"/>
      <c r="B12" s="47"/>
      <c r="C12" s="358">
        <v>4</v>
      </c>
      <c r="D12" s="381">
        <v>1687.5</v>
      </c>
      <c r="E12" s="381">
        <v>13</v>
      </c>
      <c r="F12" s="368">
        <f t="shared" si="0"/>
        <v>7.7037037037037039E-3</v>
      </c>
      <c r="G12" s="57"/>
      <c r="H12" s="57"/>
      <c r="I12" s="47"/>
      <c r="J12" s="47"/>
      <c r="K12" s="47"/>
      <c r="L12" s="57"/>
      <c r="M12" s="57"/>
      <c r="N12" s="61"/>
      <c r="O12" s="47"/>
      <c r="P12" s="298"/>
    </row>
    <row r="13" spans="1:16" ht="20.100000000000001" customHeight="1" x14ac:dyDescent="0.25">
      <c r="A13" s="296"/>
      <c r="B13" s="47"/>
      <c r="C13" s="358">
        <v>5</v>
      </c>
      <c r="D13" s="381">
        <v>1740</v>
      </c>
      <c r="E13" s="381">
        <v>7</v>
      </c>
      <c r="F13" s="368">
        <f t="shared" si="0"/>
        <v>4.0229885057471264E-3</v>
      </c>
      <c r="G13" s="57"/>
      <c r="H13" s="57"/>
      <c r="I13" s="304"/>
      <c r="J13" s="305"/>
      <c r="K13" s="305"/>
      <c r="L13" s="57"/>
      <c r="M13" s="57"/>
      <c r="N13" s="47"/>
      <c r="O13" s="47"/>
      <c r="P13" s="298"/>
    </row>
    <row r="14" spans="1:16" ht="20.100000000000001" customHeight="1" x14ac:dyDescent="0.25">
      <c r="A14" s="296"/>
      <c r="B14" s="47"/>
      <c r="C14" s="358">
        <v>6</v>
      </c>
      <c r="D14" s="381">
        <v>1575</v>
      </c>
      <c r="E14" s="381">
        <v>6</v>
      </c>
      <c r="F14" s="368">
        <f t="shared" si="0"/>
        <v>3.8095238095238095E-3</v>
      </c>
      <c r="G14" s="57"/>
      <c r="H14" s="57"/>
      <c r="I14" s="47"/>
      <c r="J14" s="47"/>
      <c r="K14" s="47"/>
      <c r="L14" s="57"/>
      <c r="M14" s="57"/>
      <c r="N14" s="47"/>
      <c r="O14" s="47"/>
      <c r="P14" s="298"/>
    </row>
    <row r="15" spans="1:16" ht="20.100000000000001" customHeight="1" x14ac:dyDescent="0.25">
      <c r="A15" s="296"/>
      <c r="B15" s="47"/>
      <c r="C15" s="358">
        <v>7</v>
      </c>
      <c r="D15" s="381">
        <v>1555.000000000005</v>
      </c>
      <c r="E15" s="381">
        <v>8</v>
      </c>
      <c r="F15" s="368">
        <f t="shared" si="0"/>
        <v>5.1446945337620415E-3</v>
      </c>
      <c r="G15" s="57"/>
      <c r="H15" s="57"/>
      <c r="I15" s="304"/>
      <c r="J15" s="306"/>
      <c r="K15" s="306"/>
      <c r="L15" s="57"/>
      <c r="M15" s="57"/>
      <c r="N15" s="47"/>
      <c r="O15" s="47"/>
      <c r="P15" s="298"/>
    </row>
    <row r="16" spans="1:16" ht="20.100000000000001" customHeight="1" x14ac:dyDescent="0.25">
      <c r="A16" s="296"/>
      <c r="B16" s="47"/>
      <c r="C16" s="358">
        <v>8</v>
      </c>
      <c r="D16" s="381">
        <v>1950</v>
      </c>
      <c r="E16" s="381">
        <v>15</v>
      </c>
      <c r="F16" s="368">
        <f t="shared" si="0"/>
        <v>7.6923076923076927E-3</v>
      </c>
      <c r="G16" s="47"/>
      <c r="H16" s="47"/>
      <c r="I16" s="47"/>
      <c r="J16" s="47"/>
      <c r="K16" s="47"/>
      <c r="L16" s="57"/>
      <c r="M16" s="57"/>
      <c r="N16" s="47"/>
      <c r="O16" s="47"/>
      <c r="P16" s="298"/>
    </row>
    <row r="17" spans="1:16" ht="20.100000000000001" customHeight="1" x14ac:dyDescent="0.25">
      <c r="A17" s="296"/>
      <c r="B17" s="47"/>
      <c r="C17" s="358">
        <v>9</v>
      </c>
      <c r="D17" s="381">
        <v>2250</v>
      </c>
      <c r="E17" s="381">
        <v>19</v>
      </c>
      <c r="F17" s="368">
        <f t="shared" si="0"/>
        <v>8.4444444444444437E-3</v>
      </c>
      <c r="G17" s="47"/>
      <c r="H17" s="47"/>
      <c r="I17" s="47"/>
      <c r="J17" s="47"/>
      <c r="K17" s="47"/>
      <c r="L17" s="57"/>
      <c r="M17" s="57"/>
      <c r="N17" s="47"/>
      <c r="O17" s="47"/>
      <c r="P17" s="298"/>
    </row>
    <row r="18" spans="1:16" ht="20.100000000000001" customHeight="1" x14ac:dyDescent="0.25">
      <c r="A18" s="296"/>
      <c r="B18" s="47"/>
      <c r="C18" s="358">
        <v>10</v>
      </c>
      <c r="D18" s="381">
        <v>1687.5</v>
      </c>
      <c r="E18" s="381">
        <v>11</v>
      </c>
      <c r="F18" s="368">
        <f t="shared" si="0"/>
        <v>6.5185185185185181E-3</v>
      </c>
      <c r="G18" s="47"/>
      <c r="H18" s="47"/>
      <c r="I18" s="47"/>
      <c r="J18" s="47"/>
      <c r="K18" s="47"/>
      <c r="L18" s="57"/>
      <c r="M18" s="57"/>
      <c r="N18" s="47"/>
      <c r="O18" s="47"/>
      <c r="P18" s="298"/>
    </row>
    <row r="19" spans="1:16" ht="20.100000000000001" customHeight="1" x14ac:dyDescent="0.25">
      <c r="A19" s="296"/>
      <c r="B19" s="47"/>
      <c r="C19" s="358">
        <v>11</v>
      </c>
      <c r="D19" s="381"/>
      <c r="E19" s="381"/>
      <c r="F19" s="368" t="str">
        <f t="shared" si="0"/>
        <v/>
      </c>
      <c r="G19" s="47"/>
      <c r="H19" s="47"/>
      <c r="I19" s="47"/>
      <c r="J19" s="47"/>
      <c r="K19" s="47"/>
      <c r="L19" s="57"/>
      <c r="M19" s="57"/>
      <c r="N19" s="47"/>
      <c r="O19" s="47"/>
      <c r="P19" s="298"/>
    </row>
    <row r="20" spans="1:16" ht="20.100000000000001" customHeight="1" x14ac:dyDescent="0.25">
      <c r="A20" s="296"/>
      <c r="B20" s="47"/>
      <c r="C20" s="358">
        <v>12</v>
      </c>
      <c r="D20" s="381"/>
      <c r="E20" s="381"/>
      <c r="F20" s="368" t="str">
        <f t="shared" si="0"/>
        <v/>
      </c>
      <c r="G20" s="47"/>
      <c r="H20" s="47"/>
      <c r="I20" s="47"/>
      <c r="J20" s="47"/>
      <c r="K20" s="47"/>
      <c r="L20" s="57"/>
      <c r="M20" s="57"/>
      <c r="N20" s="47"/>
      <c r="O20" s="47"/>
      <c r="P20" s="298"/>
    </row>
    <row r="21" spans="1:16" ht="20.100000000000001" customHeight="1" x14ac:dyDescent="0.25">
      <c r="A21" s="296"/>
      <c r="B21" s="47"/>
      <c r="C21" s="358">
        <v>13</v>
      </c>
      <c r="D21" s="381"/>
      <c r="E21" s="381"/>
      <c r="F21" s="368" t="str">
        <f t="shared" si="0"/>
        <v/>
      </c>
      <c r="G21" s="47"/>
      <c r="H21" s="47"/>
      <c r="I21" s="47"/>
      <c r="J21" s="47"/>
      <c r="K21" s="47"/>
      <c r="L21" s="57"/>
      <c r="M21" s="57"/>
      <c r="N21" s="47"/>
      <c r="O21" s="47"/>
      <c r="P21" s="298"/>
    </row>
    <row r="22" spans="1:16" ht="20.100000000000001" customHeight="1" x14ac:dyDescent="0.25">
      <c r="A22" s="296"/>
      <c r="B22" s="47"/>
      <c r="C22" s="358">
        <v>14</v>
      </c>
      <c r="D22" s="381"/>
      <c r="E22" s="381"/>
      <c r="F22" s="368" t="str">
        <f t="shared" si="0"/>
        <v/>
      </c>
      <c r="G22" s="47"/>
      <c r="H22" s="47"/>
      <c r="I22" s="47"/>
      <c r="J22" s="47"/>
      <c r="K22" s="47"/>
      <c r="L22" s="57"/>
      <c r="M22" s="57"/>
      <c r="N22" s="47"/>
      <c r="O22" s="47"/>
      <c r="P22" s="298"/>
    </row>
    <row r="23" spans="1:16" ht="20.100000000000001" customHeight="1" x14ac:dyDescent="0.25">
      <c r="A23" s="296"/>
      <c r="B23" s="47"/>
      <c r="C23" s="358">
        <v>15</v>
      </c>
      <c r="D23" s="381"/>
      <c r="E23" s="381"/>
      <c r="F23" s="368" t="str">
        <f t="shared" si="0"/>
        <v/>
      </c>
      <c r="G23" s="47"/>
      <c r="H23" s="47"/>
      <c r="I23" s="47"/>
      <c r="J23" s="47"/>
      <c r="K23" s="47"/>
      <c r="L23" s="57"/>
      <c r="M23" s="57"/>
      <c r="N23" s="47"/>
      <c r="O23" s="47"/>
      <c r="P23" s="298"/>
    </row>
    <row r="24" spans="1:16" ht="20.100000000000001" customHeight="1" x14ac:dyDescent="0.25">
      <c r="A24" s="296"/>
      <c r="B24" s="47"/>
      <c r="C24" s="354">
        <v>16</v>
      </c>
      <c r="D24" s="355"/>
      <c r="E24" s="355"/>
      <c r="F24" s="359"/>
      <c r="G24" s="47"/>
      <c r="H24" s="47"/>
      <c r="I24" s="47"/>
      <c r="J24" s="47"/>
      <c r="K24" s="47"/>
      <c r="L24" s="57"/>
      <c r="M24" s="57"/>
      <c r="N24" s="47"/>
      <c r="O24" s="47"/>
      <c r="P24" s="298"/>
    </row>
    <row r="25" spans="1:16" ht="20.100000000000001" customHeight="1" x14ac:dyDescent="0.25">
      <c r="A25" s="296"/>
      <c r="B25" s="47"/>
      <c r="C25" s="330">
        <v>17</v>
      </c>
      <c r="D25" s="331"/>
      <c r="E25" s="331"/>
      <c r="F25" s="337"/>
      <c r="G25" s="47"/>
      <c r="H25" s="47"/>
      <c r="I25" s="47"/>
      <c r="J25" s="47"/>
      <c r="K25" s="47"/>
      <c r="L25" s="57"/>
      <c r="M25" s="57"/>
      <c r="N25" s="47"/>
      <c r="O25" s="47"/>
      <c r="P25" s="298"/>
    </row>
    <row r="26" spans="1:16" ht="20.100000000000001" customHeight="1" x14ac:dyDescent="0.25">
      <c r="A26" s="296"/>
      <c r="B26" s="47"/>
      <c r="C26" s="330">
        <v>18</v>
      </c>
      <c r="D26" s="331"/>
      <c r="E26" s="331"/>
      <c r="F26" s="337"/>
      <c r="G26" s="47"/>
      <c r="H26" s="47"/>
      <c r="I26" s="47"/>
      <c r="J26" s="47"/>
      <c r="K26" s="47"/>
      <c r="L26" s="57"/>
      <c r="M26" s="57"/>
      <c r="N26" s="47"/>
      <c r="O26" s="47"/>
      <c r="P26" s="298"/>
    </row>
    <row r="27" spans="1:16" ht="20.100000000000001" customHeight="1" x14ac:dyDescent="0.25">
      <c r="A27" s="296"/>
      <c r="B27" s="47"/>
      <c r="C27" s="330">
        <v>19</v>
      </c>
      <c r="D27" s="331"/>
      <c r="E27" s="331"/>
      <c r="F27" s="337"/>
      <c r="G27" s="47"/>
      <c r="H27" s="47"/>
      <c r="I27" s="47"/>
      <c r="J27" s="47"/>
      <c r="K27" s="47"/>
      <c r="L27" s="47"/>
      <c r="M27" s="47"/>
      <c r="N27" s="47"/>
      <c r="O27" s="47"/>
      <c r="P27" s="298"/>
    </row>
    <row r="28" spans="1:16" ht="20.100000000000001" customHeight="1" x14ac:dyDescent="0.25">
      <c r="A28" s="296"/>
      <c r="B28" s="47"/>
      <c r="C28" s="330">
        <v>20</v>
      </c>
      <c r="D28" s="331"/>
      <c r="E28" s="331"/>
      <c r="F28" s="337"/>
      <c r="G28" s="47"/>
      <c r="H28" s="47"/>
      <c r="I28" s="47"/>
      <c r="J28" s="47"/>
      <c r="K28" s="47"/>
      <c r="L28" s="47"/>
      <c r="M28" s="47"/>
      <c r="N28" s="47"/>
      <c r="O28" s="47"/>
      <c r="P28" s="298"/>
    </row>
    <row r="29" spans="1:16" ht="20.100000000000001" hidden="1" customHeight="1" outlineLevel="1" x14ac:dyDescent="0.25">
      <c r="A29" s="296"/>
      <c r="B29" s="47"/>
      <c r="C29" s="330">
        <v>21</v>
      </c>
      <c r="D29" s="331"/>
      <c r="E29" s="331"/>
      <c r="F29" s="337"/>
      <c r="G29" s="47"/>
      <c r="H29" s="47"/>
      <c r="I29" s="47"/>
      <c r="J29" s="47"/>
      <c r="K29" s="47"/>
      <c r="L29" s="47"/>
      <c r="M29" s="47"/>
      <c r="N29" s="47"/>
      <c r="O29" s="47"/>
      <c r="P29" s="298"/>
    </row>
    <row r="30" spans="1:16" ht="20.100000000000001" hidden="1" customHeight="1" outlineLevel="1" x14ac:dyDescent="0.25">
      <c r="A30" s="296"/>
      <c r="B30" s="47"/>
      <c r="C30" s="330">
        <v>22</v>
      </c>
      <c r="D30" s="331"/>
      <c r="E30" s="331"/>
      <c r="F30" s="337"/>
      <c r="G30" s="47"/>
      <c r="H30" s="47"/>
      <c r="I30" s="47"/>
      <c r="J30" s="47"/>
      <c r="K30" s="47"/>
      <c r="L30" s="47"/>
      <c r="M30" s="47"/>
      <c r="N30" s="47"/>
      <c r="O30" s="47"/>
      <c r="P30" s="298"/>
    </row>
    <row r="31" spans="1:16" ht="20.100000000000001" hidden="1" customHeight="1" outlineLevel="1" x14ac:dyDescent="0.25">
      <c r="A31" s="296"/>
      <c r="B31" s="47"/>
      <c r="C31" s="330">
        <v>23</v>
      </c>
      <c r="D31" s="331"/>
      <c r="E31" s="331"/>
      <c r="F31" s="337"/>
      <c r="G31" s="47"/>
      <c r="H31" s="47"/>
      <c r="I31" s="47"/>
      <c r="J31" s="47"/>
      <c r="K31" s="47"/>
      <c r="L31" s="47"/>
      <c r="M31" s="47"/>
      <c r="N31" s="47"/>
      <c r="O31" s="47"/>
      <c r="P31" s="298"/>
    </row>
    <row r="32" spans="1:16" ht="20.100000000000001" hidden="1" customHeight="1" outlineLevel="1" x14ac:dyDescent="0.25">
      <c r="A32" s="296"/>
      <c r="B32" s="47"/>
      <c r="C32" s="330">
        <v>24</v>
      </c>
      <c r="D32" s="331"/>
      <c r="E32" s="331"/>
      <c r="F32" s="337"/>
      <c r="G32" s="61"/>
      <c r="H32" s="61"/>
      <c r="I32" s="61"/>
      <c r="J32" s="61"/>
      <c r="K32" s="61"/>
      <c r="L32" s="47"/>
      <c r="M32" s="47"/>
      <c r="N32" s="47"/>
      <c r="O32" s="47"/>
      <c r="P32" s="298"/>
    </row>
    <row r="33" spans="1:16" ht="20.100000000000001" hidden="1" customHeight="1" outlineLevel="1" x14ac:dyDescent="0.25">
      <c r="A33" s="296"/>
      <c r="B33" s="47"/>
      <c r="C33" s="330">
        <v>25</v>
      </c>
      <c r="D33" s="331"/>
      <c r="E33" s="331"/>
      <c r="F33" s="337"/>
      <c r="G33" s="61"/>
      <c r="H33" s="61"/>
      <c r="I33" s="61"/>
      <c r="J33" s="61"/>
      <c r="K33" s="61"/>
      <c r="L33" s="47"/>
      <c r="M33" s="47"/>
      <c r="N33" s="47"/>
      <c r="O33" s="47"/>
      <c r="P33" s="298"/>
    </row>
    <row r="34" spans="1:16" ht="20.100000000000001" hidden="1" customHeight="1" outlineLevel="1" x14ac:dyDescent="0.25">
      <c r="A34" s="296"/>
      <c r="B34" s="47"/>
      <c r="C34" s="330">
        <v>26</v>
      </c>
      <c r="D34" s="331"/>
      <c r="E34" s="331"/>
      <c r="F34" s="337"/>
      <c r="G34" s="61"/>
      <c r="H34" s="61"/>
      <c r="I34" s="61"/>
      <c r="J34" s="61"/>
      <c r="K34" s="61"/>
      <c r="L34" s="47"/>
      <c r="M34" s="47"/>
      <c r="N34" s="47"/>
      <c r="O34" s="47"/>
      <c r="P34" s="298"/>
    </row>
    <row r="35" spans="1:16" ht="20.100000000000001" hidden="1" customHeight="1" outlineLevel="1" x14ac:dyDescent="0.25">
      <c r="A35" s="296"/>
      <c r="B35" s="47"/>
      <c r="C35" s="330">
        <v>27</v>
      </c>
      <c r="D35" s="331"/>
      <c r="E35" s="331"/>
      <c r="F35" s="337"/>
      <c r="G35" s="61"/>
      <c r="H35" s="61"/>
      <c r="I35" s="61"/>
      <c r="J35" s="61"/>
      <c r="K35" s="61"/>
      <c r="L35" s="47"/>
      <c r="M35" s="47"/>
      <c r="N35" s="47"/>
      <c r="O35" s="47"/>
      <c r="P35" s="298"/>
    </row>
    <row r="36" spans="1:16" ht="20.100000000000001" hidden="1" customHeight="1" outlineLevel="1" x14ac:dyDescent="0.25">
      <c r="A36" s="296"/>
      <c r="B36" s="47"/>
      <c r="C36" s="330">
        <v>28</v>
      </c>
      <c r="D36" s="331"/>
      <c r="E36" s="331"/>
      <c r="F36" s="337"/>
      <c r="G36" s="61"/>
      <c r="H36" s="61"/>
      <c r="I36" s="61"/>
      <c r="J36" s="61"/>
      <c r="K36" s="61"/>
      <c r="L36" s="47"/>
      <c r="M36" s="47"/>
      <c r="N36" s="47"/>
      <c r="O36" s="47"/>
      <c r="P36" s="298"/>
    </row>
    <row r="37" spans="1:16" ht="20.100000000000001" hidden="1" customHeight="1" outlineLevel="1" x14ac:dyDescent="0.25">
      <c r="A37" s="296"/>
      <c r="B37" s="47"/>
      <c r="C37" s="330">
        <v>29</v>
      </c>
      <c r="D37" s="331"/>
      <c r="E37" s="331"/>
      <c r="F37" s="337"/>
      <c r="G37" s="61"/>
      <c r="H37" s="61"/>
      <c r="I37" s="61"/>
      <c r="J37" s="61"/>
      <c r="K37" s="61"/>
      <c r="L37" s="47"/>
      <c r="M37" s="47"/>
      <c r="N37" s="47"/>
      <c r="O37" s="47"/>
      <c r="P37" s="298"/>
    </row>
    <row r="38" spans="1:16" ht="20.100000000000001" hidden="1" customHeight="1" outlineLevel="1" x14ac:dyDescent="0.25">
      <c r="A38" s="296"/>
      <c r="B38" s="47"/>
      <c r="C38" s="330">
        <v>30</v>
      </c>
      <c r="D38" s="331"/>
      <c r="E38" s="331"/>
      <c r="F38" s="337"/>
      <c r="G38" s="61"/>
      <c r="H38" s="61"/>
      <c r="I38" s="61"/>
      <c r="J38" s="61"/>
      <c r="K38" s="61"/>
      <c r="L38" s="61"/>
      <c r="M38" s="61"/>
      <c r="N38" s="61"/>
      <c r="O38" s="61"/>
      <c r="P38" s="298"/>
    </row>
    <row r="39" spans="1:16" ht="20.100000000000001" hidden="1" customHeight="1" outlineLevel="1" x14ac:dyDescent="0.25">
      <c r="A39" s="296"/>
      <c r="B39" s="47"/>
      <c r="C39" s="330">
        <v>31</v>
      </c>
      <c r="D39" s="331"/>
      <c r="E39" s="331"/>
      <c r="F39" s="337"/>
      <c r="G39" s="61"/>
      <c r="H39" s="61"/>
      <c r="I39" s="61"/>
      <c r="J39" s="61"/>
      <c r="K39" s="61"/>
      <c r="L39" s="61"/>
      <c r="M39" s="61"/>
      <c r="N39" s="61"/>
      <c r="O39" s="61"/>
      <c r="P39" s="298"/>
    </row>
    <row r="40" spans="1:16" ht="20.100000000000001" hidden="1" customHeight="1" outlineLevel="1" x14ac:dyDescent="0.25">
      <c r="A40" s="296"/>
      <c r="B40" s="47"/>
      <c r="C40" s="330">
        <v>32</v>
      </c>
      <c r="D40" s="331"/>
      <c r="E40" s="331"/>
      <c r="F40" s="337"/>
      <c r="G40" s="61"/>
      <c r="H40" s="61"/>
      <c r="I40" s="61"/>
      <c r="J40" s="61"/>
      <c r="K40" s="61"/>
      <c r="L40" s="61"/>
      <c r="M40" s="61"/>
      <c r="N40" s="61"/>
      <c r="O40" s="61"/>
      <c r="P40" s="298"/>
    </row>
    <row r="41" spans="1:16" ht="20.100000000000001" hidden="1" customHeight="1" outlineLevel="1" x14ac:dyDescent="0.25">
      <c r="A41" s="296"/>
      <c r="B41" s="47"/>
      <c r="C41" s="330">
        <v>33</v>
      </c>
      <c r="D41" s="331"/>
      <c r="E41" s="331"/>
      <c r="F41" s="337"/>
      <c r="G41" s="61"/>
      <c r="H41" s="61"/>
      <c r="I41" s="61"/>
      <c r="J41" s="61"/>
      <c r="K41" s="61"/>
      <c r="L41" s="61"/>
      <c r="M41" s="61"/>
      <c r="N41" s="61"/>
      <c r="O41" s="61"/>
      <c r="P41" s="298"/>
    </row>
    <row r="42" spans="1:16" ht="20.100000000000001" hidden="1" customHeight="1" outlineLevel="1" x14ac:dyDescent="0.25">
      <c r="A42" s="296"/>
      <c r="B42" s="47"/>
      <c r="C42" s="330">
        <v>34</v>
      </c>
      <c r="D42" s="331"/>
      <c r="E42" s="331"/>
      <c r="F42" s="337"/>
      <c r="G42" s="61"/>
      <c r="H42" s="61"/>
      <c r="I42" s="61"/>
      <c r="J42" s="61"/>
      <c r="K42" s="61"/>
      <c r="L42" s="61"/>
      <c r="M42" s="61"/>
      <c r="N42" s="61"/>
      <c r="O42" s="61"/>
      <c r="P42" s="298"/>
    </row>
    <row r="43" spans="1:16" ht="20.100000000000001" hidden="1" customHeight="1" outlineLevel="1" x14ac:dyDescent="0.25">
      <c r="A43" s="296"/>
      <c r="B43" s="47"/>
      <c r="C43" s="330">
        <v>35</v>
      </c>
      <c r="D43" s="331"/>
      <c r="E43" s="331"/>
      <c r="F43" s="337"/>
      <c r="G43" s="61"/>
      <c r="H43" s="61"/>
      <c r="I43" s="61"/>
      <c r="J43" s="61"/>
      <c r="K43" s="61"/>
      <c r="L43" s="61"/>
      <c r="M43" s="61"/>
      <c r="N43" s="61"/>
      <c r="O43" s="61"/>
      <c r="P43" s="298"/>
    </row>
    <row r="44" spans="1:16" ht="20.100000000000001" hidden="1" customHeight="1" outlineLevel="1" x14ac:dyDescent="0.25">
      <c r="A44" s="296"/>
      <c r="B44" s="47"/>
      <c r="C44" s="330">
        <v>36</v>
      </c>
      <c r="D44" s="331"/>
      <c r="E44" s="331"/>
      <c r="F44" s="337"/>
      <c r="G44" s="61"/>
      <c r="H44" s="61"/>
      <c r="I44" s="61"/>
      <c r="J44" s="61"/>
      <c r="K44" s="61"/>
      <c r="L44" s="61"/>
      <c r="M44" s="61"/>
      <c r="N44" s="61"/>
      <c r="O44" s="61"/>
      <c r="P44" s="298"/>
    </row>
    <row r="45" spans="1:16" ht="20.100000000000001" hidden="1" customHeight="1" outlineLevel="1" x14ac:dyDescent="0.25">
      <c r="A45" s="296"/>
      <c r="B45" s="47"/>
      <c r="C45" s="330">
        <v>37</v>
      </c>
      <c r="D45" s="331"/>
      <c r="E45" s="331"/>
      <c r="F45" s="337"/>
      <c r="G45" s="61"/>
      <c r="H45" s="61"/>
      <c r="I45" s="61"/>
      <c r="J45" s="61"/>
      <c r="K45" s="61"/>
      <c r="L45" s="61"/>
      <c r="M45" s="61"/>
      <c r="N45" s="61"/>
      <c r="O45" s="61"/>
      <c r="P45" s="298"/>
    </row>
    <row r="46" spans="1:16" ht="20.100000000000001" hidden="1" customHeight="1" outlineLevel="1" x14ac:dyDescent="0.25">
      <c r="A46" s="296"/>
      <c r="B46" s="47"/>
      <c r="C46" s="330">
        <v>38</v>
      </c>
      <c r="D46" s="331"/>
      <c r="E46" s="331"/>
      <c r="F46" s="337"/>
      <c r="G46" s="61"/>
      <c r="H46" s="61"/>
      <c r="I46" s="61"/>
      <c r="J46" s="61"/>
      <c r="K46" s="61"/>
      <c r="L46" s="61"/>
      <c r="M46" s="61"/>
      <c r="N46" s="61"/>
      <c r="O46" s="61"/>
      <c r="P46" s="298"/>
    </row>
    <row r="47" spans="1:16" ht="20.100000000000001" hidden="1" customHeight="1" outlineLevel="1" x14ac:dyDescent="0.25">
      <c r="A47" s="296"/>
      <c r="B47" s="47"/>
      <c r="C47" s="330">
        <v>39</v>
      </c>
      <c r="D47" s="331"/>
      <c r="E47" s="331"/>
      <c r="F47" s="337"/>
      <c r="G47" s="61"/>
      <c r="H47" s="61"/>
      <c r="I47" s="61"/>
      <c r="J47" s="61"/>
      <c r="K47" s="61"/>
      <c r="L47" s="61"/>
      <c r="M47" s="61"/>
      <c r="N47" s="61"/>
      <c r="O47" s="61"/>
      <c r="P47" s="298"/>
    </row>
    <row r="48" spans="1:16" ht="20.100000000000001" hidden="1" customHeight="1" outlineLevel="1" x14ac:dyDescent="0.25">
      <c r="A48" s="296"/>
      <c r="B48" s="47"/>
      <c r="C48" s="330">
        <v>40</v>
      </c>
      <c r="D48" s="331"/>
      <c r="E48" s="331"/>
      <c r="F48" s="337"/>
      <c r="G48" s="61"/>
      <c r="H48" s="61"/>
      <c r="I48" s="61"/>
      <c r="J48" s="61"/>
      <c r="K48" s="61"/>
      <c r="L48" s="61"/>
      <c r="M48" s="61"/>
      <c r="N48" s="61"/>
      <c r="O48" s="61"/>
      <c r="P48" s="298"/>
    </row>
    <row r="49" spans="1:16" ht="20.100000000000001" hidden="1" customHeight="1" outlineLevel="1" x14ac:dyDescent="0.25">
      <c r="A49" s="296"/>
      <c r="B49" s="47"/>
      <c r="C49" s="330">
        <v>41</v>
      </c>
      <c r="D49" s="331"/>
      <c r="E49" s="331"/>
      <c r="F49" s="337"/>
      <c r="G49" s="61"/>
      <c r="H49" s="61"/>
      <c r="I49" s="61"/>
      <c r="J49" s="61"/>
      <c r="K49" s="61"/>
      <c r="L49" s="61"/>
      <c r="M49" s="61"/>
      <c r="N49" s="61"/>
      <c r="O49" s="61"/>
      <c r="P49" s="298"/>
    </row>
    <row r="50" spans="1:16" ht="20.100000000000001" hidden="1" customHeight="1" outlineLevel="1" x14ac:dyDescent="0.25">
      <c r="A50" s="296"/>
      <c r="B50" s="47"/>
      <c r="C50" s="330">
        <v>42</v>
      </c>
      <c r="D50" s="331"/>
      <c r="E50" s="331"/>
      <c r="F50" s="337"/>
      <c r="G50" s="61"/>
      <c r="H50" s="61"/>
      <c r="I50" s="61"/>
      <c r="J50" s="61"/>
      <c r="K50" s="61"/>
      <c r="L50" s="61"/>
      <c r="M50" s="61"/>
      <c r="N50" s="61"/>
      <c r="O50" s="61"/>
      <c r="P50" s="298"/>
    </row>
    <row r="51" spans="1:16" ht="20.100000000000001" hidden="1" customHeight="1" outlineLevel="1" x14ac:dyDescent="0.25">
      <c r="A51" s="296"/>
      <c r="B51" s="47"/>
      <c r="C51" s="330">
        <v>43</v>
      </c>
      <c r="D51" s="331"/>
      <c r="E51" s="331"/>
      <c r="F51" s="337"/>
      <c r="G51" s="61"/>
      <c r="H51" s="61"/>
      <c r="I51" s="61"/>
      <c r="J51" s="61"/>
      <c r="K51" s="61"/>
      <c r="L51" s="61"/>
      <c r="M51" s="61"/>
      <c r="N51" s="61"/>
      <c r="O51" s="61"/>
      <c r="P51" s="298"/>
    </row>
    <row r="52" spans="1:16" ht="20.100000000000001" hidden="1" customHeight="1" outlineLevel="1" x14ac:dyDescent="0.25">
      <c r="A52" s="296"/>
      <c r="B52" s="47"/>
      <c r="C52" s="330">
        <v>44</v>
      </c>
      <c r="D52" s="331"/>
      <c r="E52" s="331"/>
      <c r="F52" s="337"/>
      <c r="G52" s="61"/>
      <c r="H52" s="61"/>
      <c r="I52" s="61"/>
      <c r="J52" s="61"/>
      <c r="K52" s="61"/>
      <c r="L52" s="61"/>
      <c r="M52" s="61"/>
      <c r="N52" s="61"/>
      <c r="O52" s="61"/>
      <c r="P52" s="298"/>
    </row>
    <row r="53" spans="1:16" ht="20.100000000000001" hidden="1" customHeight="1" outlineLevel="1" x14ac:dyDescent="0.25">
      <c r="A53" s="296"/>
      <c r="B53" s="47"/>
      <c r="C53" s="330">
        <v>45</v>
      </c>
      <c r="D53" s="331"/>
      <c r="E53" s="331"/>
      <c r="F53" s="337"/>
      <c r="G53" s="61"/>
      <c r="H53" s="61"/>
      <c r="I53" s="61"/>
      <c r="J53" s="61"/>
      <c r="K53" s="61"/>
      <c r="L53" s="61"/>
      <c r="M53" s="61"/>
      <c r="N53" s="61"/>
      <c r="O53" s="61"/>
      <c r="P53" s="298"/>
    </row>
    <row r="54" spans="1:16" ht="20.100000000000001" hidden="1" customHeight="1" outlineLevel="1" x14ac:dyDescent="0.25">
      <c r="A54" s="296"/>
      <c r="B54" s="47"/>
      <c r="C54" s="330">
        <v>46</v>
      </c>
      <c r="D54" s="331"/>
      <c r="E54" s="331"/>
      <c r="F54" s="337"/>
      <c r="G54" s="61"/>
      <c r="H54" s="61"/>
      <c r="I54" s="61"/>
      <c r="J54" s="61"/>
      <c r="K54" s="61"/>
      <c r="L54" s="61"/>
      <c r="M54" s="61"/>
      <c r="N54" s="61"/>
      <c r="O54" s="61"/>
      <c r="P54" s="298"/>
    </row>
    <row r="55" spans="1:16" ht="20.100000000000001" hidden="1" customHeight="1" outlineLevel="1" x14ac:dyDescent="0.25">
      <c r="A55" s="296"/>
      <c r="B55" s="47"/>
      <c r="C55" s="330">
        <v>47</v>
      </c>
      <c r="D55" s="331"/>
      <c r="E55" s="331"/>
      <c r="F55" s="337"/>
      <c r="G55" s="61"/>
      <c r="H55" s="61"/>
      <c r="I55" s="61"/>
      <c r="J55" s="61"/>
      <c r="K55" s="61"/>
      <c r="L55" s="61"/>
      <c r="M55" s="61"/>
      <c r="N55" s="61"/>
      <c r="O55" s="61"/>
      <c r="P55" s="298"/>
    </row>
    <row r="56" spans="1:16" ht="20.100000000000001" hidden="1" customHeight="1" outlineLevel="1" x14ac:dyDescent="0.25">
      <c r="A56" s="296"/>
      <c r="B56" s="47"/>
      <c r="C56" s="330">
        <v>48</v>
      </c>
      <c r="D56" s="331"/>
      <c r="E56" s="331"/>
      <c r="F56" s="337"/>
      <c r="G56" s="61"/>
      <c r="H56" s="61"/>
      <c r="I56" s="61"/>
      <c r="J56" s="61"/>
      <c r="K56" s="61"/>
      <c r="L56" s="61"/>
      <c r="M56" s="61"/>
      <c r="N56" s="61"/>
      <c r="O56" s="61"/>
      <c r="P56" s="298"/>
    </row>
    <row r="57" spans="1:16" ht="20.100000000000001" hidden="1" customHeight="1" outlineLevel="1" x14ac:dyDescent="0.25">
      <c r="A57" s="296"/>
      <c r="B57" s="47"/>
      <c r="C57" s="330">
        <v>49</v>
      </c>
      <c r="D57" s="331"/>
      <c r="E57" s="331"/>
      <c r="F57" s="337"/>
      <c r="G57" s="61"/>
      <c r="H57" s="61"/>
      <c r="I57" s="61"/>
      <c r="J57" s="61"/>
      <c r="K57" s="61"/>
      <c r="L57" s="61"/>
      <c r="M57" s="61"/>
      <c r="N57" s="61"/>
      <c r="O57" s="61"/>
      <c r="P57" s="298"/>
    </row>
    <row r="58" spans="1:16" ht="20.100000000000001" hidden="1" customHeight="1" outlineLevel="1" x14ac:dyDescent="0.25">
      <c r="A58" s="296"/>
      <c r="B58" s="47"/>
      <c r="C58" s="330">
        <v>50</v>
      </c>
      <c r="D58" s="331"/>
      <c r="E58" s="331"/>
      <c r="F58" s="337"/>
      <c r="G58" s="61"/>
      <c r="H58" s="61"/>
      <c r="I58" s="61"/>
      <c r="J58" s="61"/>
      <c r="K58" s="61"/>
      <c r="L58" s="61"/>
      <c r="M58" s="61"/>
      <c r="N58" s="61"/>
      <c r="O58" s="61"/>
      <c r="P58" s="298"/>
    </row>
    <row r="59" spans="1:16" ht="20.100000000000001" hidden="1" customHeight="1" outlineLevel="1" x14ac:dyDescent="0.25">
      <c r="A59" s="296"/>
      <c r="B59" s="47"/>
      <c r="C59" s="330">
        <v>51</v>
      </c>
      <c r="D59" s="331"/>
      <c r="E59" s="331"/>
      <c r="F59" s="337"/>
      <c r="G59" s="61"/>
      <c r="H59" s="61"/>
      <c r="I59" s="61"/>
      <c r="J59" s="61"/>
      <c r="K59" s="61"/>
      <c r="L59" s="61"/>
      <c r="M59" s="61"/>
      <c r="N59" s="61"/>
      <c r="O59" s="61"/>
      <c r="P59" s="298"/>
    </row>
    <row r="60" spans="1:16" ht="20.100000000000001" hidden="1" customHeight="1" outlineLevel="1" x14ac:dyDescent="0.25">
      <c r="A60" s="296"/>
      <c r="B60" s="47"/>
      <c r="C60" s="330">
        <v>52</v>
      </c>
      <c r="D60" s="331"/>
      <c r="E60" s="331"/>
      <c r="F60" s="337"/>
      <c r="G60" s="61"/>
      <c r="H60" s="61"/>
      <c r="I60" s="61"/>
      <c r="J60" s="61"/>
      <c r="K60" s="61"/>
      <c r="L60" s="61"/>
      <c r="M60" s="61"/>
      <c r="N60" s="61"/>
      <c r="O60" s="61"/>
      <c r="P60" s="298"/>
    </row>
    <row r="61" spans="1:16" ht="20.100000000000001" hidden="1" customHeight="1" outlineLevel="1" x14ac:dyDescent="0.25">
      <c r="A61" s="296"/>
      <c r="B61" s="47"/>
      <c r="C61" s="330">
        <v>53</v>
      </c>
      <c r="D61" s="331"/>
      <c r="E61" s="331"/>
      <c r="F61" s="337"/>
      <c r="G61" s="61"/>
      <c r="H61" s="61"/>
      <c r="I61" s="61"/>
      <c r="J61" s="61"/>
      <c r="K61" s="61"/>
      <c r="L61" s="61"/>
      <c r="M61" s="61"/>
      <c r="N61" s="61"/>
      <c r="O61" s="61"/>
      <c r="P61" s="298"/>
    </row>
    <row r="62" spans="1:16" ht="20.100000000000001" hidden="1" customHeight="1" outlineLevel="1" x14ac:dyDescent="0.25">
      <c r="A62" s="296"/>
      <c r="B62" s="47"/>
      <c r="C62" s="330">
        <v>54</v>
      </c>
      <c r="D62" s="331"/>
      <c r="E62" s="331"/>
      <c r="F62" s="337"/>
      <c r="G62" s="61"/>
      <c r="H62" s="61"/>
      <c r="I62" s="61"/>
      <c r="J62" s="61"/>
      <c r="K62" s="61"/>
      <c r="L62" s="61"/>
      <c r="M62" s="61"/>
      <c r="N62" s="61"/>
      <c r="O62" s="61"/>
      <c r="P62" s="298"/>
    </row>
    <row r="63" spans="1:16" ht="20.100000000000001" hidden="1" customHeight="1" outlineLevel="1" x14ac:dyDescent="0.25">
      <c r="A63" s="296"/>
      <c r="B63" s="47"/>
      <c r="C63" s="330">
        <v>55</v>
      </c>
      <c r="D63" s="331"/>
      <c r="E63" s="331"/>
      <c r="F63" s="337"/>
      <c r="G63" s="61"/>
      <c r="H63" s="61"/>
      <c r="I63" s="61"/>
      <c r="J63" s="61"/>
      <c r="K63" s="61"/>
      <c r="L63" s="61"/>
      <c r="M63" s="61"/>
      <c r="N63" s="61"/>
      <c r="O63" s="61"/>
      <c r="P63" s="298"/>
    </row>
    <row r="64" spans="1:16" ht="20.100000000000001" hidden="1" customHeight="1" outlineLevel="1" x14ac:dyDescent="0.25">
      <c r="A64" s="296"/>
      <c r="B64" s="47"/>
      <c r="C64" s="330">
        <v>56</v>
      </c>
      <c r="D64" s="331"/>
      <c r="E64" s="331"/>
      <c r="F64" s="337"/>
      <c r="G64" s="61"/>
      <c r="H64" s="61"/>
      <c r="I64" s="61"/>
      <c r="J64" s="61"/>
      <c r="K64" s="61"/>
      <c r="L64" s="61"/>
      <c r="M64" s="61"/>
      <c r="N64" s="61"/>
      <c r="O64" s="61"/>
      <c r="P64" s="298"/>
    </row>
    <row r="65" spans="1:16" ht="20.100000000000001" hidden="1" customHeight="1" outlineLevel="1" x14ac:dyDescent="0.25">
      <c r="A65" s="296"/>
      <c r="B65" s="47"/>
      <c r="C65" s="330">
        <v>57</v>
      </c>
      <c r="D65" s="331"/>
      <c r="E65" s="331"/>
      <c r="F65" s="337"/>
      <c r="G65" s="61"/>
      <c r="H65" s="61"/>
      <c r="I65" s="61"/>
      <c r="J65" s="61"/>
      <c r="K65" s="61"/>
      <c r="L65" s="61"/>
      <c r="M65" s="61"/>
      <c r="N65" s="61"/>
      <c r="O65" s="61"/>
      <c r="P65" s="298"/>
    </row>
    <row r="66" spans="1:16" ht="20.100000000000001" hidden="1" customHeight="1" outlineLevel="1" x14ac:dyDescent="0.25">
      <c r="A66" s="296"/>
      <c r="B66" s="47"/>
      <c r="C66" s="330">
        <v>58</v>
      </c>
      <c r="D66" s="331"/>
      <c r="E66" s="331"/>
      <c r="F66" s="337"/>
      <c r="G66" s="61"/>
      <c r="H66" s="61"/>
      <c r="I66" s="61"/>
      <c r="J66" s="61"/>
      <c r="K66" s="61"/>
      <c r="L66" s="61"/>
      <c r="M66" s="61"/>
      <c r="N66" s="61"/>
      <c r="O66" s="61"/>
      <c r="P66" s="298"/>
    </row>
    <row r="67" spans="1:16" ht="20.100000000000001" hidden="1" customHeight="1" outlineLevel="1" x14ac:dyDescent="0.25">
      <c r="A67" s="296"/>
      <c r="B67" s="47"/>
      <c r="C67" s="330">
        <v>59</v>
      </c>
      <c r="D67" s="331"/>
      <c r="E67" s="331"/>
      <c r="F67" s="337"/>
      <c r="G67" s="61"/>
      <c r="H67" s="61"/>
      <c r="I67" s="61"/>
      <c r="J67" s="61"/>
      <c r="K67" s="61"/>
      <c r="L67" s="61"/>
      <c r="M67" s="61"/>
      <c r="N67" s="61"/>
      <c r="O67" s="61"/>
      <c r="P67" s="298"/>
    </row>
    <row r="68" spans="1:16" ht="20.100000000000001" hidden="1" customHeight="1" outlineLevel="1" x14ac:dyDescent="0.25">
      <c r="A68" s="296"/>
      <c r="B68" s="47"/>
      <c r="C68" s="330">
        <v>60</v>
      </c>
      <c r="D68" s="331"/>
      <c r="E68" s="331"/>
      <c r="F68" s="337"/>
      <c r="G68" s="61"/>
      <c r="H68" s="61"/>
      <c r="I68" s="61"/>
      <c r="J68" s="61"/>
      <c r="K68" s="61"/>
      <c r="L68" s="61"/>
      <c r="M68" s="61"/>
      <c r="N68" s="61"/>
      <c r="O68" s="61"/>
      <c r="P68" s="298"/>
    </row>
    <row r="69" spans="1:16" ht="20.100000000000001" hidden="1" customHeight="1" outlineLevel="1" x14ac:dyDescent="0.25">
      <c r="A69" s="296"/>
      <c r="B69" s="47"/>
      <c r="C69" s="330">
        <v>61</v>
      </c>
      <c r="D69" s="331"/>
      <c r="E69" s="331"/>
      <c r="F69" s="337"/>
      <c r="G69" s="61"/>
      <c r="H69" s="61"/>
      <c r="I69" s="61"/>
      <c r="J69" s="61"/>
      <c r="K69" s="61"/>
      <c r="L69" s="61"/>
      <c r="M69" s="61"/>
      <c r="N69" s="61"/>
      <c r="O69" s="61"/>
      <c r="P69" s="298"/>
    </row>
    <row r="70" spans="1:16" ht="20.100000000000001" hidden="1" customHeight="1" outlineLevel="1" x14ac:dyDescent="0.25">
      <c r="A70" s="296"/>
      <c r="B70" s="47"/>
      <c r="C70" s="330">
        <v>62</v>
      </c>
      <c r="D70" s="331"/>
      <c r="E70" s="331"/>
      <c r="F70" s="337"/>
      <c r="G70" s="61"/>
      <c r="H70" s="61"/>
      <c r="I70" s="61"/>
      <c r="J70" s="61"/>
      <c r="K70" s="61"/>
      <c r="L70" s="61"/>
      <c r="M70" s="61"/>
      <c r="N70" s="61"/>
      <c r="O70" s="61"/>
      <c r="P70" s="298"/>
    </row>
    <row r="71" spans="1:16" ht="20.100000000000001" hidden="1" customHeight="1" outlineLevel="1" x14ac:dyDescent="0.25">
      <c r="A71" s="296"/>
      <c r="B71" s="47"/>
      <c r="C71" s="330">
        <v>63</v>
      </c>
      <c r="D71" s="331"/>
      <c r="E71" s="331"/>
      <c r="F71" s="337"/>
      <c r="G71" s="61"/>
      <c r="H71" s="61"/>
      <c r="I71" s="61"/>
      <c r="J71" s="61"/>
      <c r="K71" s="61"/>
      <c r="L71" s="61"/>
      <c r="M71" s="61"/>
      <c r="N71" s="61"/>
      <c r="O71" s="61"/>
      <c r="P71" s="298"/>
    </row>
    <row r="72" spans="1:16" ht="20.100000000000001" hidden="1" customHeight="1" outlineLevel="1" x14ac:dyDescent="0.25">
      <c r="A72" s="296"/>
      <c r="B72" s="47"/>
      <c r="C72" s="330">
        <v>64</v>
      </c>
      <c r="D72" s="331"/>
      <c r="E72" s="331"/>
      <c r="F72" s="337"/>
      <c r="G72" s="61"/>
      <c r="H72" s="61"/>
      <c r="I72" s="61"/>
      <c r="J72" s="61"/>
      <c r="K72" s="61"/>
      <c r="L72" s="61"/>
      <c r="M72" s="61"/>
      <c r="N72" s="61"/>
      <c r="O72" s="61"/>
      <c r="P72" s="298"/>
    </row>
    <row r="73" spans="1:16" ht="20.100000000000001" hidden="1" customHeight="1" outlineLevel="1" x14ac:dyDescent="0.25">
      <c r="A73" s="296"/>
      <c r="B73" s="47"/>
      <c r="C73" s="330">
        <v>65</v>
      </c>
      <c r="D73" s="331"/>
      <c r="E73" s="331"/>
      <c r="F73" s="337"/>
      <c r="G73" s="61"/>
      <c r="H73" s="61"/>
      <c r="I73" s="61"/>
      <c r="J73" s="61"/>
      <c r="K73" s="61"/>
      <c r="L73" s="61"/>
      <c r="M73" s="61"/>
      <c r="N73" s="61"/>
      <c r="O73" s="61"/>
      <c r="P73" s="298"/>
    </row>
    <row r="74" spans="1:16" ht="20.100000000000001" hidden="1" customHeight="1" outlineLevel="1" x14ac:dyDescent="0.25">
      <c r="A74" s="296"/>
      <c r="B74" s="47"/>
      <c r="C74" s="330">
        <v>66</v>
      </c>
      <c r="D74" s="331"/>
      <c r="E74" s="331"/>
      <c r="F74" s="337"/>
      <c r="G74" s="61"/>
      <c r="H74" s="61"/>
      <c r="I74" s="61"/>
      <c r="J74" s="61"/>
      <c r="K74" s="61"/>
      <c r="L74" s="61"/>
      <c r="M74" s="61"/>
      <c r="N74" s="61"/>
      <c r="O74" s="61"/>
      <c r="P74" s="298"/>
    </row>
    <row r="75" spans="1:16" ht="20.100000000000001" hidden="1" customHeight="1" outlineLevel="1" x14ac:dyDescent="0.25">
      <c r="A75" s="296"/>
      <c r="B75" s="47"/>
      <c r="C75" s="330">
        <v>67</v>
      </c>
      <c r="D75" s="331"/>
      <c r="E75" s="331"/>
      <c r="F75" s="337"/>
      <c r="G75" s="61"/>
      <c r="H75" s="61"/>
      <c r="I75" s="61"/>
      <c r="J75" s="61"/>
      <c r="K75" s="61"/>
      <c r="L75" s="61"/>
      <c r="M75" s="61"/>
      <c r="N75" s="61"/>
      <c r="O75" s="61"/>
      <c r="P75" s="298"/>
    </row>
    <row r="76" spans="1:16" ht="20.100000000000001" hidden="1" customHeight="1" outlineLevel="1" x14ac:dyDescent="0.25">
      <c r="A76" s="296"/>
      <c r="B76" s="47"/>
      <c r="C76" s="330">
        <v>68</v>
      </c>
      <c r="D76" s="331"/>
      <c r="E76" s="331"/>
      <c r="F76" s="337"/>
      <c r="G76" s="61"/>
      <c r="H76" s="61"/>
      <c r="I76" s="61"/>
      <c r="J76" s="61"/>
      <c r="K76" s="61"/>
      <c r="L76" s="61"/>
      <c r="M76" s="61"/>
      <c r="N76" s="61"/>
      <c r="O76" s="61"/>
      <c r="P76" s="298"/>
    </row>
    <row r="77" spans="1:16" ht="20.100000000000001" hidden="1" customHeight="1" outlineLevel="1" x14ac:dyDescent="0.25">
      <c r="A77" s="296"/>
      <c r="B77" s="47"/>
      <c r="C77" s="330">
        <v>69</v>
      </c>
      <c r="D77" s="331"/>
      <c r="E77" s="331"/>
      <c r="F77" s="337"/>
      <c r="G77" s="61"/>
      <c r="H77" s="61"/>
      <c r="I77" s="61"/>
      <c r="J77" s="61"/>
      <c r="K77" s="61"/>
      <c r="L77" s="61"/>
      <c r="M77" s="61"/>
      <c r="N77" s="61"/>
      <c r="O77" s="61"/>
      <c r="P77" s="298"/>
    </row>
    <row r="78" spans="1:16" ht="20.100000000000001" hidden="1" customHeight="1" outlineLevel="1" x14ac:dyDescent="0.25">
      <c r="A78" s="296"/>
      <c r="B78" s="47"/>
      <c r="C78" s="330">
        <v>70</v>
      </c>
      <c r="D78" s="331"/>
      <c r="E78" s="331"/>
      <c r="F78" s="337"/>
      <c r="G78" s="61"/>
      <c r="H78" s="61"/>
      <c r="I78" s="61"/>
      <c r="J78" s="61"/>
      <c r="K78" s="61"/>
      <c r="L78" s="61"/>
      <c r="M78" s="61"/>
      <c r="N78" s="61"/>
      <c r="O78" s="61"/>
      <c r="P78" s="298"/>
    </row>
    <row r="79" spans="1:16" ht="20.100000000000001" hidden="1" customHeight="1" outlineLevel="1" x14ac:dyDescent="0.25">
      <c r="A79" s="296"/>
      <c r="B79" s="47"/>
      <c r="C79" s="330">
        <v>71</v>
      </c>
      <c r="D79" s="331"/>
      <c r="E79" s="331"/>
      <c r="F79" s="337"/>
      <c r="G79" s="61"/>
      <c r="H79" s="61"/>
      <c r="I79" s="61"/>
      <c r="J79" s="61"/>
      <c r="K79" s="61"/>
      <c r="L79" s="61"/>
      <c r="M79" s="61"/>
      <c r="N79" s="61"/>
      <c r="O79" s="61"/>
      <c r="P79" s="298"/>
    </row>
    <row r="80" spans="1:16" ht="20.100000000000001" hidden="1" customHeight="1" outlineLevel="1" x14ac:dyDescent="0.25">
      <c r="A80" s="296"/>
      <c r="B80" s="47"/>
      <c r="C80" s="330">
        <v>72</v>
      </c>
      <c r="D80" s="331"/>
      <c r="E80" s="331"/>
      <c r="F80" s="337"/>
      <c r="G80" s="61"/>
      <c r="H80" s="61"/>
      <c r="I80" s="61"/>
      <c r="J80" s="61"/>
      <c r="K80" s="61"/>
      <c r="L80" s="61"/>
      <c r="M80" s="61"/>
      <c r="N80" s="61"/>
      <c r="O80" s="61"/>
      <c r="P80" s="298"/>
    </row>
    <row r="81" spans="1:16" ht="20.100000000000001" hidden="1" customHeight="1" outlineLevel="1" x14ac:dyDescent="0.25">
      <c r="A81" s="296"/>
      <c r="B81" s="47"/>
      <c r="C81" s="330">
        <v>73</v>
      </c>
      <c r="D81" s="331"/>
      <c r="E81" s="331"/>
      <c r="F81" s="337"/>
      <c r="G81" s="61"/>
      <c r="H81" s="61"/>
      <c r="I81" s="61"/>
      <c r="J81" s="61"/>
      <c r="K81" s="61"/>
      <c r="L81" s="61"/>
      <c r="M81" s="61"/>
      <c r="N81" s="61"/>
      <c r="O81" s="61"/>
      <c r="P81" s="298"/>
    </row>
    <row r="82" spans="1:16" ht="20.100000000000001" hidden="1" customHeight="1" outlineLevel="1" x14ac:dyDescent="0.25">
      <c r="A82" s="296"/>
      <c r="B82" s="47"/>
      <c r="C82" s="330">
        <v>74</v>
      </c>
      <c r="D82" s="331"/>
      <c r="E82" s="331"/>
      <c r="F82" s="337"/>
      <c r="G82" s="61"/>
      <c r="H82" s="61"/>
      <c r="I82" s="61"/>
      <c r="J82" s="61"/>
      <c r="K82" s="61"/>
      <c r="L82" s="61"/>
      <c r="M82" s="61"/>
      <c r="N82" s="61"/>
      <c r="O82" s="61"/>
      <c r="P82" s="298"/>
    </row>
    <row r="83" spans="1:16" ht="20.100000000000001" hidden="1" customHeight="1" outlineLevel="1" x14ac:dyDescent="0.25">
      <c r="A83" s="296"/>
      <c r="B83" s="47"/>
      <c r="C83" s="330">
        <v>75</v>
      </c>
      <c r="D83" s="331"/>
      <c r="E83" s="331"/>
      <c r="F83" s="337"/>
      <c r="G83" s="61"/>
      <c r="H83" s="61"/>
      <c r="I83" s="61"/>
      <c r="J83" s="61"/>
      <c r="K83" s="61"/>
      <c r="L83" s="61"/>
      <c r="M83" s="61"/>
      <c r="N83" s="61"/>
      <c r="O83" s="61"/>
      <c r="P83" s="298"/>
    </row>
    <row r="84" spans="1:16" ht="20.100000000000001" hidden="1" customHeight="1" outlineLevel="1" x14ac:dyDescent="0.25">
      <c r="A84" s="296"/>
      <c r="B84" s="47"/>
      <c r="C84" s="330">
        <v>76</v>
      </c>
      <c r="D84" s="331"/>
      <c r="E84" s="331"/>
      <c r="F84" s="337"/>
      <c r="G84" s="61"/>
      <c r="H84" s="61"/>
      <c r="I84" s="61"/>
      <c r="J84" s="61"/>
      <c r="K84" s="61"/>
      <c r="L84" s="61"/>
      <c r="M84" s="61"/>
      <c r="N84" s="61"/>
      <c r="O84" s="61"/>
      <c r="P84" s="298"/>
    </row>
    <row r="85" spans="1:16" ht="20.100000000000001" hidden="1" customHeight="1" outlineLevel="1" x14ac:dyDescent="0.25">
      <c r="A85" s="296"/>
      <c r="B85" s="47"/>
      <c r="C85" s="330">
        <v>77</v>
      </c>
      <c r="D85" s="331"/>
      <c r="E85" s="331"/>
      <c r="F85" s="337"/>
      <c r="G85" s="61"/>
      <c r="H85" s="61"/>
      <c r="I85" s="61"/>
      <c r="J85" s="61"/>
      <c r="K85" s="61"/>
      <c r="L85" s="61"/>
      <c r="M85" s="61"/>
      <c r="N85" s="61"/>
      <c r="O85" s="61"/>
      <c r="P85" s="298"/>
    </row>
    <row r="86" spans="1:16" ht="20.100000000000001" hidden="1" customHeight="1" outlineLevel="1" x14ac:dyDescent="0.25">
      <c r="A86" s="296"/>
      <c r="B86" s="47"/>
      <c r="C86" s="330">
        <v>78</v>
      </c>
      <c r="D86" s="331"/>
      <c r="E86" s="331"/>
      <c r="F86" s="337"/>
      <c r="G86" s="61"/>
      <c r="H86" s="61"/>
      <c r="I86" s="61"/>
      <c r="J86" s="61"/>
      <c r="K86" s="61"/>
      <c r="L86" s="61"/>
      <c r="M86" s="61"/>
      <c r="N86" s="61"/>
      <c r="O86" s="61"/>
      <c r="P86" s="298"/>
    </row>
    <row r="87" spans="1:16" ht="20.100000000000001" hidden="1" customHeight="1" outlineLevel="1" x14ac:dyDescent="0.25">
      <c r="A87" s="296"/>
      <c r="B87" s="47"/>
      <c r="C87" s="330">
        <v>79</v>
      </c>
      <c r="D87" s="331"/>
      <c r="E87" s="331"/>
      <c r="F87" s="337"/>
      <c r="G87" s="61"/>
      <c r="H87" s="61"/>
      <c r="I87" s="61"/>
      <c r="J87" s="61"/>
      <c r="K87" s="61"/>
      <c r="L87" s="61"/>
      <c r="M87" s="61"/>
      <c r="N87" s="61"/>
      <c r="O87" s="61"/>
      <c r="P87" s="298"/>
    </row>
    <row r="88" spans="1:16" ht="20.100000000000001" hidden="1" customHeight="1" outlineLevel="1" x14ac:dyDescent="0.25">
      <c r="A88" s="296"/>
      <c r="B88" s="47"/>
      <c r="C88" s="330">
        <v>80</v>
      </c>
      <c r="D88" s="331"/>
      <c r="E88" s="331"/>
      <c r="F88" s="337"/>
      <c r="G88" s="61"/>
      <c r="H88" s="61"/>
      <c r="I88" s="61"/>
      <c r="J88" s="61"/>
      <c r="K88" s="61"/>
      <c r="L88" s="61"/>
      <c r="M88" s="61"/>
      <c r="N88" s="61"/>
      <c r="O88" s="61"/>
      <c r="P88" s="298"/>
    </row>
    <row r="89" spans="1:16" ht="20.100000000000001" hidden="1" customHeight="1" outlineLevel="1" x14ac:dyDescent="0.25">
      <c r="A89" s="296"/>
      <c r="B89" s="47"/>
      <c r="C89" s="330">
        <v>81</v>
      </c>
      <c r="D89" s="331"/>
      <c r="E89" s="331"/>
      <c r="F89" s="337"/>
      <c r="G89" s="61"/>
      <c r="H89" s="61"/>
      <c r="I89" s="61"/>
      <c r="J89" s="61"/>
      <c r="K89" s="61"/>
      <c r="L89" s="61"/>
      <c r="M89" s="61"/>
      <c r="N89" s="61"/>
      <c r="O89" s="61"/>
      <c r="P89" s="298"/>
    </row>
    <row r="90" spans="1:16" ht="20.100000000000001" hidden="1" customHeight="1" outlineLevel="1" x14ac:dyDescent="0.25">
      <c r="A90" s="296"/>
      <c r="B90" s="47"/>
      <c r="C90" s="330">
        <v>82</v>
      </c>
      <c r="D90" s="331"/>
      <c r="E90" s="331"/>
      <c r="F90" s="337"/>
      <c r="G90" s="61"/>
      <c r="H90" s="61"/>
      <c r="I90" s="61"/>
      <c r="J90" s="61"/>
      <c r="K90" s="61"/>
      <c r="L90" s="61"/>
      <c r="M90" s="61"/>
      <c r="N90" s="61"/>
      <c r="O90" s="61"/>
      <c r="P90" s="298"/>
    </row>
    <row r="91" spans="1:16" ht="20.100000000000001" hidden="1" customHeight="1" outlineLevel="1" x14ac:dyDescent="0.25">
      <c r="A91" s="296"/>
      <c r="B91" s="47"/>
      <c r="C91" s="330">
        <v>83</v>
      </c>
      <c r="D91" s="331"/>
      <c r="E91" s="331"/>
      <c r="F91" s="337"/>
      <c r="G91" s="61"/>
      <c r="H91" s="61"/>
      <c r="I91" s="61"/>
      <c r="J91" s="61"/>
      <c r="K91" s="61"/>
      <c r="L91" s="61"/>
      <c r="M91" s="61"/>
      <c r="N91" s="61"/>
      <c r="O91" s="61"/>
      <c r="P91" s="298"/>
    </row>
    <row r="92" spans="1:16" ht="20.100000000000001" hidden="1" customHeight="1" outlineLevel="1" x14ac:dyDescent="0.25">
      <c r="A92" s="296"/>
      <c r="B92" s="47"/>
      <c r="C92" s="330">
        <v>84</v>
      </c>
      <c r="D92" s="331"/>
      <c r="E92" s="331"/>
      <c r="F92" s="337"/>
      <c r="G92" s="61"/>
      <c r="H92" s="61"/>
      <c r="I92" s="61"/>
      <c r="J92" s="61"/>
      <c r="K92" s="61"/>
      <c r="L92" s="61"/>
      <c r="M92" s="61"/>
      <c r="N92" s="61"/>
      <c r="O92" s="61"/>
      <c r="P92" s="298"/>
    </row>
    <row r="93" spans="1:16" ht="20.100000000000001" hidden="1" customHeight="1" outlineLevel="1" x14ac:dyDescent="0.25">
      <c r="A93" s="296"/>
      <c r="B93" s="47"/>
      <c r="C93" s="330">
        <v>85</v>
      </c>
      <c r="D93" s="331"/>
      <c r="E93" s="331"/>
      <c r="F93" s="337"/>
      <c r="G93" s="61"/>
      <c r="H93" s="61"/>
      <c r="I93" s="61"/>
      <c r="J93" s="61"/>
      <c r="K93" s="61"/>
      <c r="L93" s="61"/>
      <c r="M93" s="61"/>
      <c r="N93" s="61"/>
      <c r="O93" s="61"/>
      <c r="P93" s="298"/>
    </row>
    <row r="94" spans="1:16" ht="20.100000000000001" hidden="1" customHeight="1" outlineLevel="1" x14ac:dyDescent="0.25">
      <c r="A94" s="296"/>
      <c r="B94" s="47"/>
      <c r="C94" s="330">
        <v>86</v>
      </c>
      <c r="D94" s="331"/>
      <c r="E94" s="331"/>
      <c r="F94" s="337"/>
      <c r="G94" s="61"/>
      <c r="H94" s="61"/>
      <c r="I94" s="61"/>
      <c r="J94" s="61"/>
      <c r="K94" s="61"/>
      <c r="L94" s="61"/>
      <c r="M94" s="61"/>
      <c r="N94" s="61"/>
      <c r="O94" s="61"/>
      <c r="P94" s="298"/>
    </row>
    <row r="95" spans="1:16" ht="20.100000000000001" hidden="1" customHeight="1" outlineLevel="1" x14ac:dyDescent="0.25">
      <c r="A95" s="296"/>
      <c r="B95" s="47"/>
      <c r="C95" s="330">
        <v>87</v>
      </c>
      <c r="D95" s="331"/>
      <c r="E95" s="331"/>
      <c r="F95" s="337"/>
      <c r="G95" s="61"/>
      <c r="H95" s="61"/>
      <c r="I95" s="61"/>
      <c r="J95" s="61"/>
      <c r="K95" s="61"/>
      <c r="L95" s="61"/>
      <c r="M95" s="61"/>
      <c r="N95" s="61"/>
      <c r="O95" s="61"/>
      <c r="P95" s="298"/>
    </row>
    <row r="96" spans="1:16" ht="20.100000000000001" hidden="1" customHeight="1" outlineLevel="1" x14ac:dyDescent="0.25">
      <c r="A96" s="296"/>
      <c r="B96" s="47"/>
      <c r="C96" s="330">
        <v>88</v>
      </c>
      <c r="D96" s="331"/>
      <c r="E96" s="331"/>
      <c r="F96" s="337"/>
      <c r="G96" s="61"/>
      <c r="H96" s="61"/>
      <c r="I96" s="61"/>
      <c r="J96" s="61"/>
      <c r="K96" s="61"/>
      <c r="L96" s="61"/>
      <c r="M96" s="61"/>
      <c r="N96" s="61"/>
      <c r="O96" s="61"/>
      <c r="P96" s="298"/>
    </row>
    <row r="97" spans="1:16" ht="20.100000000000001" hidden="1" customHeight="1" outlineLevel="1" x14ac:dyDescent="0.25">
      <c r="A97" s="296"/>
      <c r="B97" s="47"/>
      <c r="C97" s="330">
        <v>89</v>
      </c>
      <c r="D97" s="331"/>
      <c r="E97" s="331"/>
      <c r="F97" s="337"/>
      <c r="G97" s="61"/>
      <c r="H97" s="61"/>
      <c r="I97" s="61"/>
      <c r="J97" s="61"/>
      <c r="K97" s="61"/>
      <c r="L97" s="61"/>
      <c r="M97" s="61"/>
      <c r="N97" s="61"/>
      <c r="O97" s="61"/>
      <c r="P97" s="298"/>
    </row>
    <row r="98" spans="1:16" ht="20.100000000000001" hidden="1" customHeight="1" outlineLevel="1" x14ac:dyDescent="0.25">
      <c r="A98" s="296"/>
      <c r="B98" s="47"/>
      <c r="C98" s="330">
        <v>90</v>
      </c>
      <c r="D98" s="331"/>
      <c r="E98" s="331"/>
      <c r="F98" s="337"/>
      <c r="G98" s="61"/>
      <c r="H98" s="61"/>
      <c r="I98" s="61"/>
      <c r="J98" s="61"/>
      <c r="K98" s="61"/>
      <c r="L98" s="61"/>
      <c r="M98" s="61"/>
      <c r="N98" s="61"/>
      <c r="O98" s="61"/>
      <c r="P98" s="298"/>
    </row>
    <row r="99" spans="1:16" ht="20.100000000000001" hidden="1" customHeight="1" outlineLevel="1" x14ac:dyDescent="0.25">
      <c r="A99" s="296"/>
      <c r="B99" s="47"/>
      <c r="C99" s="330">
        <v>91</v>
      </c>
      <c r="D99" s="331"/>
      <c r="E99" s="331"/>
      <c r="F99" s="337"/>
      <c r="G99" s="61"/>
      <c r="H99" s="61"/>
      <c r="I99" s="61"/>
      <c r="J99" s="61"/>
      <c r="K99" s="61"/>
      <c r="L99" s="61"/>
      <c r="M99" s="61"/>
      <c r="N99" s="61"/>
      <c r="O99" s="61"/>
      <c r="P99" s="298"/>
    </row>
    <row r="100" spans="1:16" ht="20.100000000000001" hidden="1" customHeight="1" outlineLevel="1" x14ac:dyDescent="0.25">
      <c r="A100" s="296"/>
      <c r="B100" s="47"/>
      <c r="C100" s="330">
        <v>92</v>
      </c>
      <c r="D100" s="331"/>
      <c r="E100" s="331"/>
      <c r="F100" s="337"/>
      <c r="G100" s="61"/>
      <c r="H100" s="61"/>
      <c r="I100" s="61"/>
      <c r="J100" s="61"/>
      <c r="K100" s="61"/>
      <c r="L100" s="61"/>
      <c r="M100" s="61"/>
      <c r="N100" s="61"/>
      <c r="O100" s="61"/>
      <c r="P100" s="298"/>
    </row>
    <row r="101" spans="1:16" ht="20.100000000000001" hidden="1" customHeight="1" outlineLevel="1" x14ac:dyDescent="0.25">
      <c r="A101" s="296"/>
      <c r="B101" s="47"/>
      <c r="C101" s="330">
        <v>93</v>
      </c>
      <c r="D101" s="331"/>
      <c r="E101" s="331"/>
      <c r="F101" s="337"/>
      <c r="G101" s="61"/>
      <c r="H101" s="61"/>
      <c r="I101" s="61"/>
      <c r="J101" s="61"/>
      <c r="K101" s="61"/>
      <c r="L101" s="61"/>
      <c r="M101" s="61"/>
      <c r="N101" s="61"/>
      <c r="O101" s="61"/>
      <c r="P101" s="298"/>
    </row>
    <row r="102" spans="1:16" ht="20.100000000000001" hidden="1" customHeight="1" outlineLevel="1" x14ac:dyDescent="0.25">
      <c r="A102" s="296"/>
      <c r="B102" s="47"/>
      <c r="C102" s="330">
        <v>94</v>
      </c>
      <c r="D102" s="331"/>
      <c r="E102" s="331"/>
      <c r="F102" s="337"/>
      <c r="G102" s="61"/>
      <c r="H102" s="61"/>
      <c r="I102" s="61"/>
      <c r="J102" s="61"/>
      <c r="K102" s="61"/>
      <c r="L102" s="61"/>
      <c r="M102" s="61"/>
      <c r="N102" s="61"/>
      <c r="O102" s="61"/>
      <c r="P102" s="298"/>
    </row>
    <row r="103" spans="1:16" ht="20.100000000000001" hidden="1" customHeight="1" outlineLevel="1" x14ac:dyDescent="0.25">
      <c r="A103" s="296"/>
      <c r="B103" s="47"/>
      <c r="C103" s="330">
        <v>95</v>
      </c>
      <c r="D103" s="331"/>
      <c r="E103" s="331"/>
      <c r="F103" s="337"/>
      <c r="G103" s="61"/>
      <c r="H103" s="61"/>
      <c r="I103" s="61"/>
      <c r="J103" s="61"/>
      <c r="K103" s="61"/>
      <c r="L103" s="61"/>
      <c r="M103" s="61"/>
      <c r="N103" s="61"/>
      <c r="O103" s="61"/>
      <c r="P103" s="298"/>
    </row>
    <row r="104" spans="1:16" ht="20.100000000000001" hidden="1" customHeight="1" outlineLevel="1" x14ac:dyDescent="0.25">
      <c r="A104" s="296"/>
      <c r="B104" s="47"/>
      <c r="C104" s="330">
        <v>96</v>
      </c>
      <c r="D104" s="331"/>
      <c r="E104" s="331"/>
      <c r="F104" s="337"/>
      <c r="G104" s="61"/>
      <c r="H104" s="61"/>
      <c r="I104" s="61"/>
      <c r="J104" s="61"/>
      <c r="K104" s="61"/>
      <c r="L104" s="61"/>
      <c r="M104" s="61"/>
      <c r="N104" s="61"/>
      <c r="O104" s="61"/>
      <c r="P104" s="298"/>
    </row>
    <row r="105" spans="1:16" ht="20.100000000000001" hidden="1" customHeight="1" outlineLevel="1" x14ac:dyDescent="0.25">
      <c r="A105" s="296"/>
      <c r="B105" s="47"/>
      <c r="C105" s="330">
        <v>97</v>
      </c>
      <c r="D105" s="331"/>
      <c r="E105" s="331"/>
      <c r="F105" s="337"/>
      <c r="G105" s="61"/>
      <c r="H105" s="61"/>
      <c r="I105" s="61"/>
      <c r="J105" s="61"/>
      <c r="K105" s="61"/>
      <c r="L105" s="61"/>
      <c r="M105" s="61"/>
      <c r="N105" s="61"/>
      <c r="O105" s="61"/>
      <c r="P105" s="298"/>
    </row>
    <row r="106" spans="1:16" ht="20.100000000000001" hidden="1" customHeight="1" outlineLevel="1" x14ac:dyDescent="0.25">
      <c r="A106" s="296"/>
      <c r="B106" s="47"/>
      <c r="C106" s="330">
        <v>98</v>
      </c>
      <c r="D106" s="331"/>
      <c r="E106" s="331"/>
      <c r="F106" s="337"/>
      <c r="G106" s="61"/>
      <c r="H106" s="61"/>
      <c r="I106" s="61"/>
      <c r="J106" s="61"/>
      <c r="K106" s="61"/>
      <c r="L106" s="61"/>
      <c r="M106" s="61"/>
      <c r="N106" s="61"/>
      <c r="O106" s="61"/>
      <c r="P106" s="298"/>
    </row>
    <row r="107" spans="1:16" ht="20.100000000000001" hidden="1" customHeight="1" outlineLevel="1" x14ac:dyDescent="0.25">
      <c r="A107" s="296"/>
      <c r="B107" s="47"/>
      <c r="C107" s="330">
        <v>99</v>
      </c>
      <c r="D107" s="331"/>
      <c r="E107" s="331"/>
      <c r="F107" s="337"/>
      <c r="G107" s="61"/>
      <c r="H107" s="61"/>
      <c r="I107" s="61"/>
      <c r="J107" s="61"/>
      <c r="K107" s="61"/>
      <c r="L107" s="61"/>
      <c r="M107" s="61"/>
      <c r="N107" s="61"/>
      <c r="O107" s="61"/>
      <c r="P107" s="298"/>
    </row>
    <row r="108" spans="1:16" ht="20.100000000000001" hidden="1" customHeight="1" outlineLevel="1" x14ac:dyDescent="0.25">
      <c r="A108" s="296"/>
      <c r="B108" s="47"/>
      <c r="C108" s="333">
        <v>100</v>
      </c>
      <c r="D108" s="334"/>
      <c r="E108" s="334"/>
      <c r="F108" s="338"/>
      <c r="G108" s="61"/>
      <c r="H108" s="61"/>
      <c r="I108" s="61"/>
      <c r="J108" s="61"/>
      <c r="K108" s="61"/>
      <c r="L108" s="61"/>
      <c r="M108" s="61"/>
      <c r="N108" s="61"/>
      <c r="O108" s="61"/>
      <c r="P108" s="298"/>
    </row>
    <row r="109" spans="1:16" collapsed="1" x14ac:dyDescent="0.25">
      <c r="A109" s="296"/>
      <c r="B109" s="47"/>
      <c r="C109" s="336"/>
      <c r="D109" s="336"/>
      <c r="E109" s="336"/>
      <c r="F109" s="336"/>
      <c r="G109" s="61"/>
      <c r="H109" s="61"/>
      <c r="I109" s="61"/>
      <c r="J109" s="61"/>
      <c r="K109" s="61"/>
      <c r="L109" s="61"/>
      <c r="M109" s="61"/>
      <c r="N109" s="61"/>
      <c r="O109" s="61"/>
      <c r="P109" s="298"/>
    </row>
    <row r="110" spans="1:16" x14ac:dyDescent="0.25">
      <c r="B110" s="297"/>
      <c r="C110" s="297"/>
      <c r="D110" s="297"/>
      <c r="E110" s="297"/>
      <c r="F110" s="297"/>
      <c r="G110" s="297"/>
      <c r="H110" s="297"/>
      <c r="I110" s="297"/>
      <c r="J110" s="297"/>
      <c r="K110" s="297"/>
      <c r="L110" s="297"/>
      <c r="M110" s="297"/>
      <c r="N110" s="297"/>
      <c r="O110" s="297"/>
    </row>
  </sheetData>
  <sheetProtection algorithmName="SHA-512" hashValue="k52IHU41QAIsQL9bgKZfhpEhuHOKVLnarKTpy442ZeYO+Td+n5m2qZB1EJ2MNyP2E68moJfuY4f7UZwKBXgdNg==" saltValue="00khwE+uejATR3jNzDKsKQ==" spinCount="100000" sheet="1" objects="1" scenarios="1"/>
  <mergeCells count="1">
    <mergeCell ref="H7:H8"/>
  </mergeCells>
  <dataValidations count="2">
    <dataValidation type="whole" allowBlank="1" showInputMessage="1" showErrorMessage="1" errorTitle="Data Type Error" error="These data cannot be used in calculations. Please enter a numeric value." sqref="D9:D108" xr:uid="{F85F274A-7E4B-4832-9B60-1E2F9465CFD5}">
      <formula1>0</formula1>
      <formula2>1000000</formula2>
    </dataValidation>
    <dataValidation type="whole" operator="lessThanOrEqual" allowBlank="1" showInputMessage="1" showErrorMessage="1" errorTitle="Data Error" error="Total defects can not be higher than Units._x000a_" sqref="E9:E108" xr:uid="{229DF540-F040-417E-B82C-FC5380906AF3}">
      <formula1>$D9</formula1>
    </dataValidation>
  </dataValidation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7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78A0-E0D5-497E-8104-BD62B76336AF}">
  <sheetPr codeName="Sheet7">
    <pageSetUpPr autoPageBreaks="0" fitToPage="1"/>
  </sheetPr>
  <dimension ref="A1:K60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42" customWidth="1"/>
    <col min="2" max="2" width="5.7109375" style="42" customWidth="1"/>
    <col min="3" max="3" width="13.28515625" style="42" customWidth="1"/>
    <col min="4" max="9" width="18.7109375" style="42" customWidth="1"/>
    <col min="10" max="10" width="5.7109375" style="42" customWidth="1"/>
    <col min="11" max="11" width="2.7109375" style="42" customWidth="1"/>
    <col min="12" max="16384" width="8.85546875" style="42"/>
  </cols>
  <sheetData>
    <row r="1" spans="1:11" s="28" customFormat="1" ht="6.75" customHeight="1" x14ac:dyDescent="0.25">
      <c r="B1" s="29"/>
      <c r="E1" s="30"/>
      <c r="F1" s="30"/>
      <c r="G1" s="30"/>
    </row>
    <row r="2" spans="1:11" s="31" customFormat="1" ht="20.100000000000001" customHeight="1" x14ac:dyDescent="0.25">
      <c r="B2" s="32"/>
      <c r="C2" s="33" t="s">
        <v>9</v>
      </c>
      <c r="D2" s="34"/>
      <c r="E2" s="34"/>
      <c r="F2" s="34"/>
      <c r="G2" s="34"/>
      <c r="H2" s="34"/>
      <c r="I2" s="34"/>
      <c r="J2" s="34"/>
      <c r="K2" s="35"/>
    </row>
    <row r="3" spans="1:11" s="36" customFormat="1" ht="24" customHeight="1" x14ac:dyDescent="0.25">
      <c r="B3" s="37"/>
      <c r="C3" s="38" t="s">
        <v>246</v>
      </c>
      <c r="D3" s="39"/>
      <c r="E3" s="39"/>
      <c r="F3" s="39"/>
      <c r="G3" s="39"/>
      <c r="H3" s="39"/>
      <c r="I3" s="39"/>
      <c r="J3" s="39"/>
      <c r="K3" s="40"/>
    </row>
    <row r="4" spans="1:11" ht="4.9000000000000004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1" ht="4.9000000000000004" customHeight="1" x14ac:dyDescent="0.2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x14ac:dyDescent="0.25">
      <c r="A6" s="41"/>
      <c r="B6" s="43"/>
      <c r="C6" s="44"/>
      <c r="D6" s="44"/>
      <c r="E6" s="44"/>
      <c r="F6" s="44"/>
      <c r="G6" s="44"/>
      <c r="H6" s="44"/>
      <c r="I6" s="44"/>
      <c r="J6" s="45"/>
      <c r="K6" s="41"/>
    </row>
    <row r="7" spans="1:11" x14ac:dyDescent="0.25">
      <c r="B7" s="46"/>
      <c r="C7" s="47"/>
      <c r="D7" s="72" t="s">
        <v>291</v>
      </c>
      <c r="E7" s="73"/>
      <c r="F7" s="74"/>
      <c r="G7" s="75" t="s">
        <v>292</v>
      </c>
      <c r="H7" s="76"/>
      <c r="I7" s="77"/>
      <c r="J7" s="48"/>
    </row>
    <row r="8" spans="1:11" ht="20.100000000000001" customHeight="1" x14ac:dyDescent="0.25">
      <c r="B8" s="46"/>
      <c r="C8" s="78" t="s">
        <v>12</v>
      </c>
      <c r="D8" s="79" t="s">
        <v>10</v>
      </c>
      <c r="E8" s="79" t="s">
        <v>11</v>
      </c>
      <c r="F8" s="80" t="s">
        <v>13</v>
      </c>
      <c r="G8" s="81" t="s">
        <v>10</v>
      </c>
      <c r="H8" s="81" t="s">
        <v>11</v>
      </c>
      <c r="I8" s="82" t="s">
        <v>13</v>
      </c>
      <c r="J8" s="48"/>
    </row>
    <row r="9" spans="1:11" x14ac:dyDescent="0.25">
      <c r="B9" s="46"/>
      <c r="C9" s="83">
        <v>1</v>
      </c>
      <c r="D9" s="253">
        <v>317310</v>
      </c>
      <c r="E9" s="254" t="s">
        <v>14</v>
      </c>
      <c r="F9" s="255" t="s">
        <v>15</v>
      </c>
      <c r="G9" s="256">
        <v>697612</v>
      </c>
      <c r="H9" s="254" t="s">
        <v>16</v>
      </c>
      <c r="I9" s="257" t="s">
        <v>17</v>
      </c>
      <c r="J9" s="48"/>
    </row>
    <row r="10" spans="1:11" x14ac:dyDescent="0.25">
      <c r="B10" s="46"/>
      <c r="C10" s="84">
        <v>1.1000000000000001</v>
      </c>
      <c r="D10" s="258">
        <v>271332</v>
      </c>
      <c r="E10" s="259" t="s">
        <v>18</v>
      </c>
      <c r="F10" s="260" t="s">
        <v>19</v>
      </c>
      <c r="G10" s="261">
        <v>660082</v>
      </c>
      <c r="H10" s="259" t="s">
        <v>20</v>
      </c>
      <c r="I10" s="262" t="s">
        <v>21</v>
      </c>
      <c r="J10" s="48"/>
    </row>
    <row r="11" spans="1:11" x14ac:dyDescent="0.25">
      <c r="B11" s="46"/>
      <c r="C11" s="84">
        <v>1.2</v>
      </c>
      <c r="D11" s="258">
        <v>230139</v>
      </c>
      <c r="E11" s="259" t="s">
        <v>22</v>
      </c>
      <c r="F11" s="260" t="s">
        <v>23</v>
      </c>
      <c r="G11" s="261">
        <v>621378</v>
      </c>
      <c r="H11" s="259" t="s">
        <v>24</v>
      </c>
      <c r="I11" s="262" t="s">
        <v>25</v>
      </c>
      <c r="J11" s="48"/>
    </row>
    <row r="12" spans="1:11" x14ac:dyDescent="0.25">
      <c r="B12" s="46"/>
      <c r="C12" s="84">
        <v>1.3</v>
      </c>
      <c r="D12" s="258">
        <v>193601</v>
      </c>
      <c r="E12" s="259" t="s">
        <v>26</v>
      </c>
      <c r="F12" s="260" t="s">
        <v>27</v>
      </c>
      <c r="G12" s="261">
        <v>581814</v>
      </c>
      <c r="H12" s="259" t="s">
        <v>28</v>
      </c>
      <c r="I12" s="262" t="s">
        <v>29</v>
      </c>
      <c r="J12" s="48"/>
    </row>
    <row r="13" spans="1:11" x14ac:dyDescent="0.25">
      <c r="B13" s="46"/>
      <c r="C13" s="84">
        <v>1.4</v>
      </c>
      <c r="D13" s="258">
        <v>161513</v>
      </c>
      <c r="E13" s="259" t="s">
        <v>30</v>
      </c>
      <c r="F13" s="260" t="s">
        <v>31</v>
      </c>
      <c r="G13" s="261">
        <v>541693</v>
      </c>
      <c r="H13" s="259" t="s">
        <v>32</v>
      </c>
      <c r="I13" s="262" t="s">
        <v>33</v>
      </c>
      <c r="J13" s="48"/>
    </row>
    <row r="14" spans="1:11" x14ac:dyDescent="0.25">
      <c r="B14" s="46"/>
      <c r="C14" s="84">
        <v>1.5</v>
      </c>
      <c r="D14" s="258">
        <v>133614</v>
      </c>
      <c r="E14" s="259" t="s">
        <v>34</v>
      </c>
      <c r="F14" s="260" t="s">
        <v>35</v>
      </c>
      <c r="G14" s="261">
        <v>501349</v>
      </c>
      <c r="H14" s="259" t="s">
        <v>36</v>
      </c>
      <c r="I14" s="262" t="s">
        <v>37</v>
      </c>
      <c r="J14" s="48"/>
    </row>
    <row r="15" spans="1:11" x14ac:dyDescent="0.25">
      <c r="B15" s="46"/>
      <c r="C15" s="84">
        <v>1.6</v>
      </c>
      <c r="D15" s="258">
        <v>109598</v>
      </c>
      <c r="E15" s="259" t="s">
        <v>38</v>
      </c>
      <c r="F15" s="260" t="s">
        <v>39</v>
      </c>
      <c r="G15" s="261">
        <v>461139</v>
      </c>
      <c r="H15" s="259" t="s">
        <v>40</v>
      </c>
      <c r="I15" s="262" t="s">
        <v>41</v>
      </c>
      <c r="J15" s="48"/>
    </row>
    <row r="16" spans="1:11" x14ac:dyDescent="0.25">
      <c r="B16" s="46"/>
      <c r="C16" s="84">
        <v>1.7</v>
      </c>
      <c r="D16" s="258">
        <v>89130</v>
      </c>
      <c r="E16" s="259" t="s">
        <v>42</v>
      </c>
      <c r="F16" s="260" t="s">
        <v>43</v>
      </c>
      <c r="G16" s="261">
        <v>421427</v>
      </c>
      <c r="H16" s="259" t="s">
        <v>44</v>
      </c>
      <c r="I16" s="262" t="s">
        <v>45</v>
      </c>
      <c r="J16" s="48"/>
    </row>
    <row r="17" spans="2:10" x14ac:dyDescent="0.25">
      <c r="B17" s="46"/>
      <c r="C17" s="84">
        <v>1.8</v>
      </c>
      <c r="D17" s="258">
        <v>71860</v>
      </c>
      <c r="E17" s="259" t="s">
        <v>46</v>
      </c>
      <c r="F17" s="260" t="s">
        <v>47</v>
      </c>
      <c r="G17" s="261">
        <v>382572</v>
      </c>
      <c r="H17" s="259" t="s">
        <v>48</v>
      </c>
      <c r="I17" s="262" t="s">
        <v>49</v>
      </c>
      <c r="J17" s="48"/>
    </row>
    <row r="18" spans="2:10" x14ac:dyDescent="0.25">
      <c r="B18" s="46"/>
      <c r="C18" s="84">
        <v>1.9</v>
      </c>
      <c r="D18" s="258">
        <v>57432</v>
      </c>
      <c r="E18" s="259" t="s">
        <v>50</v>
      </c>
      <c r="F18" s="260" t="s">
        <v>51</v>
      </c>
      <c r="G18" s="261">
        <v>344915</v>
      </c>
      <c r="H18" s="259" t="s">
        <v>52</v>
      </c>
      <c r="I18" s="262" t="s">
        <v>53</v>
      </c>
      <c r="J18" s="48"/>
    </row>
    <row r="19" spans="2:10" x14ac:dyDescent="0.25">
      <c r="B19" s="46"/>
      <c r="C19" s="84">
        <v>2</v>
      </c>
      <c r="D19" s="258">
        <v>45500</v>
      </c>
      <c r="E19" s="259" t="s">
        <v>54</v>
      </c>
      <c r="F19" s="260" t="s">
        <v>55</v>
      </c>
      <c r="G19" s="261">
        <v>308770</v>
      </c>
      <c r="H19" s="259" t="s">
        <v>56</v>
      </c>
      <c r="I19" s="262" t="s">
        <v>57</v>
      </c>
      <c r="J19" s="48"/>
    </row>
    <row r="20" spans="2:10" x14ac:dyDescent="0.25">
      <c r="B20" s="46"/>
      <c r="C20" s="84">
        <v>2.1</v>
      </c>
      <c r="D20" s="258">
        <v>35728</v>
      </c>
      <c r="E20" s="259" t="s">
        <v>58</v>
      </c>
      <c r="F20" s="260" t="s">
        <v>59</v>
      </c>
      <c r="G20" s="261">
        <v>274412</v>
      </c>
      <c r="H20" s="259" t="s">
        <v>60</v>
      </c>
      <c r="I20" s="262" t="s">
        <v>61</v>
      </c>
      <c r="J20" s="48"/>
    </row>
    <row r="21" spans="2:10" x14ac:dyDescent="0.25">
      <c r="B21" s="46"/>
      <c r="C21" s="84">
        <v>2.2000000000000002</v>
      </c>
      <c r="D21" s="258">
        <v>27806</v>
      </c>
      <c r="E21" s="259" t="s">
        <v>62</v>
      </c>
      <c r="F21" s="260" t="s">
        <v>63</v>
      </c>
      <c r="G21" s="261">
        <v>242071</v>
      </c>
      <c r="H21" s="259" t="s">
        <v>64</v>
      </c>
      <c r="I21" s="262" t="s">
        <v>65</v>
      </c>
      <c r="J21" s="48"/>
    </row>
    <row r="22" spans="2:10" x14ac:dyDescent="0.25">
      <c r="B22" s="46"/>
      <c r="C22" s="84">
        <v>2.2999999999999998</v>
      </c>
      <c r="D22" s="258">
        <v>21448</v>
      </c>
      <c r="E22" s="259" t="s">
        <v>66</v>
      </c>
      <c r="F22" s="260" t="s">
        <v>67</v>
      </c>
      <c r="G22" s="261">
        <v>211927</v>
      </c>
      <c r="H22" s="259" t="s">
        <v>68</v>
      </c>
      <c r="I22" s="262" t="s">
        <v>69</v>
      </c>
      <c r="J22" s="48"/>
    </row>
    <row r="23" spans="2:10" x14ac:dyDescent="0.25">
      <c r="B23" s="46"/>
      <c r="C23" s="84">
        <v>2.4</v>
      </c>
      <c r="D23" s="258">
        <v>16395</v>
      </c>
      <c r="E23" s="259" t="s">
        <v>70</v>
      </c>
      <c r="F23" s="260" t="s">
        <v>71</v>
      </c>
      <c r="G23" s="261">
        <v>184108</v>
      </c>
      <c r="H23" s="259" t="s">
        <v>72</v>
      </c>
      <c r="I23" s="262" t="s">
        <v>73</v>
      </c>
      <c r="J23" s="48"/>
    </row>
    <row r="24" spans="2:10" x14ac:dyDescent="0.25">
      <c r="B24" s="46"/>
      <c r="C24" s="84">
        <v>2.5</v>
      </c>
      <c r="D24" s="258">
        <v>12419</v>
      </c>
      <c r="E24" s="259" t="s">
        <v>74</v>
      </c>
      <c r="F24" s="260" t="s">
        <v>75</v>
      </c>
      <c r="G24" s="261">
        <v>158686</v>
      </c>
      <c r="H24" s="259" t="s">
        <v>76</v>
      </c>
      <c r="I24" s="262" t="s">
        <v>77</v>
      </c>
      <c r="J24" s="48"/>
    </row>
    <row r="25" spans="2:10" x14ac:dyDescent="0.25">
      <c r="B25" s="46"/>
      <c r="C25" s="84">
        <v>2.6</v>
      </c>
      <c r="D25" s="258">
        <v>9322</v>
      </c>
      <c r="E25" s="259" t="s">
        <v>78</v>
      </c>
      <c r="F25" s="260" t="s">
        <v>79</v>
      </c>
      <c r="G25" s="261">
        <v>135686</v>
      </c>
      <c r="H25" s="259" t="s">
        <v>80</v>
      </c>
      <c r="I25" s="262" t="s">
        <v>81</v>
      </c>
      <c r="J25" s="48"/>
    </row>
    <row r="26" spans="2:10" x14ac:dyDescent="0.25">
      <c r="B26" s="46"/>
      <c r="C26" s="84">
        <v>2.7</v>
      </c>
      <c r="D26" s="258">
        <v>6934</v>
      </c>
      <c r="E26" s="259" t="s">
        <v>82</v>
      </c>
      <c r="F26" s="260" t="s">
        <v>83</v>
      </c>
      <c r="G26" s="261">
        <v>115083</v>
      </c>
      <c r="H26" s="259" t="s">
        <v>84</v>
      </c>
      <c r="I26" s="262" t="s">
        <v>85</v>
      </c>
      <c r="J26" s="48"/>
    </row>
    <row r="27" spans="2:10" x14ac:dyDescent="0.25">
      <c r="B27" s="46"/>
      <c r="C27" s="84">
        <v>2.8</v>
      </c>
      <c r="D27" s="258">
        <v>5110</v>
      </c>
      <c r="E27" s="259" t="s">
        <v>86</v>
      </c>
      <c r="F27" s="260" t="s">
        <v>87</v>
      </c>
      <c r="G27" s="261">
        <v>96809</v>
      </c>
      <c r="H27" s="259" t="s">
        <v>88</v>
      </c>
      <c r="I27" s="262" t="s">
        <v>89</v>
      </c>
      <c r="J27" s="48"/>
    </row>
    <row r="28" spans="2:10" x14ac:dyDescent="0.25">
      <c r="B28" s="85"/>
      <c r="C28" s="84">
        <v>2.9</v>
      </c>
      <c r="D28" s="258">
        <v>3731</v>
      </c>
      <c r="E28" s="259" t="s">
        <v>90</v>
      </c>
      <c r="F28" s="260" t="s">
        <v>91</v>
      </c>
      <c r="G28" s="261">
        <v>80762</v>
      </c>
      <c r="H28" s="259" t="s">
        <v>92</v>
      </c>
      <c r="I28" s="262" t="s">
        <v>93</v>
      </c>
      <c r="J28" s="86"/>
    </row>
    <row r="29" spans="2:10" x14ac:dyDescent="0.25">
      <c r="B29" s="85"/>
      <c r="C29" s="84">
        <v>3</v>
      </c>
      <c r="D29" s="258">
        <v>2699</v>
      </c>
      <c r="E29" s="259" t="s">
        <v>94</v>
      </c>
      <c r="F29" s="260" t="s">
        <v>95</v>
      </c>
      <c r="G29" s="261">
        <v>66810</v>
      </c>
      <c r="H29" s="259" t="s">
        <v>96</v>
      </c>
      <c r="I29" s="262" t="s">
        <v>97</v>
      </c>
      <c r="J29" s="86"/>
    </row>
    <row r="30" spans="2:10" x14ac:dyDescent="0.25">
      <c r="B30" s="85"/>
      <c r="C30" s="84">
        <v>3.1</v>
      </c>
      <c r="D30" s="258">
        <v>1935</v>
      </c>
      <c r="E30" s="259" t="s">
        <v>98</v>
      </c>
      <c r="F30" s="260" t="s">
        <v>99</v>
      </c>
      <c r="G30" s="261">
        <v>54801</v>
      </c>
      <c r="H30" s="259" t="s">
        <v>100</v>
      </c>
      <c r="I30" s="262" t="s">
        <v>101</v>
      </c>
      <c r="J30" s="86"/>
    </row>
    <row r="31" spans="2:10" x14ac:dyDescent="0.25">
      <c r="B31" s="85"/>
      <c r="C31" s="84">
        <v>3.2</v>
      </c>
      <c r="D31" s="258">
        <v>1374</v>
      </c>
      <c r="E31" s="259" t="s">
        <v>102</v>
      </c>
      <c r="F31" s="260" t="s">
        <v>103</v>
      </c>
      <c r="G31" s="261">
        <v>44566</v>
      </c>
      <c r="H31" s="259" t="s">
        <v>104</v>
      </c>
      <c r="I31" s="262" t="s">
        <v>105</v>
      </c>
      <c r="J31" s="86"/>
    </row>
    <row r="32" spans="2:10" x14ac:dyDescent="0.25">
      <c r="B32" s="85"/>
      <c r="C32" s="84">
        <v>3.3</v>
      </c>
      <c r="D32" s="258">
        <v>966</v>
      </c>
      <c r="E32" s="259" t="s">
        <v>106</v>
      </c>
      <c r="F32" s="260" t="s">
        <v>107</v>
      </c>
      <c r="G32" s="261">
        <v>35931</v>
      </c>
      <c r="H32" s="259" t="s">
        <v>108</v>
      </c>
      <c r="I32" s="262" t="s">
        <v>109</v>
      </c>
      <c r="J32" s="86"/>
    </row>
    <row r="33" spans="2:10" x14ac:dyDescent="0.25">
      <c r="B33" s="85"/>
      <c r="C33" s="84">
        <v>3.4</v>
      </c>
      <c r="D33" s="258">
        <v>673</v>
      </c>
      <c r="E33" s="259" t="s">
        <v>110</v>
      </c>
      <c r="F33" s="260" t="s">
        <v>111</v>
      </c>
      <c r="G33" s="261">
        <v>28716</v>
      </c>
      <c r="H33" s="259" t="s">
        <v>112</v>
      </c>
      <c r="I33" s="262" t="s">
        <v>113</v>
      </c>
      <c r="J33" s="86"/>
    </row>
    <row r="34" spans="2:10" x14ac:dyDescent="0.25">
      <c r="B34" s="85"/>
      <c r="C34" s="84">
        <v>3.5</v>
      </c>
      <c r="D34" s="258">
        <v>465</v>
      </c>
      <c r="E34" s="259" t="s">
        <v>114</v>
      </c>
      <c r="F34" s="260" t="s">
        <v>115</v>
      </c>
      <c r="G34" s="261">
        <v>22750</v>
      </c>
      <c r="H34" s="259" t="s">
        <v>116</v>
      </c>
      <c r="I34" s="262" t="s">
        <v>117</v>
      </c>
      <c r="J34" s="86"/>
    </row>
    <row r="35" spans="2:10" x14ac:dyDescent="0.25">
      <c r="B35" s="85"/>
      <c r="C35" s="84">
        <v>3.6</v>
      </c>
      <c r="D35" s="258">
        <v>318</v>
      </c>
      <c r="E35" s="259" t="s">
        <v>118</v>
      </c>
      <c r="F35" s="260" t="s">
        <v>119</v>
      </c>
      <c r="G35" s="261">
        <v>17864</v>
      </c>
      <c r="H35" s="259" t="s">
        <v>120</v>
      </c>
      <c r="I35" s="262" t="s">
        <v>121</v>
      </c>
      <c r="J35" s="86"/>
    </row>
    <row r="36" spans="2:10" x14ac:dyDescent="0.25">
      <c r="B36" s="85"/>
      <c r="C36" s="84">
        <v>3.7</v>
      </c>
      <c r="D36" s="258">
        <v>215</v>
      </c>
      <c r="E36" s="259" t="s">
        <v>122</v>
      </c>
      <c r="F36" s="260" t="s">
        <v>123</v>
      </c>
      <c r="G36" s="261">
        <v>13903</v>
      </c>
      <c r="H36" s="259" t="s">
        <v>124</v>
      </c>
      <c r="I36" s="262" t="s">
        <v>125</v>
      </c>
      <c r="J36" s="86"/>
    </row>
    <row r="37" spans="2:10" x14ac:dyDescent="0.25">
      <c r="B37" s="85"/>
      <c r="C37" s="84">
        <v>3.8</v>
      </c>
      <c r="D37" s="258">
        <v>144</v>
      </c>
      <c r="E37" s="259" t="s">
        <v>126</v>
      </c>
      <c r="F37" s="260" t="s">
        <v>127</v>
      </c>
      <c r="G37" s="261">
        <v>10724</v>
      </c>
      <c r="H37" s="259" t="s">
        <v>128</v>
      </c>
      <c r="I37" s="262" t="s">
        <v>129</v>
      </c>
      <c r="J37" s="86"/>
    </row>
    <row r="38" spans="2:10" x14ac:dyDescent="0.25">
      <c r="B38" s="85"/>
      <c r="C38" s="84">
        <v>3.9</v>
      </c>
      <c r="D38" s="258">
        <v>96</v>
      </c>
      <c r="E38" s="259" t="s">
        <v>130</v>
      </c>
      <c r="F38" s="260" t="s">
        <v>131</v>
      </c>
      <c r="G38" s="261">
        <v>8197</v>
      </c>
      <c r="H38" s="259" t="s">
        <v>132</v>
      </c>
      <c r="I38" s="262" t="s">
        <v>133</v>
      </c>
      <c r="J38" s="86"/>
    </row>
    <row r="39" spans="2:10" x14ac:dyDescent="0.25">
      <c r="B39" s="85"/>
      <c r="C39" s="84">
        <v>4</v>
      </c>
      <c r="D39" s="258">
        <v>63</v>
      </c>
      <c r="E39" s="259" t="s">
        <v>134</v>
      </c>
      <c r="F39" s="260" t="s">
        <v>135</v>
      </c>
      <c r="G39" s="261">
        <v>6209</v>
      </c>
      <c r="H39" s="259" t="s">
        <v>136</v>
      </c>
      <c r="I39" s="262" t="s">
        <v>137</v>
      </c>
      <c r="J39" s="86"/>
    </row>
    <row r="40" spans="2:10" x14ac:dyDescent="0.25">
      <c r="B40" s="85"/>
      <c r="C40" s="84">
        <v>4.0999999999999996</v>
      </c>
      <c r="D40" s="258">
        <v>41</v>
      </c>
      <c r="E40" s="259" t="s">
        <v>138</v>
      </c>
      <c r="F40" s="260" t="s">
        <v>139</v>
      </c>
      <c r="G40" s="261">
        <v>4661</v>
      </c>
      <c r="H40" s="259" t="s">
        <v>140</v>
      </c>
      <c r="I40" s="262" t="s">
        <v>141</v>
      </c>
      <c r="J40" s="86"/>
    </row>
    <row r="41" spans="2:10" x14ac:dyDescent="0.25">
      <c r="B41" s="85"/>
      <c r="C41" s="84">
        <v>4.2</v>
      </c>
      <c r="D41" s="258">
        <v>26</v>
      </c>
      <c r="E41" s="259" t="s">
        <v>142</v>
      </c>
      <c r="F41" s="260" t="s">
        <v>143</v>
      </c>
      <c r="G41" s="261">
        <v>3467</v>
      </c>
      <c r="H41" s="259" t="s">
        <v>144</v>
      </c>
      <c r="I41" s="262" t="s">
        <v>145</v>
      </c>
      <c r="J41" s="86"/>
    </row>
    <row r="42" spans="2:10" x14ac:dyDescent="0.25">
      <c r="B42" s="85"/>
      <c r="C42" s="84">
        <v>4.3</v>
      </c>
      <c r="D42" s="258">
        <v>17</v>
      </c>
      <c r="E42" s="259" t="s">
        <v>146</v>
      </c>
      <c r="F42" s="260" t="s">
        <v>147</v>
      </c>
      <c r="G42" s="261">
        <v>2555</v>
      </c>
      <c r="H42" s="259" t="s">
        <v>148</v>
      </c>
      <c r="I42" s="262" t="s">
        <v>149</v>
      </c>
      <c r="J42" s="86"/>
    </row>
    <row r="43" spans="2:10" x14ac:dyDescent="0.25">
      <c r="B43" s="85"/>
      <c r="C43" s="84">
        <v>4.4000000000000004</v>
      </c>
      <c r="D43" s="258">
        <v>10</v>
      </c>
      <c r="E43" s="259" t="s">
        <v>150</v>
      </c>
      <c r="F43" s="260" t="s">
        <v>151</v>
      </c>
      <c r="G43" s="261">
        <v>1865</v>
      </c>
      <c r="H43" s="259" t="s">
        <v>152</v>
      </c>
      <c r="I43" s="262" t="s">
        <v>153</v>
      </c>
      <c r="J43" s="86"/>
    </row>
    <row r="44" spans="2:10" x14ac:dyDescent="0.25">
      <c r="B44" s="85"/>
      <c r="C44" s="84">
        <v>4.5</v>
      </c>
      <c r="D44" s="258">
        <v>6</v>
      </c>
      <c r="E44" s="259" t="s">
        <v>154</v>
      </c>
      <c r="F44" s="260" t="s">
        <v>155</v>
      </c>
      <c r="G44" s="261">
        <v>1349</v>
      </c>
      <c r="H44" s="259" t="s">
        <v>156</v>
      </c>
      <c r="I44" s="262" t="s">
        <v>157</v>
      </c>
      <c r="J44" s="86"/>
    </row>
    <row r="45" spans="2:10" x14ac:dyDescent="0.25">
      <c r="B45" s="85"/>
      <c r="C45" s="84">
        <v>4.5999999999999996</v>
      </c>
      <c r="D45" s="258">
        <v>4</v>
      </c>
      <c r="E45" s="259" t="s">
        <v>158</v>
      </c>
      <c r="F45" s="260" t="s">
        <v>159</v>
      </c>
      <c r="G45" s="261">
        <v>967</v>
      </c>
      <c r="H45" s="259" t="s">
        <v>160</v>
      </c>
      <c r="I45" s="262" t="s">
        <v>161</v>
      </c>
      <c r="J45" s="86"/>
    </row>
    <row r="46" spans="2:10" x14ac:dyDescent="0.25">
      <c r="B46" s="85"/>
      <c r="C46" s="84">
        <v>4.7</v>
      </c>
      <c r="D46" s="258">
        <v>2</v>
      </c>
      <c r="E46" s="259" t="s">
        <v>162</v>
      </c>
      <c r="F46" s="260" t="s">
        <v>163</v>
      </c>
      <c r="G46" s="261">
        <v>687</v>
      </c>
      <c r="H46" s="259" t="s">
        <v>164</v>
      </c>
      <c r="I46" s="262" t="s">
        <v>165</v>
      </c>
      <c r="J46" s="86"/>
    </row>
    <row r="47" spans="2:10" x14ac:dyDescent="0.25">
      <c r="B47" s="85"/>
      <c r="C47" s="84">
        <v>4.8</v>
      </c>
      <c r="D47" s="258">
        <v>1</v>
      </c>
      <c r="E47" s="259" t="s">
        <v>166</v>
      </c>
      <c r="F47" s="260" t="s">
        <v>167</v>
      </c>
      <c r="G47" s="261">
        <v>483</v>
      </c>
      <c r="H47" s="259" t="s">
        <v>168</v>
      </c>
      <c r="I47" s="262" t="s">
        <v>169</v>
      </c>
      <c r="J47" s="86"/>
    </row>
    <row r="48" spans="2:10" x14ac:dyDescent="0.25">
      <c r="B48" s="85"/>
      <c r="C48" s="84">
        <v>4.9000000000000004</v>
      </c>
      <c r="D48" s="258">
        <v>0.96</v>
      </c>
      <c r="E48" s="259" t="s">
        <v>170</v>
      </c>
      <c r="F48" s="260" t="s">
        <v>171</v>
      </c>
      <c r="G48" s="261">
        <v>336</v>
      </c>
      <c r="H48" s="259" t="s">
        <v>172</v>
      </c>
      <c r="I48" s="262" t="s">
        <v>173</v>
      </c>
      <c r="J48" s="86"/>
    </row>
    <row r="49" spans="2:10" x14ac:dyDescent="0.25">
      <c r="B49" s="85"/>
      <c r="C49" s="84">
        <v>5</v>
      </c>
      <c r="D49" s="258">
        <v>0.57399999999999995</v>
      </c>
      <c r="E49" s="259" t="s">
        <v>174</v>
      </c>
      <c r="F49" s="260" t="s">
        <v>175</v>
      </c>
      <c r="G49" s="261">
        <v>232</v>
      </c>
      <c r="H49" s="259" t="s">
        <v>176</v>
      </c>
      <c r="I49" s="262" t="s">
        <v>177</v>
      </c>
      <c r="J49" s="86"/>
    </row>
    <row r="50" spans="2:10" x14ac:dyDescent="0.25">
      <c r="B50" s="85"/>
      <c r="C50" s="84">
        <v>5.0999999999999996</v>
      </c>
      <c r="D50" s="258">
        <v>0.34</v>
      </c>
      <c r="E50" s="259" t="s">
        <v>178</v>
      </c>
      <c r="F50" s="260" t="s">
        <v>179</v>
      </c>
      <c r="G50" s="261">
        <v>159</v>
      </c>
      <c r="H50" s="259" t="s">
        <v>180</v>
      </c>
      <c r="I50" s="262" t="s">
        <v>181</v>
      </c>
      <c r="J50" s="86"/>
    </row>
    <row r="51" spans="2:10" x14ac:dyDescent="0.25">
      <c r="B51" s="85"/>
      <c r="C51" s="84">
        <v>5.2</v>
      </c>
      <c r="D51" s="258">
        <v>0.2</v>
      </c>
      <c r="E51" s="259" t="s">
        <v>182</v>
      </c>
      <c r="F51" s="260" t="s">
        <v>183</v>
      </c>
      <c r="G51" s="261">
        <v>107</v>
      </c>
      <c r="H51" s="259" t="s">
        <v>184</v>
      </c>
      <c r="I51" s="262" t="s">
        <v>185</v>
      </c>
      <c r="J51" s="86"/>
    </row>
    <row r="52" spans="2:10" x14ac:dyDescent="0.25">
      <c r="B52" s="85"/>
      <c r="C52" s="84">
        <v>5.3</v>
      </c>
      <c r="D52" s="258">
        <v>0.11600000000000001</v>
      </c>
      <c r="E52" s="259" t="s">
        <v>186</v>
      </c>
      <c r="F52" s="260" t="s">
        <v>187</v>
      </c>
      <c r="G52" s="261">
        <v>72</v>
      </c>
      <c r="H52" s="259" t="s">
        <v>188</v>
      </c>
      <c r="I52" s="262" t="s">
        <v>189</v>
      </c>
      <c r="J52" s="86"/>
    </row>
    <row r="53" spans="2:10" x14ac:dyDescent="0.25">
      <c r="B53" s="85"/>
      <c r="C53" s="84">
        <v>5.4</v>
      </c>
      <c r="D53" s="258">
        <v>6.7000000000000004E-2</v>
      </c>
      <c r="E53" s="259" t="s">
        <v>190</v>
      </c>
      <c r="F53" s="260" t="s">
        <v>191</v>
      </c>
      <c r="G53" s="261">
        <v>48</v>
      </c>
      <c r="H53" s="259" t="s">
        <v>192</v>
      </c>
      <c r="I53" s="262" t="s">
        <v>193</v>
      </c>
      <c r="J53" s="86"/>
    </row>
    <row r="54" spans="2:10" x14ac:dyDescent="0.25">
      <c r="B54" s="85"/>
      <c r="C54" s="84">
        <v>5.5</v>
      </c>
      <c r="D54" s="258">
        <v>3.7999999999999999E-2</v>
      </c>
      <c r="E54" s="259" t="s">
        <v>194</v>
      </c>
      <c r="F54" s="260" t="s">
        <v>195</v>
      </c>
      <c r="G54" s="261">
        <v>31</v>
      </c>
      <c r="H54" s="259" t="s">
        <v>196</v>
      </c>
      <c r="I54" s="262" t="s">
        <v>197</v>
      </c>
      <c r="J54" s="86"/>
    </row>
    <row r="55" spans="2:10" x14ac:dyDescent="0.25">
      <c r="B55" s="85"/>
      <c r="C55" s="84">
        <v>5.6</v>
      </c>
      <c r="D55" s="258">
        <v>2.1000000000000001E-2</v>
      </c>
      <c r="E55" s="259" t="s">
        <v>198</v>
      </c>
      <c r="F55" s="260" t="s">
        <v>199</v>
      </c>
      <c r="G55" s="261">
        <v>20</v>
      </c>
      <c r="H55" s="259" t="s">
        <v>200</v>
      </c>
      <c r="I55" s="262" t="s">
        <v>201</v>
      </c>
      <c r="J55" s="86"/>
    </row>
    <row r="56" spans="2:10" x14ac:dyDescent="0.25">
      <c r="B56" s="85"/>
      <c r="C56" s="84">
        <v>5.7</v>
      </c>
      <c r="D56" s="258">
        <v>1.2E-2</v>
      </c>
      <c r="E56" s="259" t="s">
        <v>202</v>
      </c>
      <c r="F56" s="260" t="s">
        <v>203</v>
      </c>
      <c r="G56" s="261">
        <v>13.35</v>
      </c>
      <c r="H56" s="259" t="s">
        <v>204</v>
      </c>
      <c r="I56" s="262" t="s">
        <v>205</v>
      </c>
      <c r="J56" s="86"/>
    </row>
    <row r="57" spans="2:10" x14ac:dyDescent="0.25">
      <c r="B57" s="85"/>
      <c r="C57" s="84">
        <v>5.8</v>
      </c>
      <c r="D57" s="258">
        <v>7.0000000000000001E-3</v>
      </c>
      <c r="E57" s="259" t="s">
        <v>206</v>
      </c>
      <c r="F57" s="260" t="s">
        <v>207</v>
      </c>
      <c r="G57" s="261">
        <v>8.5500000000000007</v>
      </c>
      <c r="H57" s="259" t="s">
        <v>208</v>
      </c>
      <c r="I57" s="262" t="s">
        <v>209</v>
      </c>
      <c r="J57" s="86"/>
    </row>
    <row r="58" spans="2:10" x14ac:dyDescent="0.25">
      <c r="B58" s="85"/>
      <c r="C58" s="84">
        <v>5.9</v>
      </c>
      <c r="D58" s="258">
        <v>4.0000000000000001E-3</v>
      </c>
      <c r="E58" s="259" t="s">
        <v>210</v>
      </c>
      <c r="F58" s="260" t="s">
        <v>211</v>
      </c>
      <c r="G58" s="261">
        <v>5.42</v>
      </c>
      <c r="H58" s="259" t="s">
        <v>212</v>
      </c>
      <c r="I58" s="262" t="s">
        <v>213</v>
      </c>
      <c r="J58" s="86"/>
    </row>
    <row r="59" spans="2:10" x14ac:dyDescent="0.25">
      <c r="B59" s="85"/>
      <c r="C59" s="87">
        <v>6</v>
      </c>
      <c r="D59" s="263">
        <v>2E-3</v>
      </c>
      <c r="E59" s="264" t="s">
        <v>214</v>
      </c>
      <c r="F59" s="265" t="s">
        <v>215</v>
      </c>
      <c r="G59" s="266">
        <v>3.4</v>
      </c>
      <c r="H59" s="264" t="s">
        <v>216</v>
      </c>
      <c r="I59" s="267" t="s">
        <v>217</v>
      </c>
      <c r="J59" s="86"/>
    </row>
    <row r="60" spans="2:10" x14ac:dyDescent="0.25">
      <c r="B60" s="88"/>
      <c r="C60" s="89"/>
      <c r="D60" s="89"/>
      <c r="E60" s="89"/>
      <c r="F60" s="89"/>
      <c r="G60" s="89"/>
      <c r="H60" s="89"/>
      <c r="I60" s="89"/>
      <c r="J60" s="90"/>
    </row>
  </sheetData>
  <sheetProtection algorithmName="SHA-512" hashValue="zM8Mtg6/ncius6YtYemSobhyOIbqIewX5ECYjzBMlAvXXsJj2UlG94g3CM98FokAG7u7xtCf3eM8OYdBuLG5UA==" saltValue="WbKCIv7PAsArC0b4iYN4Cw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F5E24-F178-46DA-A249-9F63E8646AB2}">
  <sheetPr codeName="Sheet6"/>
  <dimension ref="A1:CQ125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style="200" customWidth="1"/>
    <col min="2" max="2" width="6.7109375" style="200" customWidth="1"/>
    <col min="3" max="3" width="12" style="200" customWidth="1"/>
    <col min="4" max="8" width="9.140625" style="200" customWidth="1"/>
    <col min="9" max="10" width="10.7109375" style="200" bestFit="1" customWidth="1"/>
    <col min="11" max="16" width="9.140625" style="200"/>
    <col min="17" max="17" width="9.7109375" style="200" customWidth="1"/>
    <col min="18" max="18" width="9.42578125" style="200" customWidth="1"/>
    <col min="19" max="51" width="9.140625" style="200"/>
    <col min="52" max="52" width="10.7109375" style="200" customWidth="1"/>
    <col min="53" max="79" width="9.140625" style="200"/>
    <col min="80" max="81" width="11" style="200" customWidth="1"/>
    <col min="82" max="82" width="11.42578125" style="200" customWidth="1"/>
    <col min="83" max="89" width="9.140625" style="200"/>
    <col min="90" max="91" width="11" style="200" customWidth="1"/>
    <col min="92" max="92" width="11.42578125" style="200" customWidth="1"/>
    <col min="93" max="16384" width="9.140625" style="200"/>
  </cols>
  <sheetData>
    <row r="1" spans="1:95" ht="6.75" customHeight="1" x14ac:dyDescent="0.25"/>
    <row r="2" spans="1:95" s="201" customFormat="1" ht="20.100000000000001" customHeight="1" x14ac:dyDescent="0.3">
      <c r="C2" s="202"/>
      <c r="D2" s="202"/>
      <c r="E2" s="202"/>
      <c r="F2" s="202"/>
      <c r="G2" s="202"/>
      <c r="AJ2" s="203"/>
      <c r="AK2" s="203"/>
      <c r="AL2" s="203"/>
      <c r="AM2" s="203"/>
      <c r="AN2" s="203"/>
      <c r="AO2" s="203"/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BJ2" s="203"/>
      <c r="BK2" s="203"/>
      <c r="BL2" s="203"/>
      <c r="BM2" s="203"/>
      <c r="BN2" s="203"/>
      <c r="BO2" s="203"/>
      <c r="BP2" s="203"/>
      <c r="BQ2" s="203"/>
      <c r="BR2" s="203"/>
      <c r="BS2" s="203"/>
      <c r="BT2" s="203"/>
      <c r="BU2" s="203"/>
      <c r="BV2" s="203"/>
      <c r="BW2" s="203"/>
    </row>
    <row r="3" spans="1:95" s="204" customFormat="1" ht="24" customHeight="1" x14ac:dyDescent="0.35">
      <c r="AJ3" s="200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</row>
    <row r="4" spans="1:95" s="130" customFormat="1" ht="15.75" x14ac:dyDescent="0.25">
      <c r="Q4" s="134" t="s">
        <v>296</v>
      </c>
      <c r="R4" s="135"/>
      <c r="S4" s="136">
        <f t="array" ref="S4">MAX(IF(LEN(R9:R23)&gt;0,Q9:Q23,""),1)</f>
        <v>10</v>
      </c>
      <c r="T4" s="195" t="s">
        <v>317</v>
      </c>
      <c r="U4" s="196"/>
      <c r="V4" s="135"/>
      <c r="W4" s="136">
        <f t="array" ref="W4">MAX(IF(LEN(R9:AA9)&gt;0,R6:AA6,""),1)</f>
        <v>5</v>
      </c>
      <c r="AJ4" s="154" t="s">
        <v>299</v>
      </c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1" t="s">
        <v>298</v>
      </c>
      <c r="AZ4" s="134" t="s">
        <v>296</v>
      </c>
      <c r="BA4" s="135"/>
      <c r="BB4" s="136">
        <f t="array" ref="BB4">MAX(IF(LEN($BA$9:$BA$23)&gt;0,$AZ$9:$AZ$23,""),1)</f>
        <v>10</v>
      </c>
      <c r="BJ4" s="156" t="s">
        <v>299</v>
      </c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8" t="s">
        <v>298</v>
      </c>
      <c r="BZ4" s="134" t="s">
        <v>309</v>
      </c>
      <c r="CA4" s="135"/>
      <c r="CB4" s="136">
        <f t="array" ref="CB4">MAX(IF(LEN($CA$9:$CA$23)&gt;0,$BZ$9:$BZ$23,""),1)</f>
        <v>10</v>
      </c>
      <c r="CJ4" s="134" t="s">
        <v>310</v>
      </c>
      <c r="CK4" s="135"/>
      <c r="CL4" s="136">
        <f t="array" ref="CL4">MAX(IF(LEN($CK$9:$CK$23)&gt;0,$CJ$9:$CJ$23,""),1)</f>
        <v>10</v>
      </c>
    </row>
    <row r="5" spans="1:95" s="130" customFormat="1" ht="15.75" x14ac:dyDescent="0.25">
      <c r="Q5" s="134" t="s">
        <v>297</v>
      </c>
      <c r="R5" s="135"/>
      <c r="S5" s="136">
        <f>IFERROR($AG$9/INDEX(Calc!$F$8:$F$17,MATCH(COUNTA($R$9:$AA$9),Calc!$C$8:$C$17,0)),"")</f>
        <v>5.6855100714749834E-2</v>
      </c>
      <c r="AI5" s="121"/>
      <c r="AJ5" s="193">
        <f>COUNTIF($AI$9:$AI$23,"&lt;"&amp;AJ9)</f>
        <v>0</v>
      </c>
      <c r="AK5" s="194">
        <f>COUNTIF($AI$9:$AI$23,"&lt;"&amp;AK9)-SUM($AJ$5:AJ5)</f>
        <v>0</v>
      </c>
      <c r="AL5" s="194">
        <f>COUNTIF($AI$9:$AI$23,"&lt;"&amp;AL9)-SUM($AJ$5:AK5)</f>
        <v>0</v>
      </c>
      <c r="AM5" s="194">
        <f>COUNTIF($AI$9:$AI$23,"&lt;"&amp;AM9)-SUM($AJ$5:AL5)</f>
        <v>0</v>
      </c>
      <c r="AN5" s="194">
        <f>COUNTIF($AI$9:$AI$23,"&lt;"&amp;AN9)-SUM($AJ$5:AM5)</f>
        <v>0</v>
      </c>
      <c r="AO5" s="194">
        <f>COUNTIF($AI$9:$AI$23,"&lt;"&amp;AO9)-SUM($AJ$5:AN5)</f>
        <v>0</v>
      </c>
      <c r="AP5" s="194">
        <f>COUNTIF($AI$9:$AI$23,"&lt;"&amp;AP9)-SUM($AJ$5:AO5)</f>
        <v>5</v>
      </c>
      <c r="AQ5" s="194">
        <f>COUNTIF($AI$9:$AI$23,"&lt;"&amp;AQ9)-SUM($AJ$5:AP5)</f>
        <v>5</v>
      </c>
      <c r="AR5" s="194">
        <f>COUNTIF($AI$9:$AI$23,"&lt;"&amp;AR9)-SUM($AJ$5:AQ5)</f>
        <v>0</v>
      </c>
      <c r="AS5" s="194">
        <f>COUNTIF($AI$9:$AI$23,"&lt;"&amp;AS9)-SUM($AJ$5:AR5)</f>
        <v>0</v>
      </c>
      <c r="AT5" s="194">
        <f>COUNTIF($AI$9:$AI$23,"&lt;"&amp;AT9)-SUM($AJ$5:AS5)</f>
        <v>0</v>
      </c>
      <c r="AU5" s="194">
        <f>COUNTIF($AI$9:$AI$23,"&lt;"&amp;AU9)-SUM($AJ$5:AT5)</f>
        <v>0</v>
      </c>
      <c r="AV5" s="194">
        <f>COUNTIF($AI$9:$AI$23,"&lt;"&amp;AV9)-SUM($AJ$5:AU5)</f>
        <v>0</v>
      </c>
      <c r="AW5" s="139">
        <f>MAX(XbarBell,1)</f>
        <v>5</v>
      </c>
      <c r="AZ5" s="134" t="s">
        <v>297</v>
      </c>
      <c r="BA5" s="135"/>
      <c r="BB5" s="136">
        <f>IFERROR($BB$9/$F$8,"")</f>
        <v>1.1485200498786189E-2</v>
      </c>
      <c r="BI5" s="121"/>
      <c r="BJ5" s="193">
        <f>COUNTIF($BI$9:$BI$23,"&lt;"&amp;BJ9)</f>
        <v>0</v>
      </c>
      <c r="BK5" s="194">
        <f>COUNTIF($BI$9:$BI$23,"&lt;"&amp;BK9)-SUM($BJ$5:BJ5)</f>
        <v>0</v>
      </c>
      <c r="BL5" s="194">
        <f>COUNTIF($BI$9:$BI$23,"&lt;"&amp;BL9)-SUM($BJ$5:BK5)</f>
        <v>0</v>
      </c>
      <c r="BM5" s="194">
        <f>COUNTIF($BI$9:$BI$23,"&lt;"&amp;BM9)-SUM($BJ$5:BL5)</f>
        <v>0</v>
      </c>
      <c r="BN5" s="194">
        <f>COUNTIF($BI$9:$BI$23,"&lt;"&amp;BN9)-SUM($BJ$5:BM5)</f>
        <v>0</v>
      </c>
      <c r="BO5" s="194">
        <f>COUNTIF($BI$9:$BI$23,"&lt;"&amp;BO9)-SUM($BJ$5:BN5)</f>
        <v>2</v>
      </c>
      <c r="BP5" s="194">
        <f>COUNTIF($BI$9:$BI$23,"&lt;"&amp;BP9)-SUM($BJ$5:BO5)</f>
        <v>3</v>
      </c>
      <c r="BQ5" s="194">
        <f>COUNTIF($BI$9:$BI$23,"&lt;"&amp;BQ9)-SUM($BJ$5:BP5)</f>
        <v>3</v>
      </c>
      <c r="BR5" s="194">
        <f>COUNTIF($BI$9:$BI$23,"&lt;"&amp;BR9)-SUM($BJ$5:BQ5)</f>
        <v>2</v>
      </c>
      <c r="BS5" s="194">
        <f>COUNTIF($BI$9:$BI$23,"&lt;"&amp;BS9)-SUM($BJ$5:BR5)</f>
        <v>0</v>
      </c>
      <c r="BT5" s="194">
        <f>COUNTIF($BI$9:$BI$23,"&lt;"&amp;BT9)-SUM($BJ$5:BS5)</f>
        <v>0</v>
      </c>
      <c r="BU5" s="194">
        <f>COUNTIF($BI$9:$BI$23,"&lt;"&amp;BU9)-SUM($BJ$5:BT5)</f>
        <v>0</v>
      </c>
      <c r="BV5" s="194">
        <f>COUNTIF($BI$9:$BI$23,"&lt;"&amp;BV9)-SUM($BJ$5:BU5)</f>
        <v>0</v>
      </c>
      <c r="BW5" s="139">
        <f>MAX(BJ5:BV5,1)</f>
        <v>3</v>
      </c>
      <c r="CA5" s="121"/>
      <c r="CK5" s="121"/>
    </row>
    <row r="6" spans="1:95" s="130" customFormat="1" ht="15.75" x14ac:dyDescent="0.25">
      <c r="Q6" s="160" t="s">
        <v>318</v>
      </c>
      <c r="R6" s="27">
        <v>1</v>
      </c>
      <c r="S6" s="27">
        <v>2</v>
      </c>
      <c r="T6" s="27">
        <v>3</v>
      </c>
      <c r="U6" s="27">
        <v>4</v>
      </c>
      <c r="V6" s="27">
        <v>5</v>
      </c>
      <c r="W6" s="27">
        <v>6</v>
      </c>
      <c r="X6" s="27">
        <v>7</v>
      </c>
      <c r="Y6" s="27">
        <v>8</v>
      </c>
      <c r="Z6" s="27">
        <v>9</v>
      </c>
      <c r="AA6" s="27">
        <v>10</v>
      </c>
      <c r="AI6" s="121"/>
      <c r="AJ6" s="191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Z6" s="134"/>
      <c r="BA6" s="135"/>
      <c r="BB6" s="136"/>
      <c r="BI6" s="121"/>
      <c r="BJ6" s="47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CA6" s="121"/>
      <c r="CK6" s="121"/>
    </row>
    <row r="7" spans="1:95" s="23" customFormat="1" ht="30" customHeight="1" x14ac:dyDescent="0.35">
      <c r="C7" s="133" t="s">
        <v>293</v>
      </c>
      <c r="D7" s="131"/>
      <c r="E7" s="131"/>
      <c r="F7" s="132"/>
      <c r="H7" s="278" t="s">
        <v>326</v>
      </c>
      <c r="I7" s="279"/>
      <c r="Q7" s="152" t="s">
        <v>247</v>
      </c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8"/>
      <c r="AH7" s="138"/>
      <c r="AI7" s="142"/>
      <c r="AJ7" s="152" t="s">
        <v>308</v>
      </c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4"/>
      <c r="AX7"/>
      <c r="AY7"/>
      <c r="AZ7" s="153" t="s">
        <v>262</v>
      </c>
      <c r="BA7" s="149"/>
      <c r="BB7" s="149"/>
      <c r="BC7" s="149"/>
      <c r="BD7" s="149"/>
      <c r="BE7" s="149"/>
      <c r="BF7" s="149"/>
      <c r="BG7" s="150"/>
      <c r="BH7" s="150"/>
      <c r="BI7" s="151"/>
      <c r="BJ7" s="155" t="s">
        <v>308</v>
      </c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Z7" s="157" t="s">
        <v>311</v>
      </c>
      <c r="CA7" s="145"/>
      <c r="CB7" s="145"/>
      <c r="CC7" s="145"/>
      <c r="CD7" s="145"/>
      <c r="CE7" s="145"/>
      <c r="CF7" s="145"/>
      <c r="CG7" s="145"/>
      <c r="CJ7" s="158" t="s">
        <v>312</v>
      </c>
      <c r="CK7" s="146"/>
      <c r="CL7" s="146"/>
      <c r="CM7" s="146"/>
      <c r="CN7" s="146"/>
      <c r="CO7" s="146"/>
      <c r="CP7" s="146"/>
      <c r="CQ7" s="146"/>
    </row>
    <row r="8" spans="1:95" s="23" customFormat="1" ht="30" x14ac:dyDescent="0.35">
      <c r="C8" s="25">
        <v>1</v>
      </c>
      <c r="D8" s="122">
        <v>1.77</v>
      </c>
      <c r="E8" s="122">
        <v>2.5739999999999998</v>
      </c>
      <c r="F8" s="123">
        <v>1.6930000000000001</v>
      </c>
      <c r="H8" s="273" t="s">
        <v>322</v>
      </c>
      <c r="I8" s="285">
        <v>40</v>
      </c>
      <c r="J8" s="276"/>
      <c r="Q8" s="159"/>
      <c r="R8" s="160" t="s">
        <v>223</v>
      </c>
      <c r="S8" s="160" t="s">
        <v>224</v>
      </c>
      <c r="T8" s="160" t="s">
        <v>225</v>
      </c>
      <c r="U8" s="160" t="s">
        <v>226</v>
      </c>
      <c r="V8" s="160" t="s">
        <v>227</v>
      </c>
      <c r="W8" s="160" t="s">
        <v>255</v>
      </c>
      <c r="X8" s="160" t="s">
        <v>256</v>
      </c>
      <c r="Y8" s="160" t="s">
        <v>257</v>
      </c>
      <c r="Z8" s="160" t="s">
        <v>258</v>
      </c>
      <c r="AA8" s="160" t="s">
        <v>259</v>
      </c>
      <c r="AB8" s="160" t="s">
        <v>229</v>
      </c>
      <c r="AC8" s="160" t="s">
        <v>230</v>
      </c>
      <c r="AD8" s="160" t="s">
        <v>232</v>
      </c>
      <c r="AE8" s="160" t="s">
        <v>234</v>
      </c>
      <c r="AF8" s="160" t="s">
        <v>235</v>
      </c>
      <c r="AG8" s="161" t="s">
        <v>233</v>
      </c>
      <c r="AH8" s="160" t="s">
        <v>236</v>
      </c>
      <c r="AI8" s="162" t="s">
        <v>249</v>
      </c>
      <c r="AJ8" s="163" t="s">
        <v>250</v>
      </c>
      <c r="AK8" s="164" t="s">
        <v>300</v>
      </c>
      <c r="AL8" s="164" t="s">
        <v>301</v>
      </c>
      <c r="AM8" s="164" t="s">
        <v>251</v>
      </c>
      <c r="AN8" s="164" t="s">
        <v>302</v>
      </c>
      <c r="AO8" s="164" t="s">
        <v>303</v>
      </c>
      <c r="AP8" s="165" t="s">
        <v>252</v>
      </c>
      <c r="AQ8" s="164" t="s">
        <v>304</v>
      </c>
      <c r="AR8" s="164" t="s">
        <v>305</v>
      </c>
      <c r="AS8" s="165" t="s">
        <v>253</v>
      </c>
      <c r="AT8" s="165" t="s">
        <v>306</v>
      </c>
      <c r="AU8" s="165" t="s">
        <v>307</v>
      </c>
      <c r="AV8" s="165" t="s">
        <v>254</v>
      </c>
      <c r="AW8" s="24"/>
      <c r="AX8" s="24"/>
      <c r="AY8" s="24"/>
      <c r="AZ8" s="159"/>
      <c r="BA8" s="160" t="s">
        <v>223</v>
      </c>
      <c r="BB8" s="160" t="s">
        <v>272</v>
      </c>
      <c r="BC8" s="160" t="s">
        <v>232</v>
      </c>
      <c r="BD8" s="160" t="s">
        <v>261</v>
      </c>
      <c r="BE8" s="160" t="s">
        <v>234</v>
      </c>
      <c r="BF8" s="160" t="s">
        <v>235</v>
      </c>
      <c r="BG8" s="160" t="s">
        <v>236</v>
      </c>
      <c r="BH8" s="160" t="s">
        <v>263</v>
      </c>
      <c r="BI8" s="162" t="s">
        <v>249</v>
      </c>
      <c r="BJ8" s="163" t="s">
        <v>250</v>
      </c>
      <c r="BK8" s="164" t="s">
        <v>300</v>
      </c>
      <c r="BL8" s="164" t="s">
        <v>301</v>
      </c>
      <c r="BM8" s="164" t="s">
        <v>251</v>
      </c>
      <c r="BN8" s="164" t="s">
        <v>302</v>
      </c>
      <c r="BO8" s="164" t="s">
        <v>303</v>
      </c>
      <c r="BP8" s="165" t="s">
        <v>252</v>
      </c>
      <c r="BQ8" s="164" t="s">
        <v>304</v>
      </c>
      <c r="BR8" s="164" t="s">
        <v>305</v>
      </c>
      <c r="BS8" s="165" t="s">
        <v>253</v>
      </c>
      <c r="BT8" s="165" t="s">
        <v>306</v>
      </c>
      <c r="BU8" s="165" t="s">
        <v>307</v>
      </c>
      <c r="BV8" s="165" t="s">
        <v>254</v>
      </c>
      <c r="BW8" s="24"/>
      <c r="BX8" s="166"/>
      <c r="BY8" s="166"/>
      <c r="BZ8" s="159"/>
      <c r="CA8" s="167" t="s">
        <v>266</v>
      </c>
      <c r="CB8" s="167" t="s">
        <v>264</v>
      </c>
      <c r="CC8" s="167" t="s">
        <v>268</v>
      </c>
      <c r="CD8" s="160" t="s">
        <v>269</v>
      </c>
      <c r="CE8" s="160" t="s">
        <v>241</v>
      </c>
      <c r="CF8" s="160" t="s">
        <v>270</v>
      </c>
      <c r="CG8" s="160" t="s">
        <v>271</v>
      </c>
      <c r="CH8" s="166"/>
      <c r="CI8" s="166"/>
      <c r="CJ8" s="159"/>
      <c r="CK8" s="167" t="s">
        <v>277</v>
      </c>
      <c r="CL8" s="167" t="s">
        <v>279</v>
      </c>
      <c r="CM8" s="167" t="s">
        <v>280</v>
      </c>
      <c r="CN8" s="160" t="s">
        <v>281</v>
      </c>
      <c r="CO8" s="160" t="s">
        <v>241</v>
      </c>
      <c r="CP8" s="160" t="s">
        <v>283</v>
      </c>
      <c r="CQ8" s="160" t="s">
        <v>284</v>
      </c>
    </row>
    <row r="9" spans="1:95" s="204" customFormat="1" ht="15" customHeight="1" x14ac:dyDescent="0.35">
      <c r="C9" s="206">
        <v>2</v>
      </c>
      <c r="D9" s="207">
        <f t="shared" ref="D9:D17" si="0">3/(F9*(C9^0.5))</f>
        <v>1.880603141453584</v>
      </c>
      <c r="E9" s="208">
        <v>3.2669999999999999</v>
      </c>
      <c r="F9" s="209">
        <v>1.1279999999999999</v>
      </c>
      <c r="H9" s="274" t="s">
        <v>323</v>
      </c>
      <c r="I9" s="286">
        <v>40</v>
      </c>
      <c r="J9" s="277"/>
      <c r="Q9" s="205">
        <v>1</v>
      </c>
      <c r="R9" s="210">
        <f>IFERROR(IF(LEN(INDEX(MeasuredXbarR!D$15:D$29,Calc!$Q9,1))&gt;0,INDEX(MeasuredXbarR!D$15:D$29,Calc!$Q9,1),""),"")</f>
        <v>6.1</v>
      </c>
      <c r="S9" s="210">
        <f>IFERROR(IF(LEN(INDEX(MeasuredXbarR!E$15:E$29,Calc!$Q9,1))&gt;0,INDEX(MeasuredXbarR!E$15:E$29,Calc!$Q9,1),""),"")</f>
        <v>6.09</v>
      </c>
      <c r="T9" s="210">
        <f>IFERROR(IF(LEN(INDEX(MeasuredXbarR!F$15:F$29,Calc!$Q9,1))&gt;0,INDEX(MeasuredXbarR!F$15:F$29,Calc!$Q9,1),""),"")</f>
        <v>6.09</v>
      </c>
      <c r="U9" s="210">
        <f>IFERROR(IF(LEN(INDEX(MeasuredXbarR!G$15:G$29,Calc!$Q9,1))&gt;0,INDEX(MeasuredXbarR!G$15:G$29,Calc!$Q9,1),""),"")</f>
        <v>5.98</v>
      </c>
      <c r="V9" s="210">
        <f>IFERROR(IF(LEN(INDEX(MeasuredXbarR!H$15:H$29,Calc!$Q9,1))&gt;0,INDEX(MeasuredXbarR!H$15:H$29,Calc!$Q9,1),""),"")</f>
        <v>5.92</v>
      </c>
      <c r="W9" s="210" t="str">
        <f>IFERROR(IF(LEN(INDEX(MeasuredXbarR!I$15:I$29,Calc!$Q9,1))&gt;0,INDEX(MeasuredXbarR!I$15:I$29,Calc!$Q9,1),""),"")</f>
        <v/>
      </c>
      <c r="X9" s="210" t="str">
        <f>IFERROR(IF(LEN(INDEX(MeasuredXbarR!J$15:J$29,Calc!$Q9,1))&gt;0,INDEX(MeasuredXbarR!J$15:J$29,Calc!$Q9,1),""),"")</f>
        <v/>
      </c>
      <c r="Y9" s="210" t="str">
        <f>IFERROR(IF(LEN(INDEX(MeasuredXbarR!K$15:K$29,Calc!$Q9,1))&gt;0,INDEX(MeasuredXbarR!K$15:K$29,Calc!$Q9,1),""),"")</f>
        <v/>
      </c>
      <c r="Z9" s="210" t="str">
        <f>IFERROR(IF(LEN(INDEX(MeasuredXbarR!L$15:L$29,Calc!$Q9,1))&gt;0,INDEX(MeasuredXbarR!L$15:L$29,Calc!$Q9,1),""),"")</f>
        <v/>
      </c>
      <c r="AA9" s="210" t="str">
        <f>IFERROR(IF(LEN(INDEX(MeasuredXbarR!M$15:M$29,Calc!$Q9,1))&gt;0,INDEX(MeasuredXbarR!M$15:M$29,Calc!$Q9,1),""),"")</f>
        <v/>
      </c>
      <c r="AB9" s="210">
        <f>IFERROR(IF(LEN(INDEX(MeasuredXbarR!N$15:N$29,Calc!$Q9,1))&gt;0,INDEX(MeasuredXbarR!N$15:N$129,Calc!$Q9,1),""),"")</f>
        <v>6.0359999999999996</v>
      </c>
      <c r="AC9" s="211">
        <f>IFERROR(IF(LEN(INDEX(MeasuredXbarR!O$15:O$29,Calc!$Q9,1))&gt;0,INDEX(MeasuredXbarR!O$15:O$29,Calc!$Q9,1),""),"")</f>
        <v>0.17999999999999972</v>
      </c>
      <c r="AD9" s="212">
        <f t="array" ref="AD9">IF(Q9&gt;XbarCount,"",IF(LEN(R9)&gt;0,AVERAGE(IFERROR($AB$9:$AB$23,"")),AD8))</f>
        <v>5.9901999999999997</v>
      </c>
      <c r="AE9" s="212">
        <f>IF(Q9&gt;XbarCount,"",$AD9+(INDEX(Calc!$D$8:$D$17,MATCH(COUNTIF($R$9:$AA$9,"&gt;0"),Calc!$C$8:$C$17,0))*AVERAGE($AC$9:$AC$23)))</f>
        <v>6.0911402999301281</v>
      </c>
      <c r="AF9" s="212">
        <f>IF(Q9&gt;XbarCount,"",$AD9-(INDEX(Calc!$D$8:$D$17,MATCH(COUNTIF($R$9:$AA$9,"&gt;0"),Calc!$C$8:$C$17,0))*AVERAGE($AC$9:$AC$23)))</f>
        <v>5.8892597000698714</v>
      </c>
      <c r="AG9" s="212">
        <f t="shared" ref="AG9:AG23" si="1">IF(Q9&gt;XbarCount,"",AVERAGE($AC$9:$AC$23))</f>
        <v>0.17499999999999999</v>
      </c>
      <c r="AH9" s="212">
        <f>IF(Q9&gt;XbarCount,"",INDEX(Calc!$E$8:$E$17,MATCH(COUNTIF($R$9:$AA$9,"&gt;0"),Calc!$C$8:$C$17,0))*AVERAGE($AC$9:$AC$23))</f>
        <v>0.36994999999999995</v>
      </c>
      <c r="AI9" s="213">
        <f t="array" ref="AI9">IFERROR(SMALL(IF($AB$9:$AB$23&gt;0,$AB$9:$AB$23,""),Q9),"")</f>
        <v>5.9359999999999999</v>
      </c>
      <c r="AJ9" s="214">
        <f>IF(LEN($R9)&gt;0,$AD$9+C$20*$S$5,"")</f>
        <v>5.6490693957115008</v>
      </c>
      <c r="AK9" s="210">
        <f t="shared" ref="AK9:AK23" si="2">IF(LEN($R9)&gt;0,$AD$9+D$20*$S$5,"")</f>
        <v>5.7059244964262508</v>
      </c>
      <c r="AL9" s="210">
        <f t="shared" ref="AL9:AL23" si="3">IF(LEN($R9)&gt;0,$AD$9+E$20*$S$5,"")</f>
        <v>5.7627795971410007</v>
      </c>
      <c r="AM9" s="210">
        <f t="shared" ref="AM9:AM23" si="4">IF(LEN($R9)&gt;0,$AD$9+F$20*$S$5,"")</f>
        <v>5.8196346978557498</v>
      </c>
      <c r="AN9" s="210">
        <f t="shared" ref="AN9:AN23" si="5">IF(LEN($R9)&gt;0,$AD$9+G$20*$S$5,"")</f>
        <v>5.8764897985704998</v>
      </c>
      <c r="AO9" s="210">
        <f t="shared" ref="AO9:AO23" si="6">IF(LEN($R9)&gt;0,$AD$9+H$20*$S$5,"")</f>
        <v>5.9333448992852498</v>
      </c>
      <c r="AP9" s="210">
        <f t="shared" ref="AP9:AP23" si="7">IF(LEN($R9)&gt;0,$AD$9+I$20*$S$5,"")</f>
        <v>5.9901999999999997</v>
      </c>
      <c r="AQ9" s="210">
        <f t="shared" ref="AQ9:AQ23" si="8">IF(LEN($R9)&gt;0,$AD$9+J$20*$S$5,"")</f>
        <v>6.0470551007147497</v>
      </c>
      <c r="AR9" s="210">
        <f t="shared" ref="AR9:AR22" si="9">IF(LEN($R9)&gt;0,$AD$9+K$20*$S$5,"")</f>
        <v>6.1039102014294997</v>
      </c>
      <c r="AS9" s="210">
        <f t="shared" ref="AS9:AS23" si="10">IF(LEN($R9)&gt;0,$AD$9+L$20*$S$5,"")</f>
        <v>6.1607653021442497</v>
      </c>
      <c r="AT9" s="210">
        <f t="shared" ref="AT9:AT23" si="11">IF(LEN($R9)&gt;0,$AD$9+M$20*$S$5,"")</f>
        <v>6.2176204028589988</v>
      </c>
      <c r="AU9" s="210">
        <f t="shared" ref="AU9:AU23" si="12">IF(LEN($R9)&gt;0,$AD$9+N$20*$S$5,"")</f>
        <v>6.2744755035737487</v>
      </c>
      <c r="AV9" s="210">
        <f t="shared" ref="AV9:AV23" si="13">IF(LEN($R9)&gt;0,$AD$9+O$20*$S$5,"")</f>
        <v>6.3313306042884987</v>
      </c>
      <c r="AW9" s="200"/>
      <c r="AX9" s="200"/>
      <c r="AY9" s="200"/>
      <c r="AZ9" s="205">
        <v>1</v>
      </c>
      <c r="BA9" s="210">
        <f>IFERROR(IF(LEN(INDEX(MeasuredXMR!E$15:E$29,Calc!$AZ9,1))&gt;0,INDEX(MeasuredXMR!E$15:E$29,Calc!$AZ9,1),""),"")</f>
        <v>5.9</v>
      </c>
      <c r="BB9" s="211">
        <f>IF(AZ9&gt;XMRCount,"",IF(LEN(BA9)&gt;0,AVERAGE($BD$9:$BD$23),BB8))</f>
        <v>1.9444444444445017E-2</v>
      </c>
      <c r="BC9" s="212">
        <f t="array" ref="BC9">IF(AZ9&gt;XMRCount,"",IF(LEN(BA9)&gt;0,AVERAGE(IF($BA$9:$BA$23&gt;0,$BA$9:$BA$23,"")),BC8))</f>
        <v>5.8989000000000003</v>
      </c>
      <c r="BD9" s="212">
        <f>IFERROR(ABS(BA9-BA10),"")</f>
        <v>1.0000000000000675E-2</v>
      </c>
      <c r="BE9" s="212">
        <f>IF(AZ9&gt;XMRCount,"",IF(LEN(BA9)&gt;0,$BC9+(3*AVERAGE($BD$9:$BD$23)/1.128),BE8))</f>
        <v>5.9506139479905453</v>
      </c>
      <c r="BF9" s="212">
        <f t="shared" ref="BF9:BF23" si="14">IF(AZ9&gt;XMRCount,"",IF(LEN(BA9)&gt;0,$BC9-(3*AVERAGE($BD$9:$BD$23)/1.128),BF8))</f>
        <v>5.8471860520094552</v>
      </c>
      <c r="BG9" s="212">
        <f t="shared" ref="BG9:BG23" si="15">IF(AZ9&gt;XMRCount,"",IF(LEN(BA9)&gt;0,$E$9*AVERAGE($BD$9:$BD$23),BG8))</f>
        <v>6.3525000000001872E-2</v>
      </c>
      <c r="BH9" s="212">
        <f t="shared" ref="BH9:BH23" si="16">IF(AZ9&gt;XMRCount,"",IF(LEN(BA9)&gt;0,0,BH8))</f>
        <v>0</v>
      </c>
      <c r="BI9" s="213">
        <f t="array" ref="BI9">IFERROR(SMALL(IF($BA$9:$BA$23&gt;0,$BA$9:$BA$23,""),Q9),"")</f>
        <v>5.8849999999999998</v>
      </c>
      <c r="BJ9" s="214">
        <f t="shared" ref="BJ9:BJ23" si="17">IF(LEN($BA9)&gt;0,$BC$9+C$20*$BB$5,"")</f>
        <v>5.8299887970072835</v>
      </c>
      <c r="BK9" s="210">
        <f t="shared" ref="BK9:BK23" si="18">IF(LEN($BA9)&gt;0,$BC$9+D$20*$BB$5,"")</f>
        <v>5.8414739975060694</v>
      </c>
      <c r="BL9" s="210">
        <f t="shared" ref="BL9:BL23" si="19">IF(LEN($BA9)&gt;0,$BC$9+E$20*$BB$5,"")</f>
        <v>5.8529591980048554</v>
      </c>
      <c r="BM9" s="210">
        <f t="shared" ref="BM9:BM23" si="20">IF(LEN($BA9)&gt;0,$BC$9+F$20*$BB$5,"")</f>
        <v>5.8644443985036414</v>
      </c>
      <c r="BN9" s="210">
        <f t="shared" ref="BN9:BN23" si="21">IF(LEN($BA9)&gt;0,$BC$9+G$20*$BB$5,"")</f>
        <v>5.8759295990024283</v>
      </c>
      <c r="BO9" s="210">
        <f t="shared" ref="BO9:BO23" si="22">IF(LEN($BA9)&gt;0,$BC$9+H$20*$BB$5,"")</f>
        <v>5.8874147995012143</v>
      </c>
      <c r="BP9" s="210">
        <f t="shared" ref="BP9:BP23" si="23">IF(LEN($BA9)&gt;0,$BC$9+I$20*$BB$5,"")</f>
        <v>5.8989000000000003</v>
      </c>
      <c r="BQ9" s="210">
        <f t="shared" ref="BQ9:BQ23" si="24">IF(LEN($BA9)&gt;0,$BC$9+J$20*$BB$5,"")</f>
        <v>5.9103852004987862</v>
      </c>
      <c r="BR9" s="210">
        <f t="shared" ref="BR9:BR23" si="25">IF(LEN($BA9)&gt;0,$BC$9+K$20*$BB$5,"")</f>
        <v>5.9218704009975722</v>
      </c>
      <c r="BS9" s="210">
        <f t="shared" ref="BS9:BS23" si="26">IF(LEN($BA9)&gt;0,$BC$9+L$20*$BB$5,"")</f>
        <v>5.9333556014963591</v>
      </c>
      <c r="BT9" s="210">
        <f t="shared" ref="BT9:BT23" si="27">IF(LEN($BA9)&gt;0,$BC$9+M$20*$BB$5,"")</f>
        <v>5.9448408019951451</v>
      </c>
      <c r="BU9" s="210">
        <f t="shared" ref="BU9:BU23" si="28">IF(LEN($BA9)&gt;0,$BC$9+N$20*$BB$5,"")</f>
        <v>5.9563260024939311</v>
      </c>
      <c r="BV9" s="210">
        <f t="shared" ref="BV9:BV23" si="29">IF(LEN($BA9)&gt;0,$BC$9+O$20*$BB$5,"")</f>
        <v>5.9678112029927171</v>
      </c>
      <c r="BW9" s="200"/>
      <c r="BZ9" s="205">
        <v>1</v>
      </c>
      <c r="CA9" s="210">
        <f>IFERROR(IF(LEN(INDEX(CountDefectives!D$9:D$23,Calc!$BZ9,1))&gt;0,INDEX(CountDefectives!D$9:D$23,Calc!$BZ9,1),""),"")</f>
        <v>1250</v>
      </c>
      <c r="CB9" s="211">
        <f>IFERROR(IF(LEN(INDEX(CountDefectives!E$9:E$23,Calc!$BZ9,1))&gt;0,INDEX(CountDefectives!E$9:E$23,Calc!$BZ9,1),""),"")</f>
        <v>18</v>
      </c>
      <c r="CC9" s="212">
        <f>IFERROR(IF(LEN(CA9)&gt;0,CB9/CA9,""),"")</f>
        <v>1.44E-2</v>
      </c>
      <c r="CD9" s="215">
        <f>IFERROR(IF(BZ9&gt;PCount,"",AVERAGE($CC$9:$CC$23)),"Err")</f>
        <v>1.4059621309564761E-2</v>
      </c>
      <c r="CE9" s="215">
        <f t="shared" ref="CE9:CE23" si="30">IFERROR(IF(LEN(CA9)&gt;0,($CD$9*(1-$CD$9)/$CA9)^0.5,""),"")</f>
        <v>3.3300989004167903E-3</v>
      </c>
      <c r="CF9" s="212">
        <f t="shared" ref="CF9:CF23" si="31">IFERROR(IF(BZ9&gt;PCount,"",IF(LEN(CA9)&gt;0,$CD9+(3*$CE9),CF8)),"Err")</f>
        <v>2.404991801081513E-2</v>
      </c>
      <c r="CG9" s="212">
        <f t="shared" ref="CG9:CG23" si="32">IFERROR(IF(BZ9&gt;PCount,"",IF(LEN(CA9)&gt;0,$CD9-(3*$CE9),CG8)),"Err")</f>
        <v>4.0693246083143893E-3</v>
      </c>
      <c r="CJ9" s="205">
        <v>1</v>
      </c>
      <c r="CK9" s="210">
        <f>IFERROR(IF(LEN(INDEX(CountDefects!D$9:D$23,Calc!$CJ9,1))&gt;0,INDEX(CountDefects!D$9:D$23,Calc!$CJ9,1),""),"")</f>
        <v>1875</v>
      </c>
      <c r="CL9" s="211">
        <f>IFERROR(IF(LEN(INDEX(CountDefects!E$9:E$23,Calc!$CJ9,1))&gt;0,INDEX(CountDefects!E$9:E$23,Calc!$CJ9,1),""),"")</f>
        <v>13</v>
      </c>
      <c r="CM9" s="212">
        <f>IFERROR(IF(LEN(CK9)&gt;0,CL9/CK9,""),"")</f>
        <v>6.933333333333333E-3</v>
      </c>
      <c r="CN9" s="215">
        <f t="shared" ref="CN9:CN23" si="33">IFERROR(IF(CJ9&gt;UCount,"",AVERAGE($CM$9:$CM$23)),"Err")</f>
        <v>6.9346437618263744E-3</v>
      </c>
      <c r="CO9" s="215">
        <f>IFERROR(IF(LEN(CK9)&gt;0,($CN$9/$CK9)^0.5,""),"")</f>
        <v>1.9231423953971964E-3</v>
      </c>
      <c r="CP9" s="212">
        <f t="shared" ref="CP9:CP23" si="34">IFERROR(IF(CJ9&gt;UCount,"",IF(LEN(CK9)&gt;0,$CN9+(3*$CO9),CP8)),"Err")</f>
        <v>1.2704070948017964E-2</v>
      </c>
      <c r="CQ9" s="212">
        <f t="shared" ref="CQ9:CQ23" si="35">IFERROR(IF(CJ9&gt;UCount,"",IF(LEN(CK9)&gt;0,$CN9-(3*$CO9),CQ8)),"Err")</f>
        <v>1.1652165756347857E-3</v>
      </c>
    </row>
    <row r="10" spans="1:95" s="204" customFormat="1" ht="15" customHeight="1" x14ac:dyDescent="0.35">
      <c r="C10" s="206">
        <v>3</v>
      </c>
      <c r="D10" s="207">
        <f t="shared" si="0"/>
        <v>1.0230660410920718</v>
      </c>
      <c r="E10" s="208">
        <v>2.5739999999999998</v>
      </c>
      <c r="F10" s="209">
        <v>1.6930000000000001</v>
      </c>
      <c r="H10" s="273" t="s">
        <v>324</v>
      </c>
      <c r="I10" s="285">
        <v>40</v>
      </c>
      <c r="J10" s="276"/>
      <c r="Q10" s="205">
        <v>2</v>
      </c>
      <c r="R10" s="210">
        <f>IFERROR(IF(LEN(INDEX(MeasuredXbarR!D$15:D$29,Calc!$Q10,1))&gt;0,INDEX(MeasuredXbarR!D$15:D$29,Calc!$Q10,1),""),"")</f>
        <v>5.91</v>
      </c>
      <c r="S10" s="210">
        <f>IFERROR(IF(LEN(INDEX(MeasuredXbarR!E$15:E$29,Calc!$Q10,1))&gt;0,INDEX(MeasuredXbarR!E$15:E$29,Calc!$Q10,1),""),"")</f>
        <v>6.02</v>
      </c>
      <c r="T10" s="210">
        <f>IFERROR(IF(LEN(INDEX(MeasuredXbarR!F$15:F$29,Calc!$Q10,1))&gt;0,INDEX(MeasuredXbarR!F$15:F$29,Calc!$Q10,1),""),"")</f>
        <v>5.95</v>
      </c>
      <c r="U10" s="210">
        <f>IFERROR(IF(LEN(INDEX(MeasuredXbarR!G$15:G$29,Calc!$Q10,1))&gt;0,INDEX(MeasuredXbarR!G$15:G$29,Calc!$Q10,1),""),"")</f>
        <v>5.88</v>
      </c>
      <c r="V10" s="210">
        <f>IFERROR(IF(LEN(INDEX(MeasuredXbarR!H$15:H$29,Calc!$Q10,1))&gt;0,INDEX(MeasuredXbarR!H$15:H$29,Calc!$Q10,1),""),"")</f>
        <v>5.92</v>
      </c>
      <c r="W10" s="210" t="str">
        <f>IFERROR(IF(LEN(INDEX(MeasuredXbarR!I$15:I$29,Calc!$Q10,1))&gt;0,INDEX(MeasuredXbarR!I$15:I$29,Calc!$Q10,1),""),"")</f>
        <v/>
      </c>
      <c r="X10" s="210" t="str">
        <f>IFERROR(IF(LEN(INDEX(MeasuredXbarR!J$15:J$29,Calc!$Q10,1))&gt;0,INDEX(MeasuredXbarR!J$15:J$29,Calc!$Q10,1),""),"")</f>
        <v/>
      </c>
      <c r="Y10" s="210" t="str">
        <f>IFERROR(IF(LEN(INDEX(MeasuredXbarR!K$15:K$29,Calc!$Q10,1))&gt;0,INDEX(MeasuredXbarR!K$15:K$29,Calc!$Q10,1),""),"")</f>
        <v/>
      </c>
      <c r="Z10" s="210" t="str">
        <f>IFERROR(IF(LEN(INDEX(MeasuredXbarR!L$15:L$29,Calc!$Q10,1))&gt;0,INDEX(MeasuredXbarR!L$15:L$29,Calc!$Q10,1),""),"")</f>
        <v/>
      </c>
      <c r="AA10" s="210" t="str">
        <f>IFERROR(IF(LEN(INDEX(MeasuredXbarR!M$15:M$29,Calc!$Q10,1))&gt;0,INDEX(MeasuredXbarR!M$15:M$29,Calc!$Q10,1),""),"")</f>
        <v/>
      </c>
      <c r="AB10" s="210">
        <f>IFERROR(IF(LEN(INDEX(MeasuredXbarR!N$15:N$29,Calc!$Q10,1))&gt;0,INDEX(MeasuredXbarR!N$15:N$129,Calc!$Q10,1),""),"")</f>
        <v>5.9359999999999999</v>
      </c>
      <c r="AC10" s="211">
        <f>IFERROR(IF(LEN(INDEX(MeasuredXbarR!O$15:O$29,Calc!$Q10,1))&gt;0,INDEX(MeasuredXbarR!O$15:O$29,Calc!$Q10,1),""),"")</f>
        <v>0.13999999999999968</v>
      </c>
      <c r="AD10" s="212">
        <f t="array" ref="AD10">IF(Q10&gt;XbarCount,"",IF(LEN(R10)&gt;0,AVERAGE(IFERROR($AB$9:$AB$23,"")),AD9))</f>
        <v>5.9901999999999997</v>
      </c>
      <c r="AE10" s="212">
        <f>IF(Q10&gt;XbarCount,"",$AD10+(INDEX(Calc!$D$8:$D$17,MATCH(COUNTIF($R$9:$AA$9,"&gt;0"),Calc!$C$8:$C$17,0))*AVERAGE($AC$9:$AC$23)))</f>
        <v>6.0911402999301281</v>
      </c>
      <c r="AF10" s="212">
        <f>IF(Q10&gt;XbarCount,"",$AD10-(INDEX(Calc!$D$8:$D$17,MATCH(COUNTIF($R$9:$AA$9,"&gt;0"),Calc!$C$8:$C$17,0))*AVERAGE($AC$9:$AC$23)))</f>
        <v>5.8892597000698714</v>
      </c>
      <c r="AG10" s="212">
        <f t="shared" si="1"/>
        <v>0.17499999999999999</v>
      </c>
      <c r="AH10" s="212">
        <f>IF(Q10&gt;XbarCount,"",INDEX(Calc!$E$8:$E$17,MATCH(COUNTIF($R$9:$AA$9,"&gt;0"),Calc!$C$8:$C$17,0))*AVERAGE($AC$9:$AC$23))</f>
        <v>0.36994999999999995</v>
      </c>
      <c r="AI10" s="213">
        <f t="array" ref="AI10">IFERROR(SMALL(IF($AB$9:$AB$23&gt;0,$AB$9:$AB$23,""),Q10),"")</f>
        <v>5.9580000000000002</v>
      </c>
      <c r="AJ10" s="214">
        <f t="shared" ref="AJ10:AJ23" si="36">IF(LEN($R10)&gt;0,$AD$9+C$20*$S$5,"")</f>
        <v>5.6490693957115008</v>
      </c>
      <c r="AK10" s="210">
        <f t="shared" si="2"/>
        <v>5.7059244964262508</v>
      </c>
      <c r="AL10" s="210">
        <f t="shared" si="3"/>
        <v>5.7627795971410007</v>
      </c>
      <c r="AM10" s="210">
        <f t="shared" si="4"/>
        <v>5.8196346978557498</v>
      </c>
      <c r="AN10" s="210">
        <f t="shared" si="5"/>
        <v>5.8764897985704998</v>
      </c>
      <c r="AO10" s="210">
        <f t="shared" si="6"/>
        <v>5.9333448992852498</v>
      </c>
      <c r="AP10" s="210">
        <f t="shared" si="7"/>
        <v>5.9901999999999997</v>
      </c>
      <c r="AQ10" s="210">
        <f t="shared" si="8"/>
        <v>6.0470551007147497</v>
      </c>
      <c r="AR10" s="210">
        <f t="shared" si="9"/>
        <v>6.1039102014294997</v>
      </c>
      <c r="AS10" s="210">
        <f t="shared" si="10"/>
        <v>6.1607653021442497</v>
      </c>
      <c r="AT10" s="210">
        <f t="shared" si="11"/>
        <v>6.2176204028589988</v>
      </c>
      <c r="AU10" s="210">
        <f t="shared" si="12"/>
        <v>6.2744755035737487</v>
      </c>
      <c r="AV10" s="210">
        <f t="shared" si="13"/>
        <v>6.3313306042884987</v>
      </c>
      <c r="AW10" s="200"/>
      <c r="AX10" s="200"/>
      <c r="AY10" s="200"/>
      <c r="AZ10" s="205">
        <v>2</v>
      </c>
      <c r="BA10" s="210">
        <f>IFERROR(IF(LEN(INDEX(MeasuredXMR!E$15:E$29,Calc!$AZ10,1))&gt;0,INDEX(MeasuredXMR!E$15:E$29,Calc!$AZ10,1),""),"")</f>
        <v>5.89</v>
      </c>
      <c r="BB10" s="211">
        <f t="shared" ref="BB10:BB23" si="37">IF(AZ10&gt;XMRCount,"",IF(LEN(BA10)&gt;0,AVERAGE($BD$9:$BD$23),BB9))</f>
        <v>1.9444444444445017E-2</v>
      </c>
      <c r="BC10" s="212">
        <f t="array" ref="BC10">IF(AZ10&gt;XMRCount,"",IF(LEN(BA10)&gt;0,AVERAGE(IF($BA$9:$BA$23&gt;0,$BA$9:$BA$23,"")),BC9))</f>
        <v>5.8989000000000003</v>
      </c>
      <c r="BD10" s="212">
        <f t="shared" ref="BD10:BD23" si="38">IFERROR(ABS(BA10-BA11),"")</f>
        <v>2.0000000000000462E-2</v>
      </c>
      <c r="BE10" s="212">
        <f t="shared" ref="BE10:BE23" si="39">IF(AZ10&gt;XMRCount,"",IF(LEN(BA10)&gt;0,$BC10+(3*AVERAGE($BD$9:$BD$23)/1.128),BE9))</f>
        <v>5.9506139479905453</v>
      </c>
      <c r="BF10" s="212">
        <f t="shared" si="14"/>
        <v>5.8471860520094552</v>
      </c>
      <c r="BG10" s="212">
        <f t="shared" si="15"/>
        <v>6.3525000000001872E-2</v>
      </c>
      <c r="BH10" s="212">
        <f t="shared" si="16"/>
        <v>0</v>
      </c>
      <c r="BI10" s="213">
        <f t="array" ref="BI10">IFERROR(SMALL(IF($BA$9:$BA$23&gt;0,$BA$9:$BA$23,""),Q10),"")</f>
        <v>5.8869999999999996</v>
      </c>
      <c r="BJ10" s="214">
        <f t="shared" si="17"/>
        <v>5.8299887970072835</v>
      </c>
      <c r="BK10" s="210">
        <f t="shared" si="18"/>
        <v>5.8414739975060694</v>
      </c>
      <c r="BL10" s="210">
        <f t="shared" si="19"/>
        <v>5.8529591980048554</v>
      </c>
      <c r="BM10" s="210">
        <f t="shared" si="20"/>
        <v>5.8644443985036414</v>
      </c>
      <c r="BN10" s="210">
        <f t="shared" si="21"/>
        <v>5.8759295990024283</v>
      </c>
      <c r="BO10" s="210">
        <f t="shared" si="22"/>
        <v>5.8874147995012143</v>
      </c>
      <c r="BP10" s="210">
        <f t="shared" si="23"/>
        <v>5.8989000000000003</v>
      </c>
      <c r="BQ10" s="210">
        <f t="shared" si="24"/>
        <v>5.9103852004987862</v>
      </c>
      <c r="BR10" s="210">
        <f t="shared" si="25"/>
        <v>5.9218704009975722</v>
      </c>
      <c r="BS10" s="210">
        <f t="shared" si="26"/>
        <v>5.9333556014963591</v>
      </c>
      <c r="BT10" s="210">
        <f t="shared" si="27"/>
        <v>5.9448408019951451</v>
      </c>
      <c r="BU10" s="210">
        <f t="shared" si="28"/>
        <v>5.9563260024939311</v>
      </c>
      <c r="BV10" s="210">
        <f t="shared" si="29"/>
        <v>5.9678112029927171</v>
      </c>
      <c r="BW10" s="200"/>
      <c r="BZ10" s="205">
        <v>2</v>
      </c>
      <c r="CA10" s="210">
        <f>IFERROR(IF(LEN(INDEX(CountDefectives!D$9:D$23,Calc!$BZ10,1))&gt;0,INDEX(CountDefectives!D$9:D$23,Calc!$BZ10,1),""),"")</f>
        <v>1300</v>
      </c>
      <c r="CB10" s="211">
        <f>IFERROR(IF(LEN(INDEX(CountDefectives!E$9:E$23,Calc!$BZ10,1))&gt;0,INDEX(CountDefectives!E$9:E$23,Calc!$BZ10,1),""),"")</f>
        <v>25</v>
      </c>
      <c r="CC10" s="212">
        <f t="shared" ref="CC10:CC23" si="40">IFERROR(IF(LEN(CA10)&gt;0,CB10/CA10,""),"")</f>
        <v>1.9230769230769232E-2</v>
      </c>
      <c r="CD10" s="215">
        <f t="shared" ref="CD10:CD23" si="41">IF(BZ10&gt;PCount,"",AVERAGE($CC$9:$CC$23))</f>
        <v>1.4059621309564761E-2</v>
      </c>
      <c r="CE10" s="215">
        <f t="shared" si="30"/>
        <v>3.2654306298882862E-3</v>
      </c>
      <c r="CF10" s="212">
        <f t="shared" si="31"/>
        <v>2.3855913199229618E-2</v>
      </c>
      <c r="CG10" s="212">
        <f t="shared" si="32"/>
        <v>4.2633294198999028E-3</v>
      </c>
      <c r="CJ10" s="205">
        <v>2</v>
      </c>
      <c r="CK10" s="210">
        <f>IFERROR(IF(LEN(INDEX(CountDefects!D$9:D$23,Calc!$CJ10,1))&gt;0,INDEX(CountDefects!D$9:D$23,Calc!$CJ10,1),""),"")</f>
        <v>1950</v>
      </c>
      <c r="CL10" s="211">
        <f>IFERROR(IF(LEN(INDEX(CountDefects!E$9:E$23,Calc!$CJ10,1))&gt;0,INDEX(CountDefects!E$9:E$23,Calc!$CJ10,1),""),"")</f>
        <v>19</v>
      </c>
      <c r="CM10" s="212">
        <f t="shared" ref="CM10:CM23" si="42">IFERROR(IF(LEN(CK10)&gt;0,CL10/CK10,""),"")</f>
        <v>9.743589743589744E-3</v>
      </c>
      <c r="CN10" s="215">
        <f t="shared" si="33"/>
        <v>6.9346437618263744E-3</v>
      </c>
      <c r="CO10" s="215">
        <f t="shared" ref="CO10:CO23" si="43">IFERROR(IF(LEN(CK10)&gt;0,($CN$9/$CK10)^0.5,""),"")</f>
        <v>1.8857962695284375E-3</v>
      </c>
      <c r="CP10" s="212">
        <f t="shared" si="34"/>
        <v>1.2592032570411686E-2</v>
      </c>
      <c r="CQ10" s="212">
        <f t="shared" si="35"/>
        <v>1.2772549532410618E-3</v>
      </c>
    </row>
    <row r="11" spans="1:95" s="204" customFormat="1" ht="15" customHeight="1" x14ac:dyDescent="0.35">
      <c r="C11" s="206">
        <v>4</v>
      </c>
      <c r="D11" s="207">
        <f t="shared" si="0"/>
        <v>0.72850898494414762</v>
      </c>
      <c r="E11" s="208">
        <v>2.282</v>
      </c>
      <c r="F11" s="209">
        <v>2.0590000000000002</v>
      </c>
      <c r="H11" s="275" t="s">
        <v>325</v>
      </c>
      <c r="I11" s="287">
        <v>40</v>
      </c>
      <c r="J11" s="277"/>
      <c r="Q11" s="205">
        <v>3</v>
      </c>
      <c r="R11" s="210">
        <f>IFERROR(IF(LEN(INDEX(MeasuredXbarR!D$15:D$29,Calc!$Q11,1))&gt;0,INDEX(MeasuredXbarR!D$15:D$29,Calc!$Q11,1),""),"")</f>
        <v>5.93</v>
      </c>
      <c r="S11" s="210">
        <f>IFERROR(IF(LEN(INDEX(MeasuredXbarR!E$15:E$29,Calc!$Q11,1))&gt;0,INDEX(MeasuredXbarR!E$15:E$29,Calc!$Q11,1),""),"")</f>
        <v>6.09</v>
      </c>
      <c r="T11" s="210">
        <f>IFERROR(IF(LEN(INDEX(MeasuredXbarR!F$15:F$29,Calc!$Q11,1))&gt;0,INDEX(MeasuredXbarR!F$15:F$29,Calc!$Q11,1),""),"")</f>
        <v>5.91</v>
      </c>
      <c r="U11" s="210">
        <f>IFERROR(IF(LEN(INDEX(MeasuredXbarR!G$15:G$29,Calc!$Q11,1))&gt;0,INDEX(MeasuredXbarR!G$15:G$29,Calc!$Q11,1),""),"")</f>
        <v>5.94</v>
      </c>
      <c r="V11" s="210">
        <f>IFERROR(IF(LEN(INDEX(MeasuredXbarR!H$15:H$29,Calc!$Q11,1))&gt;0,INDEX(MeasuredXbarR!H$15:H$29,Calc!$Q11,1),""),"")</f>
        <v>5.92</v>
      </c>
      <c r="W11" s="210" t="str">
        <f>IFERROR(IF(LEN(INDEX(MeasuredXbarR!I$15:I$29,Calc!$Q11,1))&gt;0,INDEX(MeasuredXbarR!I$15:I$29,Calc!$Q11,1),""),"")</f>
        <v/>
      </c>
      <c r="X11" s="210" t="str">
        <f>IFERROR(IF(LEN(INDEX(MeasuredXbarR!J$15:J$29,Calc!$Q11,1))&gt;0,INDEX(MeasuredXbarR!J$15:J$29,Calc!$Q11,1),""),"")</f>
        <v/>
      </c>
      <c r="Y11" s="210" t="str">
        <f>IFERROR(IF(LEN(INDEX(MeasuredXbarR!K$15:K$29,Calc!$Q11,1))&gt;0,INDEX(MeasuredXbarR!K$15:K$29,Calc!$Q11,1),""),"")</f>
        <v/>
      </c>
      <c r="Z11" s="210" t="str">
        <f>IFERROR(IF(LEN(INDEX(MeasuredXbarR!L$15:L$29,Calc!$Q11,1))&gt;0,INDEX(MeasuredXbarR!L$15:L$29,Calc!$Q11,1),""),"")</f>
        <v/>
      </c>
      <c r="AA11" s="210" t="str">
        <f>IFERROR(IF(LEN(INDEX(MeasuredXbarR!M$15:M$29,Calc!$Q11,1))&gt;0,INDEX(MeasuredXbarR!M$15:M$29,Calc!$Q11,1),""),"")</f>
        <v/>
      </c>
      <c r="AB11" s="210">
        <f>IFERROR(IF(LEN(INDEX(MeasuredXbarR!N$15:N$29,Calc!$Q11,1))&gt;0,INDEX(MeasuredXbarR!N$15:N$129,Calc!$Q11,1),""),"")</f>
        <v>5.9580000000000002</v>
      </c>
      <c r="AC11" s="211">
        <f>IFERROR(IF(LEN(INDEX(MeasuredXbarR!O$15:O$29,Calc!$Q11,1))&gt;0,INDEX(MeasuredXbarR!O$15:O$29,Calc!$Q11,1),""),"")</f>
        <v>0.17999999999999972</v>
      </c>
      <c r="AD11" s="212">
        <f t="array" ref="AD11">IF(Q11&gt;XbarCount,"",IF(LEN(R11)&gt;0,AVERAGE(IFERROR($AB$9:$AB$23,"")),AD10))</f>
        <v>5.9901999999999997</v>
      </c>
      <c r="AE11" s="212">
        <f>IF(Q11&gt;XbarCount,"",$AD11+(INDEX(Calc!$D$8:$D$17,MATCH(COUNTIF($R$9:$AA$9,"&gt;0"),Calc!$C$8:$C$17,0))*AVERAGE($AC$9:$AC$23)))</f>
        <v>6.0911402999301281</v>
      </c>
      <c r="AF11" s="212">
        <f>IF(Q11&gt;XbarCount,"",$AD11-(INDEX(Calc!$D$8:$D$17,MATCH(COUNTIF($R$9:$AA$9,"&gt;0"),Calc!$C$8:$C$17,0))*AVERAGE($AC$9:$AC$23)))</f>
        <v>5.8892597000698714</v>
      </c>
      <c r="AG11" s="212">
        <f t="shared" si="1"/>
        <v>0.17499999999999999</v>
      </c>
      <c r="AH11" s="212">
        <f>IF(Q11&gt;XbarCount,"",INDEX(Calc!$E$8:$E$17,MATCH(COUNTIF($R$9:$AA$9,"&gt;0"),Calc!$C$8:$C$17,0))*AVERAGE($AC$9:$AC$23))</f>
        <v>0.36994999999999995</v>
      </c>
      <c r="AI11" s="213">
        <f t="array" ref="AI11">IFERROR(SMALL(IF($AB$9:$AB$23&gt;0,$AB$9:$AB$23,""),Q11),"")</f>
        <v>5.9820000000000002</v>
      </c>
      <c r="AJ11" s="214">
        <f t="shared" si="36"/>
        <v>5.6490693957115008</v>
      </c>
      <c r="AK11" s="210">
        <f t="shared" si="2"/>
        <v>5.7059244964262508</v>
      </c>
      <c r="AL11" s="210">
        <f t="shared" si="3"/>
        <v>5.7627795971410007</v>
      </c>
      <c r="AM11" s="210">
        <f t="shared" si="4"/>
        <v>5.8196346978557498</v>
      </c>
      <c r="AN11" s="210">
        <f t="shared" si="5"/>
        <v>5.8764897985704998</v>
      </c>
      <c r="AO11" s="210">
        <f t="shared" si="6"/>
        <v>5.9333448992852498</v>
      </c>
      <c r="AP11" s="210">
        <f t="shared" si="7"/>
        <v>5.9901999999999997</v>
      </c>
      <c r="AQ11" s="210">
        <f t="shared" si="8"/>
        <v>6.0470551007147497</v>
      </c>
      <c r="AR11" s="210">
        <f t="shared" si="9"/>
        <v>6.1039102014294997</v>
      </c>
      <c r="AS11" s="210">
        <f t="shared" si="10"/>
        <v>6.1607653021442497</v>
      </c>
      <c r="AT11" s="210">
        <f t="shared" si="11"/>
        <v>6.2176204028589988</v>
      </c>
      <c r="AU11" s="210">
        <f t="shared" si="12"/>
        <v>6.2744755035737487</v>
      </c>
      <c r="AV11" s="210">
        <f t="shared" si="13"/>
        <v>6.3313306042884987</v>
      </c>
      <c r="AW11" s="200"/>
      <c r="AX11" s="200"/>
      <c r="AY11" s="200"/>
      <c r="AZ11" s="205">
        <v>3</v>
      </c>
      <c r="BA11" s="210">
        <f>IFERROR(IF(LEN(INDEX(MeasuredXMR!E$15:E$29,Calc!$AZ11,1))&gt;0,INDEX(MeasuredXMR!E$15:E$29,Calc!$AZ11,1),""),"")</f>
        <v>5.91</v>
      </c>
      <c r="BB11" s="211">
        <f t="shared" si="37"/>
        <v>1.9444444444445017E-2</v>
      </c>
      <c r="BC11" s="212">
        <f t="array" ref="BC11">IF(AZ11&gt;XMRCount,"",IF(LEN(BA11)&gt;0,AVERAGE(IF($BA$9:$BA$23&gt;0,$BA$9:$BA$23,"")),BC10))</f>
        <v>5.8989000000000003</v>
      </c>
      <c r="BD11" s="212">
        <f t="shared" si="38"/>
        <v>1.2999999999999901E-2</v>
      </c>
      <c r="BE11" s="212">
        <f t="shared" si="39"/>
        <v>5.9506139479905453</v>
      </c>
      <c r="BF11" s="212">
        <f t="shared" si="14"/>
        <v>5.8471860520094552</v>
      </c>
      <c r="BG11" s="212">
        <f t="shared" si="15"/>
        <v>6.3525000000001872E-2</v>
      </c>
      <c r="BH11" s="212">
        <f t="shared" si="16"/>
        <v>0</v>
      </c>
      <c r="BI11" s="213">
        <f t="array" ref="BI11">IFERROR(SMALL(IF($BA$9:$BA$23&gt;0,$BA$9:$BA$23,""),Q11),"")</f>
        <v>5.8890000000000002</v>
      </c>
      <c r="BJ11" s="214">
        <f t="shared" si="17"/>
        <v>5.8299887970072835</v>
      </c>
      <c r="BK11" s="210">
        <f t="shared" si="18"/>
        <v>5.8414739975060694</v>
      </c>
      <c r="BL11" s="210">
        <f t="shared" si="19"/>
        <v>5.8529591980048554</v>
      </c>
      <c r="BM11" s="210">
        <f t="shared" si="20"/>
        <v>5.8644443985036414</v>
      </c>
      <c r="BN11" s="210">
        <f t="shared" si="21"/>
        <v>5.8759295990024283</v>
      </c>
      <c r="BO11" s="210">
        <f t="shared" si="22"/>
        <v>5.8874147995012143</v>
      </c>
      <c r="BP11" s="210">
        <f t="shared" si="23"/>
        <v>5.8989000000000003</v>
      </c>
      <c r="BQ11" s="210">
        <f t="shared" si="24"/>
        <v>5.9103852004987862</v>
      </c>
      <c r="BR11" s="210">
        <f t="shared" si="25"/>
        <v>5.9218704009975722</v>
      </c>
      <c r="BS11" s="210">
        <f t="shared" si="26"/>
        <v>5.9333556014963591</v>
      </c>
      <c r="BT11" s="210">
        <f t="shared" si="27"/>
        <v>5.9448408019951451</v>
      </c>
      <c r="BU11" s="210">
        <f t="shared" si="28"/>
        <v>5.9563260024939311</v>
      </c>
      <c r="BV11" s="210">
        <f t="shared" si="29"/>
        <v>5.9678112029927171</v>
      </c>
      <c r="BW11" s="200"/>
      <c r="BZ11" s="205">
        <v>3</v>
      </c>
      <c r="CA11" s="210">
        <f>IFERROR(IF(LEN(INDEX(CountDefectives!D$9:D$23,Calc!$BZ11,1))&gt;0,INDEX(CountDefectives!D$9:D$23,Calc!$BZ11,1),""),"")</f>
        <v>1500</v>
      </c>
      <c r="CB11" s="211">
        <f>IFERROR(IF(LEN(INDEX(CountDefectives!E$9:E$23,Calc!$BZ11,1))&gt;0,INDEX(CountDefectives!E$9:E$23,Calc!$BZ11,1),""),"")</f>
        <v>28</v>
      </c>
      <c r="CC11" s="212">
        <f t="shared" si="40"/>
        <v>1.8666666666666668E-2</v>
      </c>
      <c r="CD11" s="215">
        <f t="shared" si="41"/>
        <v>1.4059621309564761E-2</v>
      </c>
      <c r="CE11" s="215">
        <f t="shared" si="30"/>
        <v>3.0399504774690431E-3</v>
      </c>
      <c r="CF11" s="212">
        <f t="shared" si="31"/>
        <v>2.317947274197189E-2</v>
      </c>
      <c r="CG11" s="212">
        <f t="shared" si="32"/>
        <v>4.9397698771576314E-3</v>
      </c>
      <c r="CJ11" s="205">
        <v>3</v>
      </c>
      <c r="CK11" s="210">
        <f>IFERROR(IF(LEN(INDEX(CountDefects!D$9:D$23,Calc!$CJ11,1))&gt;0,INDEX(CountDefects!D$9:D$23,Calc!$CJ11,1),""),"")</f>
        <v>2250</v>
      </c>
      <c r="CL11" s="211">
        <f>IFERROR(IF(LEN(INDEX(CountDefects!E$9:E$23,Calc!$CJ11,1))&gt;0,INDEX(CountDefects!E$9:E$23,Calc!$CJ11,1),""),"")</f>
        <v>21</v>
      </c>
      <c r="CM11" s="212">
        <f t="shared" si="42"/>
        <v>9.3333333333333341E-3</v>
      </c>
      <c r="CN11" s="215">
        <f t="shared" si="33"/>
        <v>6.9346437618263744E-3</v>
      </c>
      <c r="CO11" s="215">
        <f t="shared" si="43"/>
        <v>1.7555807854226064E-3</v>
      </c>
      <c r="CP11" s="212">
        <f t="shared" si="34"/>
        <v>1.2201386118094192E-2</v>
      </c>
      <c r="CQ11" s="212">
        <f t="shared" si="35"/>
        <v>1.6679014055585558E-3</v>
      </c>
    </row>
    <row r="12" spans="1:95" s="204" customFormat="1" ht="15" customHeight="1" x14ac:dyDescent="0.35">
      <c r="C12" s="216">
        <v>5</v>
      </c>
      <c r="D12" s="207">
        <f t="shared" si="0"/>
        <v>0.57680171388644619</v>
      </c>
      <c r="E12" s="217">
        <v>2.1139999999999999</v>
      </c>
      <c r="F12" s="218">
        <v>2.3260000000000001</v>
      </c>
      <c r="Q12" s="219">
        <v>4</v>
      </c>
      <c r="R12" s="210">
        <f>IFERROR(IF(LEN(INDEX(MeasuredXbarR!D$15:D$29,Calc!$Q12,1))&gt;0,INDEX(MeasuredXbarR!D$15:D$29,Calc!$Q12,1),""),"")</f>
        <v>5.92</v>
      </c>
      <c r="S12" s="210">
        <f>IFERROR(IF(LEN(INDEX(MeasuredXbarR!E$15:E$29,Calc!$Q12,1))&gt;0,INDEX(MeasuredXbarR!E$15:E$29,Calc!$Q12,1),""),"")</f>
        <v>5.97</v>
      </c>
      <c r="T12" s="210">
        <f>IFERROR(IF(LEN(INDEX(MeasuredXbarR!F$15:F$29,Calc!$Q12,1))&gt;0,INDEX(MeasuredXbarR!F$15:F$29,Calc!$Q12,1),""),"")</f>
        <v>6.06</v>
      </c>
      <c r="U12" s="210">
        <f>IFERROR(IF(LEN(INDEX(MeasuredXbarR!G$15:G$29,Calc!$Q12,1))&gt;0,INDEX(MeasuredXbarR!G$15:G$29,Calc!$Q12,1),""),"")</f>
        <v>6.07</v>
      </c>
      <c r="V12" s="210">
        <f>IFERROR(IF(LEN(INDEX(MeasuredXbarR!H$15:H$29,Calc!$Q12,1))&gt;0,INDEX(MeasuredXbarR!H$15:H$29,Calc!$Q12,1),""),"")</f>
        <v>6.07</v>
      </c>
      <c r="W12" s="210" t="str">
        <f>IFERROR(IF(LEN(INDEX(MeasuredXbarR!I$15:I$29,Calc!$Q12,1))&gt;0,INDEX(MeasuredXbarR!I$15:I$29,Calc!$Q12,1),""),"")</f>
        <v/>
      </c>
      <c r="X12" s="210" t="str">
        <f>IFERROR(IF(LEN(INDEX(MeasuredXbarR!J$15:J$29,Calc!$Q12,1))&gt;0,INDEX(MeasuredXbarR!J$15:J$29,Calc!$Q12,1),""),"")</f>
        <v/>
      </c>
      <c r="Y12" s="210" t="str">
        <f>IFERROR(IF(LEN(INDEX(MeasuredXbarR!K$15:K$29,Calc!$Q12,1))&gt;0,INDEX(MeasuredXbarR!K$15:K$29,Calc!$Q12,1),""),"")</f>
        <v/>
      </c>
      <c r="Z12" s="210" t="str">
        <f>IFERROR(IF(LEN(INDEX(MeasuredXbarR!L$15:L$29,Calc!$Q12,1))&gt;0,INDEX(MeasuredXbarR!L$15:L$29,Calc!$Q12,1),""),"")</f>
        <v/>
      </c>
      <c r="AA12" s="210" t="str">
        <f>IFERROR(IF(LEN(INDEX(MeasuredXbarR!M$15:M$29,Calc!$Q12,1))&gt;0,INDEX(MeasuredXbarR!M$15:M$29,Calc!$Q12,1),""),"")</f>
        <v/>
      </c>
      <c r="AB12" s="210">
        <f>IFERROR(IF(LEN(INDEX(MeasuredXbarR!N$15:N$29,Calc!$Q12,1))&gt;0,INDEX(MeasuredXbarR!N$15:N$129,Calc!$Q12,1),""),"")</f>
        <v>6.0179999999999998</v>
      </c>
      <c r="AC12" s="211">
        <f>IFERROR(IF(LEN(INDEX(MeasuredXbarR!O$15:O$29,Calc!$Q12,1))&gt;0,INDEX(MeasuredXbarR!O$15:O$29,Calc!$Q12,1),""),"")</f>
        <v>0.15000000000000036</v>
      </c>
      <c r="AD12" s="212">
        <f t="array" ref="AD12">IF(Q12&gt;XbarCount,"",IF(LEN(R12)&gt;0,AVERAGE(IFERROR($AB$9:$AB$23,"")),AD11))</f>
        <v>5.9901999999999997</v>
      </c>
      <c r="AE12" s="212">
        <f>IF(Q12&gt;XbarCount,"",$AD12+(INDEX(Calc!$D$8:$D$17,MATCH(COUNTIF($R$9:$AA$9,"&gt;0"),Calc!$C$8:$C$17,0))*AVERAGE($AC$9:$AC$23)))</f>
        <v>6.0911402999301281</v>
      </c>
      <c r="AF12" s="212">
        <f>IF(Q12&gt;XbarCount,"",$AD12-(INDEX(Calc!$D$8:$D$17,MATCH(COUNTIF($R$9:$AA$9,"&gt;0"),Calc!$C$8:$C$17,0))*AVERAGE($AC$9:$AC$23)))</f>
        <v>5.8892597000698714</v>
      </c>
      <c r="AG12" s="212">
        <f t="shared" si="1"/>
        <v>0.17499999999999999</v>
      </c>
      <c r="AH12" s="212">
        <f>IF(Q12&gt;XbarCount,"",INDEX(Calc!$E$8:$E$17,MATCH(COUNTIF($R$9:$AA$9,"&gt;0"),Calc!$C$8:$C$17,0))*AVERAGE($AC$9:$AC$23))</f>
        <v>0.36994999999999995</v>
      </c>
      <c r="AI12" s="213">
        <f t="array" ref="AI12">IFERROR(SMALL(IF($AB$9:$AB$23&gt;0,$AB$9:$AB$23,""),Q12),"")</f>
        <v>5.9820000000000002</v>
      </c>
      <c r="AJ12" s="214">
        <f t="shared" si="36"/>
        <v>5.6490693957115008</v>
      </c>
      <c r="AK12" s="210">
        <f t="shared" si="2"/>
        <v>5.7059244964262508</v>
      </c>
      <c r="AL12" s="210">
        <f t="shared" si="3"/>
        <v>5.7627795971410007</v>
      </c>
      <c r="AM12" s="210">
        <f t="shared" si="4"/>
        <v>5.8196346978557498</v>
      </c>
      <c r="AN12" s="210">
        <f t="shared" si="5"/>
        <v>5.8764897985704998</v>
      </c>
      <c r="AO12" s="210">
        <f t="shared" si="6"/>
        <v>5.9333448992852498</v>
      </c>
      <c r="AP12" s="210">
        <f t="shared" si="7"/>
        <v>5.9901999999999997</v>
      </c>
      <c r="AQ12" s="210">
        <f t="shared" si="8"/>
        <v>6.0470551007147497</v>
      </c>
      <c r="AR12" s="210">
        <f t="shared" si="9"/>
        <v>6.1039102014294997</v>
      </c>
      <c r="AS12" s="210">
        <f t="shared" si="10"/>
        <v>6.1607653021442497</v>
      </c>
      <c r="AT12" s="210">
        <f t="shared" si="11"/>
        <v>6.2176204028589988</v>
      </c>
      <c r="AU12" s="210">
        <f t="shared" si="12"/>
        <v>6.2744755035737487</v>
      </c>
      <c r="AV12" s="210">
        <f t="shared" si="13"/>
        <v>6.3313306042884987</v>
      </c>
      <c r="AW12" s="200"/>
      <c r="AX12" s="200"/>
      <c r="AY12" s="200"/>
      <c r="AZ12" s="219">
        <v>4</v>
      </c>
      <c r="BA12" s="210">
        <f>IFERROR(IF(LEN(INDEX(MeasuredXMR!E$15:E$29,Calc!$AZ12,1))&gt;0,INDEX(MeasuredXMR!E$15:E$29,Calc!$AZ12,1),""),"")</f>
        <v>5.8970000000000002</v>
      </c>
      <c r="BB12" s="211">
        <f t="shared" si="37"/>
        <v>1.9444444444445017E-2</v>
      </c>
      <c r="BC12" s="212">
        <f t="array" ref="BC12">IF(AZ12&gt;XMRCount,"",IF(LEN(BA12)&gt;0,AVERAGE(IF($BA$9:$BA$23&gt;0,$BA$9:$BA$23,"")),BC11))</f>
        <v>5.8989000000000003</v>
      </c>
      <c r="BD12" s="212">
        <f t="shared" si="38"/>
        <v>5.9999999999993392E-3</v>
      </c>
      <c r="BE12" s="212">
        <f t="shared" si="39"/>
        <v>5.9506139479905453</v>
      </c>
      <c r="BF12" s="212">
        <f t="shared" si="14"/>
        <v>5.8471860520094552</v>
      </c>
      <c r="BG12" s="212">
        <f t="shared" si="15"/>
        <v>6.3525000000001872E-2</v>
      </c>
      <c r="BH12" s="212">
        <f t="shared" si="16"/>
        <v>0</v>
      </c>
      <c r="BI12" s="213">
        <f t="array" ref="BI12">IFERROR(SMALL(IF($BA$9:$BA$23&gt;0,$BA$9:$BA$23,""),Q12),"")</f>
        <v>5.89</v>
      </c>
      <c r="BJ12" s="214">
        <f t="shared" si="17"/>
        <v>5.8299887970072835</v>
      </c>
      <c r="BK12" s="210">
        <f t="shared" si="18"/>
        <v>5.8414739975060694</v>
      </c>
      <c r="BL12" s="210">
        <f t="shared" si="19"/>
        <v>5.8529591980048554</v>
      </c>
      <c r="BM12" s="210">
        <f t="shared" si="20"/>
        <v>5.8644443985036414</v>
      </c>
      <c r="BN12" s="210">
        <f t="shared" si="21"/>
        <v>5.8759295990024283</v>
      </c>
      <c r="BO12" s="210">
        <f t="shared" si="22"/>
        <v>5.8874147995012143</v>
      </c>
      <c r="BP12" s="210">
        <f t="shared" si="23"/>
        <v>5.8989000000000003</v>
      </c>
      <c r="BQ12" s="210">
        <f t="shared" si="24"/>
        <v>5.9103852004987862</v>
      </c>
      <c r="BR12" s="210">
        <f t="shared" si="25"/>
        <v>5.9218704009975722</v>
      </c>
      <c r="BS12" s="210">
        <f t="shared" si="26"/>
        <v>5.9333556014963591</v>
      </c>
      <c r="BT12" s="210">
        <f t="shared" si="27"/>
        <v>5.9448408019951451</v>
      </c>
      <c r="BU12" s="210">
        <f t="shared" si="28"/>
        <v>5.9563260024939311</v>
      </c>
      <c r="BV12" s="210">
        <f t="shared" si="29"/>
        <v>5.9678112029927171</v>
      </c>
      <c r="BW12" s="200"/>
      <c r="BZ12" s="219">
        <v>4</v>
      </c>
      <c r="CA12" s="210">
        <f>IFERROR(IF(LEN(INDEX(CountDefectives!D$9:D$23,Calc!$BZ12,1))&gt;0,INDEX(CountDefectives!D$9:D$23,Calc!$BZ12,1),""),"")</f>
        <v>1125</v>
      </c>
      <c r="CB12" s="211">
        <f>IFERROR(IF(LEN(INDEX(CountDefectives!E$9:E$23,Calc!$BZ12,1))&gt;0,INDEX(CountDefectives!E$9:E$23,Calc!$BZ12,1),""),"")</f>
        <v>17</v>
      </c>
      <c r="CC12" s="212">
        <f t="shared" si="40"/>
        <v>1.5111111111111112E-2</v>
      </c>
      <c r="CD12" s="215">
        <f t="shared" si="41"/>
        <v>1.4059621309564761E-2</v>
      </c>
      <c r="CE12" s="215">
        <f t="shared" si="30"/>
        <v>3.5102324529797668E-3</v>
      </c>
      <c r="CF12" s="212">
        <f t="shared" si="31"/>
        <v>2.4590318668504061E-2</v>
      </c>
      <c r="CG12" s="212">
        <f t="shared" si="32"/>
        <v>3.5289239506254601E-3</v>
      </c>
      <c r="CJ12" s="219">
        <v>4</v>
      </c>
      <c r="CK12" s="210">
        <f>IFERROR(IF(LEN(INDEX(CountDefects!D$9:D$23,Calc!$CJ12,1))&gt;0,INDEX(CountDefects!D$9:D$23,Calc!$CJ12,1),""),"")</f>
        <v>1687.5</v>
      </c>
      <c r="CL12" s="211">
        <f>IFERROR(IF(LEN(INDEX(CountDefects!E$9:E$23,Calc!$CJ12,1))&gt;0,INDEX(CountDefects!E$9:E$23,Calc!$CJ12,1),""),"")</f>
        <v>13</v>
      </c>
      <c r="CM12" s="212">
        <f t="shared" si="42"/>
        <v>7.7037037037037039E-3</v>
      </c>
      <c r="CN12" s="215">
        <f t="shared" si="33"/>
        <v>6.9346437618263744E-3</v>
      </c>
      <c r="CO12" s="215">
        <f t="shared" si="43"/>
        <v>2.027170078095753E-3</v>
      </c>
      <c r="CP12" s="212">
        <f t="shared" si="34"/>
        <v>1.3016153996113633E-2</v>
      </c>
      <c r="CQ12" s="212">
        <f t="shared" si="35"/>
        <v>8.5313352753911553E-4</v>
      </c>
    </row>
    <row r="13" spans="1:95" s="204" customFormat="1" ht="15" customHeight="1" x14ac:dyDescent="0.35">
      <c r="C13" s="220">
        <v>6</v>
      </c>
      <c r="D13" s="207">
        <f t="shared" si="0"/>
        <v>0.48332473219873295</v>
      </c>
      <c r="E13" s="217">
        <v>2.004</v>
      </c>
      <c r="F13" s="218">
        <v>2.5339999999999998</v>
      </c>
      <c r="Q13" s="219">
        <v>5</v>
      </c>
      <c r="R13" s="210">
        <f>IFERROR(IF(LEN(INDEX(MeasuredXbarR!D$15:D$29,Calc!$Q13,1))&gt;0,INDEX(MeasuredXbarR!D$15:D$29,Calc!$Q13,1),""),"")</f>
        <v>5.95</v>
      </c>
      <c r="S13" s="210">
        <f>IFERROR(IF(LEN(INDEX(MeasuredXbarR!E$15:E$29,Calc!$Q13,1))&gt;0,INDEX(MeasuredXbarR!E$15:E$29,Calc!$Q13,1),""),"")</f>
        <v>5.91</v>
      </c>
      <c r="T13" s="210">
        <f>IFERROR(IF(LEN(INDEX(MeasuredXbarR!F$15:F$29,Calc!$Q13,1))&gt;0,INDEX(MeasuredXbarR!F$15:F$29,Calc!$Q13,1),""),"")</f>
        <v>5.92</v>
      </c>
      <c r="U13" s="210">
        <f>IFERROR(IF(LEN(INDEX(MeasuredXbarR!G$15:G$29,Calc!$Q13,1))&gt;0,INDEX(MeasuredXbarR!G$15:G$29,Calc!$Q13,1),""),"")</f>
        <v>6.11</v>
      </c>
      <c r="V13" s="210">
        <f>IFERROR(IF(LEN(INDEX(MeasuredXbarR!H$15:H$29,Calc!$Q13,1))&gt;0,INDEX(MeasuredXbarR!H$15:H$29,Calc!$Q13,1),""),"")</f>
        <v>6.02</v>
      </c>
      <c r="W13" s="210" t="str">
        <f>IFERROR(IF(LEN(INDEX(MeasuredXbarR!I$15:I$29,Calc!$Q13,1))&gt;0,INDEX(MeasuredXbarR!I$15:I$29,Calc!$Q13,1),""),"")</f>
        <v/>
      </c>
      <c r="X13" s="210" t="str">
        <f>IFERROR(IF(LEN(INDEX(MeasuredXbarR!J$15:J$29,Calc!$Q13,1))&gt;0,INDEX(MeasuredXbarR!J$15:J$29,Calc!$Q13,1),""),"")</f>
        <v/>
      </c>
      <c r="Y13" s="210" t="str">
        <f>IFERROR(IF(LEN(INDEX(MeasuredXbarR!K$15:K$29,Calc!$Q13,1))&gt;0,INDEX(MeasuredXbarR!K$15:K$29,Calc!$Q13,1),""),"")</f>
        <v/>
      </c>
      <c r="Z13" s="210" t="str">
        <f>IFERROR(IF(LEN(INDEX(MeasuredXbarR!L$15:L$29,Calc!$Q13,1))&gt;0,INDEX(MeasuredXbarR!L$15:L$29,Calc!$Q13,1),""),"")</f>
        <v/>
      </c>
      <c r="AA13" s="210" t="str">
        <f>IFERROR(IF(LEN(INDEX(MeasuredXbarR!M$15:M$29,Calc!$Q13,1))&gt;0,INDEX(MeasuredXbarR!M$15:M$29,Calc!$Q13,1),""),"")</f>
        <v/>
      </c>
      <c r="AB13" s="210">
        <f>IFERROR(IF(LEN(INDEX(MeasuredXbarR!N$15:N$29,Calc!$Q13,1))&gt;0,INDEX(MeasuredXbarR!N$15:N$129,Calc!$Q13,1),""),"")</f>
        <v>5.9820000000000002</v>
      </c>
      <c r="AC13" s="211">
        <f>IFERROR(IF(LEN(INDEX(MeasuredXbarR!O$15:O$29,Calc!$Q13,1))&gt;0,INDEX(MeasuredXbarR!O$15:O$29,Calc!$Q13,1),""),"")</f>
        <v>0.20000000000000018</v>
      </c>
      <c r="AD13" s="212">
        <f t="array" ref="AD13">IF(Q13&gt;XbarCount,"",IF(LEN(R13)&gt;0,AVERAGE(IFERROR($AB$9:$AB$23,"")),AD12))</f>
        <v>5.9901999999999997</v>
      </c>
      <c r="AE13" s="212">
        <f>IF(Q13&gt;XbarCount,"",$AD13+(INDEX(Calc!$D$8:$D$17,MATCH(COUNTIF($R$9:$AA$9,"&gt;0"),Calc!$C$8:$C$17,0))*AVERAGE($AC$9:$AC$23)))</f>
        <v>6.0911402999301281</v>
      </c>
      <c r="AF13" s="212">
        <f>IF(Q13&gt;XbarCount,"",$AD13-(INDEX(Calc!$D$8:$D$17,MATCH(COUNTIF($R$9:$AA$9,"&gt;0"),Calc!$C$8:$C$17,0))*AVERAGE($AC$9:$AC$23)))</f>
        <v>5.8892597000698714</v>
      </c>
      <c r="AG13" s="212">
        <f t="shared" si="1"/>
        <v>0.17499999999999999</v>
      </c>
      <c r="AH13" s="212">
        <f>IF(Q13&gt;XbarCount,"",INDEX(Calc!$E$8:$E$17,MATCH(COUNTIF($R$9:$AA$9,"&gt;0"),Calc!$C$8:$C$17,0))*AVERAGE($AC$9:$AC$23))</f>
        <v>0.36994999999999995</v>
      </c>
      <c r="AI13" s="213">
        <f t="array" ref="AI13">IFERROR(SMALL(IF($AB$9:$AB$23&gt;0,$AB$9:$AB$23,""),Q13),"")</f>
        <v>5.9839999999999991</v>
      </c>
      <c r="AJ13" s="214">
        <f t="shared" si="36"/>
        <v>5.6490693957115008</v>
      </c>
      <c r="AK13" s="210">
        <f t="shared" si="2"/>
        <v>5.7059244964262508</v>
      </c>
      <c r="AL13" s="210">
        <f t="shared" si="3"/>
        <v>5.7627795971410007</v>
      </c>
      <c r="AM13" s="210">
        <f t="shared" si="4"/>
        <v>5.8196346978557498</v>
      </c>
      <c r="AN13" s="210">
        <f t="shared" si="5"/>
        <v>5.8764897985704998</v>
      </c>
      <c r="AO13" s="210">
        <f t="shared" si="6"/>
        <v>5.9333448992852498</v>
      </c>
      <c r="AP13" s="210">
        <f t="shared" si="7"/>
        <v>5.9901999999999997</v>
      </c>
      <c r="AQ13" s="210">
        <f t="shared" si="8"/>
        <v>6.0470551007147497</v>
      </c>
      <c r="AR13" s="210">
        <f t="shared" si="9"/>
        <v>6.1039102014294997</v>
      </c>
      <c r="AS13" s="210">
        <f t="shared" si="10"/>
        <v>6.1607653021442497</v>
      </c>
      <c r="AT13" s="210">
        <f t="shared" si="11"/>
        <v>6.2176204028589988</v>
      </c>
      <c r="AU13" s="210">
        <f t="shared" si="12"/>
        <v>6.2744755035737487</v>
      </c>
      <c r="AV13" s="210">
        <f t="shared" si="13"/>
        <v>6.3313306042884987</v>
      </c>
      <c r="AW13" s="200"/>
      <c r="AX13" s="200"/>
      <c r="AY13" s="200"/>
      <c r="AZ13" s="219">
        <v>5</v>
      </c>
      <c r="BA13" s="210">
        <f>IFERROR(IF(LEN(INDEX(MeasuredXMR!E$15:E$29,Calc!$AZ13,1))&gt;0,INDEX(MeasuredXMR!E$15:E$29,Calc!$AZ13,1),""),"")</f>
        <v>5.9029999999999996</v>
      </c>
      <c r="BB13" s="211">
        <f t="shared" si="37"/>
        <v>1.9444444444445017E-2</v>
      </c>
      <c r="BC13" s="212">
        <f t="array" ref="BC13">IF(AZ13&gt;XMRCount,"",IF(LEN(BA13)&gt;0,AVERAGE(IF($BA$9:$BA$23&gt;0,$BA$9:$BA$23,"")),BC12))</f>
        <v>5.8989000000000003</v>
      </c>
      <c r="BD13" s="212">
        <f t="shared" si="38"/>
        <v>1.6000000000000014E-2</v>
      </c>
      <c r="BE13" s="212">
        <f t="shared" si="39"/>
        <v>5.9506139479905453</v>
      </c>
      <c r="BF13" s="212">
        <f t="shared" si="14"/>
        <v>5.8471860520094552</v>
      </c>
      <c r="BG13" s="212">
        <f t="shared" si="15"/>
        <v>6.3525000000001872E-2</v>
      </c>
      <c r="BH13" s="212">
        <f t="shared" si="16"/>
        <v>0</v>
      </c>
      <c r="BI13" s="213">
        <f t="array" ref="BI13">IFERROR(SMALL(IF($BA$9:$BA$23&gt;0,$BA$9:$BA$23,""),Q13),"")</f>
        <v>5.8970000000000002</v>
      </c>
      <c r="BJ13" s="214">
        <f t="shared" si="17"/>
        <v>5.8299887970072835</v>
      </c>
      <c r="BK13" s="210">
        <f t="shared" si="18"/>
        <v>5.8414739975060694</v>
      </c>
      <c r="BL13" s="210">
        <f t="shared" si="19"/>
        <v>5.8529591980048554</v>
      </c>
      <c r="BM13" s="210">
        <f t="shared" si="20"/>
        <v>5.8644443985036414</v>
      </c>
      <c r="BN13" s="210">
        <f t="shared" si="21"/>
        <v>5.8759295990024283</v>
      </c>
      <c r="BO13" s="210">
        <f t="shared" si="22"/>
        <v>5.8874147995012143</v>
      </c>
      <c r="BP13" s="210">
        <f t="shared" si="23"/>
        <v>5.8989000000000003</v>
      </c>
      <c r="BQ13" s="210">
        <f t="shared" si="24"/>
        <v>5.9103852004987862</v>
      </c>
      <c r="BR13" s="210">
        <f t="shared" si="25"/>
        <v>5.9218704009975722</v>
      </c>
      <c r="BS13" s="210">
        <f t="shared" si="26"/>
        <v>5.9333556014963591</v>
      </c>
      <c r="BT13" s="210">
        <f t="shared" si="27"/>
        <v>5.9448408019951451</v>
      </c>
      <c r="BU13" s="210">
        <f t="shared" si="28"/>
        <v>5.9563260024939311</v>
      </c>
      <c r="BV13" s="210">
        <f t="shared" si="29"/>
        <v>5.9678112029927171</v>
      </c>
      <c r="BW13" s="200"/>
      <c r="BZ13" s="219">
        <v>5</v>
      </c>
      <c r="CA13" s="210">
        <f>IFERROR(IF(LEN(INDEX(CountDefectives!D$9:D$23,Calc!$BZ13,1))&gt;0,INDEX(CountDefectives!D$9:D$23,Calc!$BZ13,1),""),"")</f>
        <v>1160</v>
      </c>
      <c r="CB13" s="211">
        <f>IFERROR(IF(LEN(INDEX(CountDefectives!E$9:E$23,Calc!$BZ13,1))&gt;0,INDEX(CountDefectives!E$9:E$23,Calc!$BZ13,1),""),"")</f>
        <v>10</v>
      </c>
      <c r="CC13" s="212">
        <f t="shared" si="40"/>
        <v>8.6206896551724137E-3</v>
      </c>
      <c r="CD13" s="215">
        <f t="shared" si="41"/>
        <v>1.4059621309564761E-2</v>
      </c>
      <c r="CE13" s="215">
        <f t="shared" si="30"/>
        <v>3.456870764319052E-3</v>
      </c>
      <c r="CF13" s="212">
        <f t="shared" si="31"/>
        <v>2.4430233602521917E-2</v>
      </c>
      <c r="CG13" s="212">
        <f t="shared" si="32"/>
        <v>3.6890090166076042E-3</v>
      </c>
      <c r="CJ13" s="219">
        <v>5</v>
      </c>
      <c r="CK13" s="210">
        <f>IFERROR(IF(LEN(INDEX(CountDefects!D$9:D$23,Calc!$CJ13,1))&gt;0,INDEX(CountDefects!D$9:D$23,Calc!$CJ13,1),""),"")</f>
        <v>1740</v>
      </c>
      <c r="CL13" s="211">
        <f>IFERROR(IF(LEN(INDEX(CountDefects!E$9:E$23,Calc!$CJ13,1))&gt;0,INDEX(CountDefects!E$9:E$23,Calc!$CJ13,1),""),"")</f>
        <v>7</v>
      </c>
      <c r="CM13" s="212">
        <f t="shared" si="42"/>
        <v>4.0229885057471264E-3</v>
      </c>
      <c r="CN13" s="215">
        <f t="shared" si="33"/>
        <v>6.9346437618263744E-3</v>
      </c>
      <c r="CO13" s="215">
        <f t="shared" si="43"/>
        <v>1.9963535381603888E-3</v>
      </c>
      <c r="CP13" s="212">
        <f t="shared" si="34"/>
        <v>1.2923704376307542E-2</v>
      </c>
      <c r="CQ13" s="212">
        <f t="shared" si="35"/>
        <v>9.4558314734520792E-4</v>
      </c>
    </row>
    <row r="14" spans="1:95" s="204" customFormat="1" ht="15" customHeight="1" x14ac:dyDescent="0.35">
      <c r="A14" s="200"/>
      <c r="B14" s="200"/>
      <c r="C14" s="220">
        <v>7</v>
      </c>
      <c r="D14" s="207">
        <f t="shared" si="0"/>
        <v>0.41933928218479349</v>
      </c>
      <c r="E14" s="217">
        <v>1.9239999999999999</v>
      </c>
      <c r="F14" s="218">
        <v>2.7040000000000002</v>
      </c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5">
        <v>6</v>
      </c>
      <c r="R14" s="210">
        <f>IFERROR(IF(LEN(INDEX(MeasuredXbarR!D$15:D$29,Calc!$Q14,1))&gt;0,INDEX(MeasuredXbarR!D$15:D$29,Calc!$Q14,1),""),"")</f>
        <v>6.08</v>
      </c>
      <c r="S14" s="210">
        <f>IFERROR(IF(LEN(INDEX(MeasuredXbarR!E$15:E$29,Calc!$Q14,1))&gt;0,INDEX(MeasuredXbarR!E$15:E$29,Calc!$Q14,1),""),"")</f>
        <v>6.09</v>
      </c>
      <c r="T14" s="210">
        <f>IFERROR(IF(LEN(INDEX(MeasuredXbarR!F$15:F$29,Calc!$Q14,1))&gt;0,INDEX(MeasuredXbarR!F$15:F$29,Calc!$Q14,1),""),"")</f>
        <v>6.09</v>
      </c>
      <c r="U14" s="210">
        <f>IFERROR(IF(LEN(INDEX(MeasuredXbarR!G$15:G$29,Calc!$Q14,1))&gt;0,INDEX(MeasuredXbarR!G$15:G$29,Calc!$Q14,1),""),"")</f>
        <v>5.9</v>
      </c>
      <c r="V14" s="210">
        <f>IFERROR(IF(LEN(INDEX(MeasuredXbarR!H$15:H$29,Calc!$Q14,1))&gt;0,INDEX(MeasuredXbarR!H$15:H$29,Calc!$Q14,1),""),"")</f>
        <v>5.94</v>
      </c>
      <c r="W14" s="210" t="str">
        <f>IFERROR(IF(LEN(INDEX(MeasuredXbarR!I$15:I$29,Calc!$Q14,1))&gt;0,INDEX(MeasuredXbarR!I$15:I$29,Calc!$Q14,1),""),"")</f>
        <v/>
      </c>
      <c r="X14" s="210" t="str">
        <f>IFERROR(IF(LEN(INDEX(MeasuredXbarR!J$15:J$29,Calc!$Q14,1))&gt;0,INDEX(MeasuredXbarR!J$15:J$29,Calc!$Q14,1),""),"")</f>
        <v/>
      </c>
      <c r="Y14" s="210" t="str">
        <f>IFERROR(IF(LEN(INDEX(MeasuredXbarR!K$15:K$29,Calc!$Q14,1))&gt;0,INDEX(MeasuredXbarR!K$15:K$29,Calc!$Q14,1),""),"")</f>
        <v/>
      </c>
      <c r="Z14" s="210" t="str">
        <f>IFERROR(IF(LEN(INDEX(MeasuredXbarR!L$15:L$29,Calc!$Q14,1))&gt;0,INDEX(MeasuredXbarR!L$15:L$29,Calc!$Q14,1),""),"")</f>
        <v/>
      </c>
      <c r="AA14" s="210" t="str">
        <f>IFERROR(IF(LEN(INDEX(MeasuredXbarR!M$15:M$29,Calc!$Q14,1))&gt;0,INDEX(MeasuredXbarR!M$15:M$29,Calc!$Q14,1),""),"")</f>
        <v/>
      </c>
      <c r="AB14" s="210">
        <f>IFERROR(IF(LEN(INDEX(MeasuredXbarR!N$15:N$29,Calc!$Q14,1))&gt;0,INDEX(MeasuredXbarR!N$15:N$129,Calc!$Q14,1),""),"")</f>
        <v>6.02</v>
      </c>
      <c r="AC14" s="211">
        <f>IFERROR(IF(LEN(INDEX(MeasuredXbarR!O$15:O$29,Calc!$Q14,1))&gt;0,INDEX(MeasuredXbarR!O$15:O$29,Calc!$Q14,1),""),"")</f>
        <v>0.1899999999999995</v>
      </c>
      <c r="AD14" s="212">
        <f t="array" ref="AD14">IF(Q14&gt;XbarCount,"",IF(LEN(R14)&gt;0,AVERAGE(IFERROR($AB$9:$AB$23,"")),AD13))</f>
        <v>5.9901999999999997</v>
      </c>
      <c r="AE14" s="212">
        <f>IF(Q14&gt;XbarCount,"",$AD14+(INDEX(Calc!$D$8:$D$17,MATCH(COUNTIF($R$9:$AA$9,"&gt;0"),Calc!$C$8:$C$17,0))*AVERAGE($AC$9:$AC$23)))</f>
        <v>6.0911402999301281</v>
      </c>
      <c r="AF14" s="212">
        <f>IF(Q14&gt;XbarCount,"",$AD14-(INDEX(Calc!$D$8:$D$17,MATCH(COUNTIF($R$9:$AA$9,"&gt;0"),Calc!$C$8:$C$17,0))*AVERAGE($AC$9:$AC$23)))</f>
        <v>5.8892597000698714</v>
      </c>
      <c r="AG14" s="212">
        <f t="shared" si="1"/>
        <v>0.17499999999999999</v>
      </c>
      <c r="AH14" s="212">
        <f>IF(Q14&gt;XbarCount,"",INDEX(Calc!$E$8:$E$17,MATCH(COUNTIF($R$9:$AA$9,"&gt;0"),Calc!$C$8:$C$17,0))*AVERAGE($AC$9:$AC$23))</f>
        <v>0.36994999999999995</v>
      </c>
      <c r="AI14" s="213">
        <f t="array" ref="AI14">IFERROR(SMALL(IF($AB$9:$AB$23&gt;0,$AB$9:$AB$23,""),Q14),"")</f>
        <v>5.9919999999999991</v>
      </c>
      <c r="AJ14" s="214">
        <f t="shared" si="36"/>
        <v>5.6490693957115008</v>
      </c>
      <c r="AK14" s="210">
        <f t="shared" si="2"/>
        <v>5.7059244964262508</v>
      </c>
      <c r="AL14" s="210">
        <f t="shared" si="3"/>
        <v>5.7627795971410007</v>
      </c>
      <c r="AM14" s="210">
        <f t="shared" si="4"/>
        <v>5.8196346978557498</v>
      </c>
      <c r="AN14" s="210">
        <f t="shared" si="5"/>
        <v>5.8764897985704998</v>
      </c>
      <c r="AO14" s="210">
        <f t="shared" si="6"/>
        <v>5.9333448992852498</v>
      </c>
      <c r="AP14" s="210">
        <f t="shared" si="7"/>
        <v>5.9901999999999997</v>
      </c>
      <c r="AQ14" s="210">
        <f t="shared" si="8"/>
        <v>6.0470551007147497</v>
      </c>
      <c r="AR14" s="210">
        <f t="shared" si="9"/>
        <v>6.1039102014294997</v>
      </c>
      <c r="AS14" s="210">
        <f t="shared" si="10"/>
        <v>6.1607653021442497</v>
      </c>
      <c r="AT14" s="210">
        <f t="shared" si="11"/>
        <v>6.2176204028589988</v>
      </c>
      <c r="AU14" s="210">
        <f t="shared" si="12"/>
        <v>6.2744755035737487</v>
      </c>
      <c r="AV14" s="210">
        <f t="shared" si="13"/>
        <v>6.3313306042884987</v>
      </c>
      <c r="AW14" s="200"/>
      <c r="AX14" s="200"/>
      <c r="AY14" s="200"/>
      <c r="AZ14" s="205">
        <v>6</v>
      </c>
      <c r="BA14" s="210">
        <f>IFERROR(IF(LEN(INDEX(MeasuredXMR!E$15:E$29,Calc!$AZ14,1))&gt;0,INDEX(MeasuredXMR!E$15:E$29,Calc!$AZ14,1),""),"")</f>
        <v>5.8869999999999996</v>
      </c>
      <c r="BB14" s="211">
        <f t="shared" si="37"/>
        <v>1.9444444444445017E-2</v>
      </c>
      <c r="BC14" s="212">
        <f t="array" ref="BC14">IF(AZ14&gt;XMRCount,"",IF(LEN(BA14)&gt;0,AVERAGE(IF($BA$9:$BA$23&gt;0,$BA$9:$BA$23,"")),BC13))</f>
        <v>5.8989000000000003</v>
      </c>
      <c r="BD14" s="212">
        <f t="shared" si="38"/>
        <v>2.6000000000001577E-2</v>
      </c>
      <c r="BE14" s="212">
        <f t="shared" si="39"/>
        <v>5.9506139479905453</v>
      </c>
      <c r="BF14" s="212">
        <f t="shared" si="14"/>
        <v>5.8471860520094552</v>
      </c>
      <c r="BG14" s="212">
        <f t="shared" si="15"/>
        <v>6.3525000000001872E-2</v>
      </c>
      <c r="BH14" s="212">
        <f t="shared" si="16"/>
        <v>0</v>
      </c>
      <c r="BI14" s="213">
        <f t="array" ref="BI14">IFERROR(SMALL(IF($BA$9:$BA$23&gt;0,$BA$9:$BA$23,""),Q14),"")</f>
        <v>5.9</v>
      </c>
      <c r="BJ14" s="214">
        <f t="shared" si="17"/>
        <v>5.8299887970072835</v>
      </c>
      <c r="BK14" s="210">
        <f t="shared" si="18"/>
        <v>5.8414739975060694</v>
      </c>
      <c r="BL14" s="210">
        <f t="shared" si="19"/>
        <v>5.8529591980048554</v>
      </c>
      <c r="BM14" s="210">
        <f t="shared" si="20"/>
        <v>5.8644443985036414</v>
      </c>
      <c r="BN14" s="210">
        <f t="shared" si="21"/>
        <v>5.8759295990024283</v>
      </c>
      <c r="BO14" s="210">
        <f t="shared" si="22"/>
        <v>5.8874147995012143</v>
      </c>
      <c r="BP14" s="210">
        <f t="shared" si="23"/>
        <v>5.8989000000000003</v>
      </c>
      <c r="BQ14" s="210">
        <f t="shared" si="24"/>
        <v>5.9103852004987862</v>
      </c>
      <c r="BR14" s="210">
        <f t="shared" si="25"/>
        <v>5.9218704009975722</v>
      </c>
      <c r="BS14" s="210">
        <f t="shared" si="26"/>
        <v>5.9333556014963591</v>
      </c>
      <c r="BT14" s="210">
        <f t="shared" si="27"/>
        <v>5.9448408019951451</v>
      </c>
      <c r="BU14" s="210">
        <f t="shared" si="28"/>
        <v>5.9563260024939311</v>
      </c>
      <c r="BV14" s="210">
        <f t="shared" si="29"/>
        <v>5.9678112029927171</v>
      </c>
      <c r="BW14" s="200"/>
      <c r="BZ14" s="205">
        <v>6</v>
      </c>
      <c r="CA14" s="210">
        <f>IFERROR(IF(LEN(INDEX(CountDefectives!D$9:D$23,Calc!$BZ14,1))&gt;0,INDEX(CountDefectives!D$9:D$23,Calc!$BZ14,1),""),"")</f>
        <v>1050</v>
      </c>
      <c r="CB14" s="211">
        <f>IFERROR(IF(LEN(INDEX(CountDefectives!E$9:E$23,Calc!$BZ14,1))&gt;0,INDEX(CountDefectives!E$9:E$23,Calc!$BZ14,1),""),"")</f>
        <v>9</v>
      </c>
      <c r="CC14" s="212">
        <f t="shared" si="40"/>
        <v>8.5714285714285719E-3</v>
      </c>
      <c r="CD14" s="215">
        <f t="shared" si="41"/>
        <v>1.4059621309564761E-2</v>
      </c>
      <c r="CE14" s="215">
        <f t="shared" si="30"/>
        <v>3.6334357816307501E-3</v>
      </c>
      <c r="CF14" s="212">
        <f t="shared" si="31"/>
        <v>2.4959928654457009E-2</v>
      </c>
      <c r="CG14" s="212">
        <f t="shared" si="32"/>
        <v>3.1593139646725107E-3</v>
      </c>
      <c r="CJ14" s="205">
        <v>6</v>
      </c>
      <c r="CK14" s="210">
        <f>IFERROR(IF(LEN(INDEX(CountDefects!D$9:D$23,Calc!$CJ14,1))&gt;0,INDEX(CountDefects!D$9:D$23,Calc!$CJ14,1),""),"")</f>
        <v>1575</v>
      </c>
      <c r="CL14" s="211">
        <f>IFERROR(IF(LEN(INDEX(CountDefects!E$9:E$23,Calc!$CJ14,1))&gt;0,INDEX(CountDefects!E$9:E$23,Calc!$CJ14,1),""),"")</f>
        <v>6</v>
      </c>
      <c r="CM14" s="212">
        <f t="shared" si="42"/>
        <v>3.8095238095238095E-3</v>
      </c>
      <c r="CN14" s="215">
        <f t="shared" si="33"/>
        <v>6.9346437618263744E-3</v>
      </c>
      <c r="CO14" s="215">
        <f t="shared" si="43"/>
        <v>2.0983203807348441E-3</v>
      </c>
      <c r="CP14" s="212">
        <f t="shared" si="34"/>
        <v>1.3229604904030908E-2</v>
      </c>
      <c r="CQ14" s="212">
        <f t="shared" si="35"/>
        <v>6.3968261962184161E-4</v>
      </c>
    </row>
    <row r="15" spans="1:95" x14ac:dyDescent="0.25">
      <c r="C15" s="220">
        <v>8</v>
      </c>
      <c r="D15" s="207">
        <f t="shared" si="0"/>
        <v>0.37255362549343912</v>
      </c>
      <c r="E15" s="217">
        <v>1.8640000000000001</v>
      </c>
      <c r="F15" s="218">
        <v>2.847</v>
      </c>
      <c r="Q15" s="205">
        <v>7</v>
      </c>
      <c r="R15" s="210">
        <f>IFERROR(IF(LEN(INDEX(MeasuredXbarR!D$15:D$29,Calc!$Q15,1))&gt;0,INDEX(MeasuredXbarR!D$15:D$29,Calc!$Q15,1),""),"")</f>
        <v>5.98</v>
      </c>
      <c r="S15" s="210">
        <f>IFERROR(IF(LEN(INDEX(MeasuredXbarR!E$15:E$29,Calc!$Q15,1))&gt;0,INDEX(MeasuredXbarR!E$15:E$29,Calc!$Q15,1),""),"")</f>
        <v>5.97</v>
      </c>
      <c r="T15" s="210">
        <f>IFERROR(IF(LEN(INDEX(MeasuredXbarR!F$15:F$29,Calc!$Q15,1))&gt;0,INDEX(MeasuredXbarR!F$15:F$29,Calc!$Q15,1),""),"")</f>
        <v>5.97</v>
      </c>
      <c r="U15" s="210">
        <f>IFERROR(IF(LEN(INDEX(MeasuredXbarR!G$15:G$29,Calc!$Q15,1))&gt;0,INDEX(MeasuredXbarR!G$15:G$29,Calc!$Q15,1),""),"")</f>
        <v>5.92</v>
      </c>
      <c r="V15" s="210">
        <f>IFERROR(IF(LEN(INDEX(MeasuredXbarR!H$15:H$29,Calc!$Q15,1))&gt;0,INDEX(MeasuredXbarR!H$15:H$29,Calc!$Q15,1),""),"")</f>
        <v>6.08</v>
      </c>
      <c r="W15" s="210" t="str">
        <f>IFERROR(IF(LEN(INDEX(MeasuredXbarR!I$15:I$29,Calc!$Q15,1))&gt;0,INDEX(MeasuredXbarR!I$15:I$29,Calc!$Q15,1),""),"")</f>
        <v/>
      </c>
      <c r="X15" s="210" t="str">
        <f>IFERROR(IF(LEN(INDEX(MeasuredXbarR!J$15:J$29,Calc!$Q15,1))&gt;0,INDEX(MeasuredXbarR!J$15:J$29,Calc!$Q15,1),""),"")</f>
        <v/>
      </c>
      <c r="Y15" s="210" t="str">
        <f>IFERROR(IF(LEN(INDEX(MeasuredXbarR!K$15:K$29,Calc!$Q15,1))&gt;0,INDEX(MeasuredXbarR!K$15:K$29,Calc!$Q15,1),""),"")</f>
        <v/>
      </c>
      <c r="Z15" s="210" t="str">
        <f>IFERROR(IF(LEN(INDEX(MeasuredXbarR!L$15:L$29,Calc!$Q15,1))&gt;0,INDEX(MeasuredXbarR!L$15:L$29,Calc!$Q15,1),""),"")</f>
        <v/>
      </c>
      <c r="AA15" s="210" t="str">
        <f>IFERROR(IF(LEN(INDEX(MeasuredXbarR!M$15:M$29,Calc!$Q15,1))&gt;0,INDEX(MeasuredXbarR!M$15:M$29,Calc!$Q15,1),""),"")</f>
        <v/>
      </c>
      <c r="AB15" s="210">
        <f>IFERROR(IF(LEN(INDEX(MeasuredXbarR!N$15:N$29,Calc!$Q15,1))&gt;0,INDEX(MeasuredXbarR!N$15:N$129,Calc!$Q15,1),""),"")</f>
        <v>5.9839999999999991</v>
      </c>
      <c r="AC15" s="211">
        <f>IFERROR(IF(LEN(INDEX(MeasuredXbarR!O$15:O$29,Calc!$Q15,1))&gt;0,INDEX(MeasuredXbarR!O$15:O$29,Calc!$Q15,1),""),"")</f>
        <v>0.16000000000000014</v>
      </c>
      <c r="AD15" s="212">
        <f t="array" ref="AD15">IF(Q15&gt;XbarCount,"",IF(LEN(R15)&gt;0,AVERAGE(IFERROR($AB$9:$AB$23,"")),AD14))</f>
        <v>5.9901999999999997</v>
      </c>
      <c r="AE15" s="212">
        <f>IF(Q15&gt;XbarCount,"",$AD15+(INDEX(Calc!$D$8:$D$17,MATCH(COUNTIF($R$9:$AA$9,"&gt;0"),Calc!$C$8:$C$17,0))*AVERAGE($AC$9:$AC$23)))</f>
        <v>6.0911402999301281</v>
      </c>
      <c r="AF15" s="212">
        <f>IF(Q15&gt;XbarCount,"",$AD15-(INDEX(Calc!$D$8:$D$17,MATCH(COUNTIF($R$9:$AA$9,"&gt;0"),Calc!$C$8:$C$17,0))*AVERAGE($AC$9:$AC$23)))</f>
        <v>5.8892597000698714</v>
      </c>
      <c r="AG15" s="212">
        <f t="shared" si="1"/>
        <v>0.17499999999999999</v>
      </c>
      <c r="AH15" s="212">
        <f>IF(Q15&gt;XbarCount,"",INDEX(Calc!$E$8:$E$17,MATCH(COUNTIF($R$9:$AA$9,"&gt;0"),Calc!$C$8:$C$17,0))*AVERAGE($AC$9:$AC$23))</f>
        <v>0.36994999999999995</v>
      </c>
      <c r="AI15" s="213">
        <f t="array" ref="AI15">IFERROR(SMALL(IF($AB$9:$AB$23&gt;0,$AB$9:$AB$23,""),Q15),"")</f>
        <v>5.9939999999999998</v>
      </c>
      <c r="AJ15" s="214">
        <f t="shared" si="36"/>
        <v>5.6490693957115008</v>
      </c>
      <c r="AK15" s="210">
        <f t="shared" si="2"/>
        <v>5.7059244964262508</v>
      </c>
      <c r="AL15" s="210">
        <f t="shared" si="3"/>
        <v>5.7627795971410007</v>
      </c>
      <c r="AM15" s="210">
        <f t="shared" si="4"/>
        <v>5.8196346978557498</v>
      </c>
      <c r="AN15" s="210">
        <f t="shared" si="5"/>
        <v>5.8764897985704998</v>
      </c>
      <c r="AO15" s="210">
        <f t="shared" si="6"/>
        <v>5.9333448992852498</v>
      </c>
      <c r="AP15" s="210">
        <f t="shared" si="7"/>
        <v>5.9901999999999997</v>
      </c>
      <c r="AQ15" s="210">
        <f t="shared" si="8"/>
        <v>6.0470551007147497</v>
      </c>
      <c r="AR15" s="210">
        <f t="shared" si="9"/>
        <v>6.1039102014294997</v>
      </c>
      <c r="AS15" s="210">
        <f t="shared" si="10"/>
        <v>6.1607653021442497</v>
      </c>
      <c r="AT15" s="210">
        <f t="shared" si="11"/>
        <v>6.2176204028589988</v>
      </c>
      <c r="AU15" s="210">
        <f t="shared" si="12"/>
        <v>6.2744755035737487</v>
      </c>
      <c r="AV15" s="210">
        <f t="shared" si="13"/>
        <v>6.3313306042884987</v>
      </c>
      <c r="AZ15" s="205">
        <v>7</v>
      </c>
      <c r="BA15" s="210">
        <f>IFERROR(IF(LEN(INDEX(MeasuredXMR!E$15:E$29,Calc!$AZ15,1))&gt;0,INDEX(MeasuredXMR!E$15:E$29,Calc!$AZ15,1),""),"")</f>
        <v>5.9130000000000011</v>
      </c>
      <c r="BB15" s="211">
        <f t="shared" si="37"/>
        <v>1.9444444444445017E-2</v>
      </c>
      <c r="BC15" s="212">
        <f t="array" ref="BC15">IF(AZ15&gt;XMRCount,"",IF(LEN(BA15)&gt;0,AVERAGE(IF($BA$9:$BA$23&gt;0,$BA$9:$BA$23,"")),BC14))</f>
        <v>5.8989000000000003</v>
      </c>
      <c r="BD15" s="212">
        <f t="shared" si="38"/>
        <v>2.8000000000001357E-2</v>
      </c>
      <c r="BE15" s="212">
        <f t="shared" si="39"/>
        <v>5.9506139479905453</v>
      </c>
      <c r="BF15" s="212">
        <f t="shared" si="14"/>
        <v>5.8471860520094552</v>
      </c>
      <c r="BG15" s="212">
        <f t="shared" si="15"/>
        <v>6.3525000000001872E-2</v>
      </c>
      <c r="BH15" s="212">
        <f t="shared" si="16"/>
        <v>0</v>
      </c>
      <c r="BI15" s="213">
        <f t="array" ref="BI15">IFERROR(SMALL(IF($BA$9:$BA$23&gt;0,$BA$9:$BA$23,""),Q15),"")</f>
        <v>5.9029999999999996</v>
      </c>
      <c r="BJ15" s="214">
        <f t="shared" si="17"/>
        <v>5.8299887970072835</v>
      </c>
      <c r="BK15" s="210">
        <f t="shared" si="18"/>
        <v>5.8414739975060694</v>
      </c>
      <c r="BL15" s="210">
        <f t="shared" si="19"/>
        <v>5.8529591980048554</v>
      </c>
      <c r="BM15" s="210">
        <f t="shared" si="20"/>
        <v>5.8644443985036414</v>
      </c>
      <c r="BN15" s="210">
        <f t="shared" si="21"/>
        <v>5.8759295990024283</v>
      </c>
      <c r="BO15" s="210">
        <f t="shared" si="22"/>
        <v>5.8874147995012143</v>
      </c>
      <c r="BP15" s="210">
        <f t="shared" si="23"/>
        <v>5.8989000000000003</v>
      </c>
      <c r="BQ15" s="210">
        <f t="shared" si="24"/>
        <v>5.9103852004987862</v>
      </c>
      <c r="BR15" s="210">
        <f t="shared" si="25"/>
        <v>5.9218704009975722</v>
      </c>
      <c r="BS15" s="210">
        <f t="shared" si="26"/>
        <v>5.9333556014963591</v>
      </c>
      <c r="BT15" s="210">
        <f t="shared" si="27"/>
        <v>5.9448408019951451</v>
      </c>
      <c r="BU15" s="210">
        <f t="shared" si="28"/>
        <v>5.9563260024939311</v>
      </c>
      <c r="BV15" s="210">
        <f t="shared" si="29"/>
        <v>5.9678112029927171</v>
      </c>
      <c r="BZ15" s="205">
        <v>7</v>
      </c>
      <c r="CA15" s="210">
        <f>IFERROR(IF(LEN(INDEX(CountDefectives!D$9:D$23,Calc!$BZ15,1))&gt;0,INDEX(CountDefectives!D$9:D$23,Calc!$BZ15,1),""),"")</f>
        <v>1036.6666666666699</v>
      </c>
      <c r="CB15" s="211">
        <f>IFERROR(IF(LEN(INDEX(CountDefectives!E$9:E$23,Calc!$BZ15,1))&gt;0,INDEX(CountDefectives!E$9:E$23,Calc!$BZ15,1),""),"")</f>
        <v>11</v>
      </c>
      <c r="CC15" s="212">
        <f t="shared" si="40"/>
        <v>1.0610932475884211E-2</v>
      </c>
      <c r="CD15" s="215">
        <f t="shared" si="41"/>
        <v>1.4059621309564761E-2</v>
      </c>
      <c r="CE15" s="215">
        <f t="shared" si="30"/>
        <v>3.6567272751491368E-3</v>
      </c>
      <c r="CF15" s="212">
        <f t="shared" si="31"/>
        <v>2.5029803135012171E-2</v>
      </c>
      <c r="CG15" s="212">
        <f t="shared" si="32"/>
        <v>3.0894394841173498E-3</v>
      </c>
      <c r="CJ15" s="205">
        <v>7</v>
      </c>
      <c r="CK15" s="210">
        <f>IFERROR(IF(LEN(INDEX(CountDefects!D$9:D$23,Calc!$CJ15,1))&gt;0,INDEX(CountDefects!D$9:D$23,Calc!$CJ15,1),""),"")</f>
        <v>1555.000000000005</v>
      </c>
      <c r="CL15" s="211">
        <f>IFERROR(IF(LEN(INDEX(CountDefects!E$9:E$23,Calc!$CJ15,1))&gt;0,INDEX(CountDefects!E$9:E$23,Calc!$CJ15,1),""),"")</f>
        <v>8</v>
      </c>
      <c r="CM15" s="212">
        <f t="shared" si="42"/>
        <v>5.1446945337620415E-3</v>
      </c>
      <c r="CN15" s="215">
        <f t="shared" si="33"/>
        <v>6.9346437618263744E-3</v>
      </c>
      <c r="CO15" s="215">
        <f t="shared" si="43"/>
        <v>2.111771290145289E-3</v>
      </c>
      <c r="CP15" s="212">
        <f t="shared" si="34"/>
        <v>1.3269957632262241E-2</v>
      </c>
      <c r="CQ15" s="212">
        <f t="shared" si="35"/>
        <v>5.9932989139050742E-4</v>
      </c>
    </row>
    <row r="16" spans="1:95" ht="15" customHeight="1" x14ac:dyDescent="0.25">
      <c r="C16" s="220">
        <v>9</v>
      </c>
      <c r="D16" s="207">
        <f t="shared" si="0"/>
        <v>0.33670033670033672</v>
      </c>
      <c r="E16" s="217">
        <v>1.8160000000000001</v>
      </c>
      <c r="F16" s="218">
        <v>2.97</v>
      </c>
      <c r="Q16" s="205">
        <v>8</v>
      </c>
      <c r="R16" s="210">
        <f>IFERROR(IF(LEN(INDEX(MeasuredXbarR!D$15:D$29,Calc!$Q16,1))&gt;0,INDEX(MeasuredXbarR!D$15:D$29,Calc!$Q16,1),""),"")</f>
        <v>5.95</v>
      </c>
      <c r="S16" s="210">
        <f>IFERROR(IF(LEN(INDEX(MeasuredXbarR!E$15:E$29,Calc!$Q16,1))&gt;0,INDEX(MeasuredXbarR!E$15:E$29,Calc!$Q16,1),""),"")</f>
        <v>6.07</v>
      </c>
      <c r="T16" s="210">
        <f>IFERROR(IF(LEN(INDEX(MeasuredXbarR!F$15:F$29,Calc!$Q16,1))&gt;0,INDEX(MeasuredXbarR!F$15:F$29,Calc!$Q16,1),""),"")</f>
        <v>5.96</v>
      </c>
      <c r="U16" s="210">
        <f>IFERROR(IF(LEN(INDEX(MeasuredXbarR!G$15:G$29,Calc!$Q16,1))&gt;0,INDEX(MeasuredXbarR!G$15:G$29,Calc!$Q16,1),""),"")</f>
        <v>6.06</v>
      </c>
      <c r="V16" s="210">
        <f>IFERROR(IF(LEN(INDEX(MeasuredXbarR!H$15:H$29,Calc!$Q16,1))&gt;0,INDEX(MeasuredXbarR!H$15:H$29,Calc!$Q16,1),""),"")</f>
        <v>5.93</v>
      </c>
      <c r="W16" s="210" t="str">
        <f>IFERROR(IF(LEN(INDEX(MeasuredXbarR!I$15:I$29,Calc!$Q16,1))&gt;0,INDEX(MeasuredXbarR!I$15:I$29,Calc!$Q16,1),""),"")</f>
        <v/>
      </c>
      <c r="X16" s="210" t="str">
        <f>IFERROR(IF(LEN(INDEX(MeasuredXbarR!J$15:J$29,Calc!$Q16,1))&gt;0,INDEX(MeasuredXbarR!J$15:J$29,Calc!$Q16,1),""),"")</f>
        <v/>
      </c>
      <c r="Y16" s="210" t="str">
        <f>IFERROR(IF(LEN(INDEX(MeasuredXbarR!K$15:K$29,Calc!$Q16,1))&gt;0,INDEX(MeasuredXbarR!K$15:K$29,Calc!$Q16,1),""),"")</f>
        <v/>
      </c>
      <c r="Z16" s="210" t="str">
        <f>IFERROR(IF(LEN(INDEX(MeasuredXbarR!L$15:L$29,Calc!$Q16,1))&gt;0,INDEX(MeasuredXbarR!L$15:L$29,Calc!$Q16,1),""),"")</f>
        <v/>
      </c>
      <c r="AA16" s="210" t="str">
        <f>IFERROR(IF(LEN(INDEX(MeasuredXbarR!M$15:M$29,Calc!$Q16,1))&gt;0,INDEX(MeasuredXbarR!M$15:M$29,Calc!$Q16,1),""),"")</f>
        <v/>
      </c>
      <c r="AB16" s="210">
        <f>IFERROR(IF(LEN(INDEX(MeasuredXbarR!N$15:N$29,Calc!$Q16,1))&gt;0,INDEX(MeasuredXbarR!N$15:N$129,Calc!$Q16,1),""),"")</f>
        <v>5.9939999999999998</v>
      </c>
      <c r="AC16" s="211">
        <f>IFERROR(IF(LEN(INDEX(MeasuredXbarR!O$15:O$29,Calc!$Q16,1))&gt;0,INDEX(MeasuredXbarR!O$15:O$29,Calc!$Q16,1),""),"")</f>
        <v>0.14000000000000057</v>
      </c>
      <c r="AD16" s="212">
        <f t="array" ref="AD16">IF(Q16&gt;XbarCount,"",IF(LEN(R16)&gt;0,AVERAGE(IFERROR($AB$9:$AB$23,"")),AD15))</f>
        <v>5.9901999999999997</v>
      </c>
      <c r="AE16" s="212">
        <f>IF(Q16&gt;XbarCount,"",$AD16+(INDEX(Calc!$D$8:$D$17,MATCH(COUNTIF($R$9:$AA$9,"&gt;0"),Calc!$C$8:$C$17,0))*AVERAGE($AC$9:$AC$23)))</f>
        <v>6.0911402999301281</v>
      </c>
      <c r="AF16" s="212">
        <f>IF(Q16&gt;XbarCount,"",$AD16-(INDEX(Calc!$D$8:$D$17,MATCH(COUNTIF($R$9:$AA$9,"&gt;0"),Calc!$C$8:$C$17,0))*AVERAGE($AC$9:$AC$23)))</f>
        <v>5.8892597000698714</v>
      </c>
      <c r="AG16" s="212">
        <f t="shared" si="1"/>
        <v>0.17499999999999999</v>
      </c>
      <c r="AH16" s="212">
        <f>IF(Q16&gt;XbarCount,"",INDEX(Calc!$E$8:$E$17,MATCH(COUNTIF($R$9:$AA$9,"&gt;0"),Calc!$C$8:$C$17,0))*AVERAGE($AC$9:$AC$23))</f>
        <v>0.36994999999999995</v>
      </c>
      <c r="AI16" s="213">
        <f t="array" ref="AI16">IFERROR(SMALL(IF($AB$9:$AB$23&gt;0,$AB$9:$AB$23,""),Q16),"")</f>
        <v>6.0179999999999998</v>
      </c>
      <c r="AJ16" s="214">
        <f t="shared" si="36"/>
        <v>5.6490693957115008</v>
      </c>
      <c r="AK16" s="210">
        <f t="shared" si="2"/>
        <v>5.7059244964262508</v>
      </c>
      <c r="AL16" s="210">
        <f t="shared" si="3"/>
        <v>5.7627795971410007</v>
      </c>
      <c r="AM16" s="210">
        <f t="shared" si="4"/>
        <v>5.8196346978557498</v>
      </c>
      <c r="AN16" s="210">
        <f t="shared" si="5"/>
        <v>5.8764897985704998</v>
      </c>
      <c r="AO16" s="210">
        <f t="shared" si="6"/>
        <v>5.9333448992852498</v>
      </c>
      <c r="AP16" s="210">
        <f t="shared" si="7"/>
        <v>5.9901999999999997</v>
      </c>
      <c r="AQ16" s="210">
        <f t="shared" si="8"/>
        <v>6.0470551007147497</v>
      </c>
      <c r="AR16" s="210">
        <f t="shared" si="9"/>
        <v>6.1039102014294997</v>
      </c>
      <c r="AS16" s="210">
        <f t="shared" si="10"/>
        <v>6.1607653021442497</v>
      </c>
      <c r="AT16" s="210">
        <f t="shared" si="11"/>
        <v>6.2176204028589988</v>
      </c>
      <c r="AU16" s="210">
        <f t="shared" si="12"/>
        <v>6.2744755035737487</v>
      </c>
      <c r="AV16" s="210">
        <f t="shared" si="13"/>
        <v>6.3313306042884987</v>
      </c>
      <c r="AZ16" s="205">
        <v>8</v>
      </c>
      <c r="BA16" s="210">
        <f>IFERROR(IF(LEN(INDEX(MeasuredXMR!E$15:E$29,Calc!$AZ16,1))&gt;0,INDEX(MeasuredXMR!E$15:E$29,Calc!$AZ16,1),""),"")</f>
        <v>5.8849999999999998</v>
      </c>
      <c r="BB16" s="211">
        <f t="shared" si="37"/>
        <v>1.9444444444445017E-2</v>
      </c>
      <c r="BC16" s="212">
        <f t="array" ref="BC16">IF(AZ16&gt;XMRCount,"",IF(LEN(BA16)&gt;0,AVERAGE(IF($BA$9:$BA$23&gt;0,$BA$9:$BA$23,"")),BC15))</f>
        <v>5.8989000000000003</v>
      </c>
      <c r="BD16" s="212">
        <f t="shared" si="38"/>
        <v>3.0000000000001137E-2</v>
      </c>
      <c r="BE16" s="212">
        <f t="shared" si="39"/>
        <v>5.9506139479905453</v>
      </c>
      <c r="BF16" s="212">
        <f t="shared" si="14"/>
        <v>5.8471860520094552</v>
      </c>
      <c r="BG16" s="212">
        <f t="shared" si="15"/>
        <v>6.3525000000001872E-2</v>
      </c>
      <c r="BH16" s="212">
        <f t="shared" si="16"/>
        <v>0</v>
      </c>
      <c r="BI16" s="213">
        <f t="array" ref="BI16">IFERROR(SMALL(IF($BA$9:$BA$23&gt;0,$BA$9:$BA$23,""),Q16),"")</f>
        <v>5.91</v>
      </c>
      <c r="BJ16" s="214">
        <f t="shared" si="17"/>
        <v>5.8299887970072835</v>
      </c>
      <c r="BK16" s="210">
        <f t="shared" si="18"/>
        <v>5.8414739975060694</v>
      </c>
      <c r="BL16" s="210">
        <f t="shared" si="19"/>
        <v>5.8529591980048554</v>
      </c>
      <c r="BM16" s="210">
        <f t="shared" si="20"/>
        <v>5.8644443985036414</v>
      </c>
      <c r="BN16" s="210">
        <f t="shared" si="21"/>
        <v>5.8759295990024283</v>
      </c>
      <c r="BO16" s="210">
        <f t="shared" si="22"/>
        <v>5.8874147995012143</v>
      </c>
      <c r="BP16" s="210">
        <f t="shared" si="23"/>
        <v>5.8989000000000003</v>
      </c>
      <c r="BQ16" s="210">
        <f t="shared" si="24"/>
        <v>5.9103852004987862</v>
      </c>
      <c r="BR16" s="210">
        <f t="shared" si="25"/>
        <v>5.9218704009975722</v>
      </c>
      <c r="BS16" s="210">
        <f t="shared" si="26"/>
        <v>5.9333556014963591</v>
      </c>
      <c r="BT16" s="210">
        <f t="shared" si="27"/>
        <v>5.9448408019951451</v>
      </c>
      <c r="BU16" s="210">
        <f t="shared" si="28"/>
        <v>5.9563260024939311</v>
      </c>
      <c r="BV16" s="210">
        <f t="shared" si="29"/>
        <v>5.9678112029927171</v>
      </c>
      <c r="BZ16" s="205">
        <v>8</v>
      </c>
      <c r="CA16" s="210">
        <f>IFERROR(IF(LEN(INDEX(CountDefectives!D$9:D$23,Calc!$BZ16,1))&gt;0,INDEX(CountDefectives!D$9:D$23,Calc!$BZ16,1),""),"")</f>
        <v>1300</v>
      </c>
      <c r="CB16" s="211">
        <f>IFERROR(IF(LEN(INDEX(CountDefectives!E$9:E$23,Calc!$BZ16,1))&gt;0,INDEX(CountDefectives!E$9:E$23,Calc!$BZ16,1),""),"")</f>
        <v>20</v>
      </c>
      <c r="CC16" s="212">
        <f t="shared" si="40"/>
        <v>1.5384615384615385E-2</v>
      </c>
      <c r="CD16" s="215">
        <f t="shared" si="41"/>
        <v>1.4059621309564761E-2</v>
      </c>
      <c r="CE16" s="215">
        <f t="shared" si="30"/>
        <v>3.2654306298882862E-3</v>
      </c>
      <c r="CF16" s="212">
        <f t="shared" si="31"/>
        <v>2.3855913199229618E-2</v>
      </c>
      <c r="CG16" s="212">
        <f t="shared" si="32"/>
        <v>4.2633294198999028E-3</v>
      </c>
      <c r="CJ16" s="205">
        <v>8</v>
      </c>
      <c r="CK16" s="210">
        <f>IFERROR(IF(LEN(INDEX(CountDefects!D$9:D$23,Calc!$CJ16,1))&gt;0,INDEX(CountDefects!D$9:D$23,Calc!$CJ16,1),""),"")</f>
        <v>1950</v>
      </c>
      <c r="CL16" s="211">
        <f>IFERROR(IF(LEN(INDEX(CountDefects!E$9:E$23,Calc!$CJ16,1))&gt;0,INDEX(CountDefects!E$9:E$23,Calc!$CJ16,1),""),"")</f>
        <v>15</v>
      </c>
      <c r="CM16" s="212">
        <f t="shared" si="42"/>
        <v>7.6923076923076927E-3</v>
      </c>
      <c r="CN16" s="215">
        <f t="shared" si="33"/>
        <v>6.9346437618263744E-3</v>
      </c>
      <c r="CO16" s="215">
        <f t="shared" si="43"/>
        <v>1.8857962695284375E-3</v>
      </c>
      <c r="CP16" s="212">
        <f t="shared" si="34"/>
        <v>1.2592032570411686E-2</v>
      </c>
      <c r="CQ16" s="212">
        <f t="shared" si="35"/>
        <v>1.2772549532410618E-3</v>
      </c>
    </row>
    <row r="17" spans="3:95" x14ac:dyDescent="0.25">
      <c r="C17" s="220">
        <v>10</v>
      </c>
      <c r="D17" s="207">
        <f t="shared" si="0"/>
        <v>0.3082141968975029</v>
      </c>
      <c r="E17" s="217">
        <v>1.7769999999999999</v>
      </c>
      <c r="F17" s="218">
        <v>3.0779999999999998</v>
      </c>
      <c r="Q17" s="219">
        <v>9</v>
      </c>
      <c r="R17" s="210">
        <f>IFERROR(IF(LEN(INDEX(MeasuredXbarR!D$15:D$29,Calc!$Q17,1))&gt;0,INDEX(MeasuredXbarR!D$15:D$29,Calc!$Q17,1),""),"")</f>
        <v>5.91</v>
      </c>
      <c r="S17" s="210">
        <f>IFERROR(IF(LEN(INDEX(MeasuredXbarR!E$15:E$29,Calc!$Q17,1))&gt;0,INDEX(MeasuredXbarR!E$15:E$29,Calc!$Q17,1),""),"")</f>
        <v>5.9</v>
      </c>
      <c r="T17" s="210">
        <f>IFERROR(IF(LEN(INDEX(MeasuredXbarR!F$15:F$29,Calc!$Q17,1))&gt;0,INDEX(MeasuredXbarR!F$15:F$29,Calc!$Q17,1),""),"")</f>
        <v>5.91</v>
      </c>
      <c r="U17" s="210">
        <f>IFERROR(IF(LEN(INDEX(MeasuredXbarR!G$15:G$29,Calc!$Q17,1))&gt;0,INDEX(MeasuredXbarR!G$15:G$29,Calc!$Q17,1),""),"")</f>
        <v>6.12</v>
      </c>
      <c r="V17" s="210">
        <f>IFERROR(IF(LEN(INDEX(MeasuredXbarR!H$15:H$29,Calc!$Q17,1))&gt;0,INDEX(MeasuredXbarR!H$15:H$29,Calc!$Q17,1),""),"")</f>
        <v>6.07</v>
      </c>
      <c r="W17" s="210" t="str">
        <f>IFERROR(IF(LEN(INDEX(MeasuredXbarR!I$15:I$29,Calc!$Q17,1))&gt;0,INDEX(MeasuredXbarR!I$15:I$29,Calc!$Q17,1),""),"")</f>
        <v/>
      </c>
      <c r="X17" s="210" t="str">
        <f>IFERROR(IF(LEN(INDEX(MeasuredXbarR!J$15:J$29,Calc!$Q17,1))&gt;0,INDEX(MeasuredXbarR!J$15:J$29,Calc!$Q17,1),""),"")</f>
        <v/>
      </c>
      <c r="Y17" s="210" t="str">
        <f>IFERROR(IF(LEN(INDEX(MeasuredXbarR!K$15:K$29,Calc!$Q17,1))&gt;0,INDEX(MeasuredXbarR!K$15:K$29,Calc!$Q17,1),""),"")</f>
        <v/>
      </c>
      <c r="Z17" s="210" t="str">
        <f>IFERROR(IF(LEN(INDEX(MeasuredXbarR!L$15:L$29,Calc!$Q17,1))&gt;0,INDEX(MeasuredXbarR!L$15:L$29,Calc!$Q17,1),""),"")</f>
        <v/>
      </c>
      <c r="AA17" s="210" t="str">
        <f>IFERROR(IF(LEN(INDEX(MeasuredXbarR!M$15:M$29,Calc!$Q17,1))&gt;0,INDEX(MeasuredXbarR!M$15:M$29,Calc!$Q17,1),""),"")</f>
        <v/>
      </c>
      <c r="AB17" s="210">
        <f>IFERROR(IF(LEN(INDEX(MeasuredXbarR!N$15:N$29,Calc!$Q17,1))&gt;0,INDEX(MeasuredXbarR!N$15:N$129,Calc!$Q17,1),""),"")</f>
        <v>5.9820000000000002</v>
      </c>
      <c r="AC17" s="211">
        <f>IFERROR(IF(LEN(INDEX(MeasuredXbarR!O$15:O$29,Calc!$Q17,1))&gt;0,INDEX(MeasuredXbarR!O$15:O$29,Calc!$Q17,1),""),"")</f>
        <v>0.21999999999999975</v>
      </c>
      <c r="AD17" s="212">
        <f t="array" ref="AD17">IF(Q17&gt;XbarCount,"",IF(LEN(R17)&gt;0,AVERAGE(IFERROR($AB$9:$AB$23,"")),AD16))</f>
        <v>5.9901999999999997</v>
      </c>
      <c r="AE17" s="212">
        <f>IF(Q17&gt;XbarCount,"",$AD17+(INDEX(Calc!$D$8:$D$17,MATCH(COUNTIF($R$9:$AA$9,"&gt;0"),Calc!$C$8:$C$17,0))*AVERAGE($AC$9:$AC$23)))</f>
        <v>6.0911402999301281</v>
      </c>
      <c r="AF17" s="212">
        <f>IF(Q17&gt;XbarCount,"",$AD17-(INDEX(Calc!$D$8:$D$17,MATCH(COUNTIF($R$9:$AA$9,"&gt;0"),Calc!$C$8:$C$17,0))*AVERAGE($AC$9:$AC$23)))</f>
        <v>5.8892597000698714</v>
      </c>
      <c r="AG17" s="212">
        <f t="shared" si="1"/>
        <v>0.17499999999999999</v>
      </c>
      <c r="AH17" s="212">
        <f>IF(Q17&gt;XbarCount,"",INDEX(Calc!$E$8:$E$17,MATCH(COUNTIF($R$9:$AA$9,"&gt;0"),Calc!$C$8:$C$17,0))*AVERAGE($AC$9:$AC$23))</f>
        <v>0.36994999999999995</v>
      </c>
      <c r="AI17" s="213">
        <f t="array" ref="AI17">IFERROR(SMALL(IF($AB$9:$AB$23&gt;0,$AB$9:$AB$23,""),Q17),"")</f>
        <v>6.02</v>
      </c>
      <c r="AJ17" s="214">
        <f t="shared" si="36"/>
        <v>5.6490693957115008</v>
      </c>
      <c r="AK17" s="210">
        <f t="shared" si="2"/>
        <v>5.7059244964262508</v>
      </c>
      <c r="AL17" s="210">
        <f t="shared" si="3"/>
        <v>5.7627795971410007</v>
      </c>
      <c r="AM17" s="210">
        <f t="shared" si="4"/>
        <v>5.8196346978557498</v>
      </c>
      <c r="AN17" s="210">
        <f t="shared" si="5"/>
        <v>5.8764897985704998</v>
      </c>
      <c r="AO17" s="210">
        <f t="shared" si="6"/>
        <v>5.9333448992852498</v>
      </c>
      <c r="AP17" s="210">
        <f t="shared" si="7"/>
        <v>5.9901999999999997</v>
      </c>
      <c r="AQ17" s="210">
        <f t="shared" si="8"/>
        <v>6.0470551007147497</v>
      </c>
      <c r="AR17" s="210">
        <f t="shared" si="9"/>
        <v>6.1039102014294997</v>
      </c>
      <c r="AS17" s="210">
        <f t="shared" si="10"/>
        <v>6.1607653021442497</v>
      </c>
      <c r="AT17" s="210">
        <f t="shared" si="11"/>
        <v>6.2176204028589988</v>
      </c>
      <c r="AU17" s="210">
        <f t="shared" si="12"/>
        <v>6.2744755035737487</v>
      </c>
      <c r="AV17" s="210">
        <f t="shared" si="13"/>
        <v>6.3313306042884987</v>
      </c>
      <c r="AZ17" s="219">
        <v>9</v>
      </c>
      <c r="BA17" s="210">
        <f>IFERROR(IF(LEN(INDEX(MeasuredXMR!E$15:E$29,Calc!$AZ17,1))&gt;0,INDEX(MeasuredXMR!E$15:E$29,Calc!$AZ17,1),""),"")</f>
        <v>5.9150000000000009</v>
      </c>
      <c r="BB17" s="211">
        <f t="shared" si="37"/>
        <v>1.9444444444445017E-2</v>
      </c>
      <c r="BC17" s="212">
        <f t="array" ref="BC17">IF(AZ17&gt;XMRCount,"",IF(LEN(BA17)&gt;0,AVERAGE(IF($BA$9:$BA$23&gt;0,$BA$9:$BA$23,"")),BC16))</f>
        <v>5.8989000000000003</v>
      </c>
      <c r="BD17" s="212">
        <f t="shared" si="38"/>
        <v>2.6000000000000689E-2</v>
      </c>
      <c r="BE17" s="212">
        <f t="shared" si="39"/>
        <v>5.9506139479905453</v>
      </c>
      <c r="BF17" s="212">
        <f t="shared" si="14"/>
        <v>5.8471860520094552</v>
      </c>
      <c r="BG17" s="212">
        <f t="shared" si="15"/>
        <v>6.3525000000001872E-2</v>
      </c>
      <c r="BH17" s="212">
        <f t="shared" si="16"/>
        <v>0</v>
      </c>
      <c r="BI17" s="213">
        <f t="array" ref="BI17">IFERROR(SMALL(IF($BA$9:$BA$23&gt;0,$BA$9:$BA$23,""),Q17),"")</f>
        <v>5.9130000000000011</v>
      </c>
      <c r="BJ17" s="214">
        <f t="shared" si="17"/>
        <v>5.8299887970072835</v>
      </c>
      <c r="BK17" s="210">
        <f t="shared" si="18"/>
        <v>5.8414739975060694</v>
      </c>
      <c r="BL17" s="210">
        <f t="shared" si="19"/>
        <v>5.8529591980048554</v>
      </c>
      <c r="BM17" s="210">
        <f t="shared" si="20"/>
        <v>5.8644443985036414</v>
      </c>
      <c r="BN17" s="210">
        <f t="shared" si="21"/>
        <v>5.8759295990024283</v>
      </c>
      <c r="BO17" s="210">
        <f t="shared" si="22"/>
        <v>5.8874147995012143</v>
      </c>
      <c r="BP17" s="210">
        <f t="shared" si="23"/>
        <v>5.8989000000000003</v>
      </c>
      <c r="BQ17" s="210">
        <f t="shared" si="24"/>
        <v>5.9103852004987862</v>
      </c>
      <c r="BR17" s="210">
        <f t="shared" si="25"/>
        <v>5.9218704009975722</v>
      </c>
      <c r="BS17" s="210">
        <f t="shared" si="26"/>
        <v>5.9333556014963591</v>
      </c>
      <c r="BT17" s="210">
        <f t="shared" si="27"/>
        <v>5.9448408019951451</v>
      </c>
      <c r="BU17" s="210">
        <f t="shared" si="28"/>
        <v>5.9563260024939311</v>
      </c>
      <c r="BV17" s="210">
        <f t="shared" si="29"/>
        <v>5.9678112029927171</v>
      </c>
      <c r="BZ17" s="219">
        <v>9</v>
      </c>
      <c r="CA17" s="210">
        <f>IFERROR(IF(LEN(INDEX(CountDefectives!D$9:D$23,Calc!$BZ17,1))&gt;0,INDEX(CountDefectives!D$9:D$23,Calc!$BZ17,1),""),"")</f>
        <v>1500</v>
      </c>
      <c r="CB17" s="211">
        <f>IFERROR(IF(LEN(INDEX(CountDefectives!E$9:E$23,Calc!$BZ17,1))&gt;0,INDEX(CountDefectives!E$9:E$23,Calc!$BZ17,1),""),"")</f>
        <v>25</v>
      </c>
      <c r="CC17" s="212">
        <f t="shared" si="40"/>
        <v>1.6666666666666666E-2</v>
      </c>
      <c r="CD17" s="215">
        <f t="shared" si="41"/>
        <v>1.4059621309564761E-2</v>
      </c>
      <c r="CE17" s="215">
        <f t="shared" si="30"/>
        <v>3.0399504774690431E-3</v>
      </c>
      <c r="CF17" s="212">
        <f t="shared" si="31"/>
        <v>2.317947274197189E-2</v>
      </c>
      <c r="CG17" s="212">
        <f t="shared" si="32"/>
        <v>4.9397698771576314E-3</v>
      </c>
      <c r="CJ17" s="219">
        <v>9</v>
      </c>
      <c r="CK17" s="210">
        <f>IFERROR(IF(LEN(INDEX(CountDefects!D$9:D$23,Calc!$CJ17,1))&gt;0,INDEX(CountDefects!D$9:D$23,Calc!$CJ17,1),""),"")</f>
        <v>2250</v>
      </c>
      <c r="CL17" s="211">
        <f>IFERROR(IF(LEN(INDEX(CountDefects!E$9:E$23,Calc!$CJ17,1))&gt;0,INDEX(CountDefects!E$9:E$23,Calc!$CJ17,1),""),"")</f>
        <v>19</v>
      </c>
      <c r="CM17" s="212">
        <f t="shared" si="42"/>
        <v>8.4444444444444437E-3</v>
      </c>
      <c r="CN17" s="215">
        <f t="shared" si="33"/>
        <v>6.9346437618263744E-3</v>
      </c>
      <c r="CO17" s="215">
        <f t="shared" si="43"/>
        <v>1.7555807854226064E-3</v>
      </c>
      <c r="CP17" s="212">
        <f t="shared" si="34"/>
        <v>1.2201386118094192E-2</v>
      </c>
      <c r="CQ17" s="212">
        <f t="shared" si="35"/>
        <v>1.6679014055585558E-3</v>
      </c>
    </row>
    <row r="18" spans="3:95" x14ac:dyDescent="0.25">
      <c r="Q18" s="219">
        <v>10</v>
      </c>
      <c r="R18" s="210">
        <f>IFERROR(IF(LEN(INDEX(MeasuredXbarR!D$15:D$29,Calc!$Q18,1))&gt;0,INDEX(MeasuredXbarR!D$15:D$29,Calc!$Q18,1),""),"")</f>
        <v>6.08</v>
      </c>
      <c r="S18" s="210">
        <f>IFERROR(IF(LEN(INDEX(MeasuredXbarR!E$15:E$29,Calc!$Q18,1))&gt;0,INDEX(MeasuredXbarR!E$15:E$29,Calc!$Q18,1),""),"")</f>
        <v>5.89</v>
      </c>
      <c r="T18" s="210">
        <f>IFERROR(IF(LEN(INDEX(MeasuredXbarR!F$15:F$29,Calc!$Q18,1))&gt;0,INDEX(MeasuredXbarR!F$15:F$29,Calc!$Q18,1),""),"")</f>
        <v>5.96</v>
      </c>
      <c r="U18" s="210">
        <f>IFERROR(IF(LEN(INDEX(MeasuredXbarR!G$15:G$29,Calc!$Q18,1))&gt;0,INDEX(MeasuredXbarR!G$15:G$29,Calc!$Q18,1),""),"")</f>
        <v>6.08</v>
      </c>
      <c r="V18" s="210">
        <f>IFERROR(IF(LEN(INDEX(MeasuredXbarR!H$15:H$29,Calc!$Q18,1))&gt;0,INDEX(MeasuredXbarR!H$15:H$29,Calc!$Q18,1),""),"")</f>
        <v>5.95</v>
      </c>
      <c r="W18" s="210" t="str">
        <f>IFERROR(IF(LEN(INDEX(MeasuredXbarR!I$15:I$29,Calc!$Q18,1))&gt;0,INDEX(MeasuredXbarR!I$15:I$29,Calc!$Q18,1),""),"")</f>
        <v/>
      </c>
      <c r="X18" s="210" t="str">
        <f>IFERROR(IF(LEN(INDEX(MeasuredXbarR!J$15:J$29,Calc!$Q18,1))&gt;0,INDEX(MeasuredXbarR!J$15:J$29,Calc!$Q18,1),""),"")</f>
        <v/>
      </c>
      <c r="Y18" s="210" t="str">
        <f>IFERROR(IF(LEN(INDEX(MeasuredXbarR!K$15:K$29,Calc!$Q18,1))&gt;0,INDEX(MeasuredXbarR!K$15:K$29,Calc!$Q18,1),""),"")</f>
        <v/>
      </c>
      <c r="Z18" s="210" t="str">
        <f>IFERROR(IF(LEN(INDEX(MeasuredXbarR!L$15:L$29,Calc!$Q18,1))&gt;0,INDEX(MeasuredXbarR!L$15:L$29,Calc!$Q18,1),""),"")</f>
        <v/>
      </c>
      <c r="AA18" s="210" t="str">
        <f>IFERROR(IF(LEN(INDEX(MeasuredXbarR!M$15:M$29,Calc!$Q18,1))&gt;0,INDEX(MeasuredXbarR!M$15:M$29,Calc!$Q18,1),""),"")</f>
        <v/>
      </c>
      <c r="AB18" s="210">
        <f>IFERROR(IF(LEN(INDEX(MeasuredXbarR!N$15:N$29,Calc!$Q18,1))&gt;0,INDEX(MeasuredXbarR!N$15:N$129,Calc!$Q18,1),""),"")</f>
        <v>5.9919999999999991</v>
      </c>
      <c r="AC18" s="211">
        <f>IFERROR(IF(LEN(INDEX(MeasuredXbarR!O$15:O$29,Calc!$Q18,1))&gt;0,INDEX(MeasuredXbarR!O$15:O$29,Calc!$Q18,1),""),"")</f>
        <v>0.19000000000000039</v>
      </c>
      <c r="AD18" s="212">
        <f t="array" ref="AD18">IF(Q18&gt;XbarCount,"",IF(LEN(R18)&gt;0,AVERAGE(IFERROR($AB$9:$AB$23,"")),AD17))</f>
        <v>5.9901999999999997</v>
      </c>
      <c r="AE18" s="212">
        <f>IF(Q18&gt;XbarCount,"",$AD18+(INDEX(Calc!$D$8:$D$17,MATCH(COUNTIF($R$9:$AA$9,"&gt;0"),Calc!$C$8:$C$17,0))*AVERAGE($AC$9:$AC$23)))</f>
        <v>6.0911402999301281</v>
      </c>
      <c r="AF18" s="212">
        <f>IF(Q18&gt;XbarCount,"",$AD18-(INDEX(Calc!$D$8:$D$17,MATCH(COUNTIF($R$9:$AA$9,"&gt;0"),Calc!$C$8:$C$17,0))*AVERAGE($AC$9:$AC$23)))</f>
        <v>5.8892597000698714</v>
      </c>
      <c r="AG18" s="212">
        <f t="shared" si="1"/>
        <v>0.17499999999999999</v>
      </c>
      <c r="AH18" s="212">
        <f>IF(Q18&gt;XbarCount,"",INDEX(Calc!$E$8:$E$17,MATCH(COUNTIF($R$9:$AA$9,"&gt;0"),Calc!$C$8:$C$17,0))*AVERAGE($AC$9:$AC$23))</f>
        <v>0.36994999999999995</v>
      </c>
      <c r="AI18" s="213">
        <f t="array" ref="AI18">IFERROR(SMALL(IF($AB$9:$AB$23&gt;0,$AB$9:$AB$23,""),Q18),"")</f>
        <v>6.0359999999999996</v>
      </c>
      <c r="AJ18" s="214">
        <f t="shared" si="36"/>
        <v>5.6490693957115008</v>
      </c>
      <c r="AK18" s="210">
        <f t="shared" si="2"/>
        <v>5.7059244964262508</v>
      </c>
      <c r="AL18" s="210">
        <f t="shared" si="3"/>
        <v>5.7627795971410007</v>
      </c>
      <c r="AM18" s="210">
        <f t="shared" si="4"/>
        <v>5.8196346978557498</v>
      </c>
      <c r="AN18" s="210">
        <f t="shared" si="5"/>
        <v>5.8764897985704998</v>
      </c>
      <c r="AO18" s="210">
        <f t="shared" si="6"/>
        <v>5.9333448992852498</v>
      </c>
      <c r="AP18" s="210">
        <f t="shared" si="7"/>
        <v>5.9901999999999997</v>
      </c>
      <c r="AQ18" s="210">
        <f t="shared" si="8"/>
        <v>6.0470551007147497</v>
      </c>
      <c r="AR18" s="210">
        <f t="shared" si="9"/>
        <v>6.1039102014294997</v>
      </c>
      <c r="AS18" s="210">
        <f t="shared" si="10"/>
        <v>6.1607653021442497</v>
      </c>
      <c r="AT18" s="210">
        <f t="shared" si="11"/>
        <v>6.2176204028589988</v>
      </c>
      <c r="AU18" s="210">
        <f t="shared" si="12"/>
        <v>6.2744755035737487</v>
      </c>
      <c r="AV18" s="210">
        <f t="shared" si="13"/>
        <v>6.3313306042884987</v>
      </c>
      <c r="AZ18" s="219">
        <v>10</v>
      </c>
      <c r="BA18" s="210">
        <f>IFERROR(IF(LEN(INDEX(MeasuredXMR!E$15:E$29,Calc!$AZ18,1))&gt;0,INDEX(MeasuredXMR!E$15:E$29,Calc!$AZ18,1),""),"")</f>
        <v>5.8890000000000002</v>
      </c>
      <c r="BB18" s="211">
        <f t="shared" si="37"/>
        <v>1.9444444444445017E-2</v>
      </c>
      <c r="BC18" s="212">
        <f t="array" ref="BC18">IF(AZ18&gt;XMRCount,"",IF(LEN(BA18)&gt;0,AVERAGE(IF($BA$9:$BA$23&gt;0,$BA$9:$BA$23,"")),BC17))</f>
        <v>5.8989000000000003</v>
      </c>
      <c r="BD18" s="212" t="str">
        <f t="shared" si="38"/>
        <v/>
      </c>
      <c r="BE18" s="212">
        <f t="shared" si="39"/>
        <v>5.9506139479905453</v>
      </c>
      <c r="BF18" s="212">
        <f t="shared" si="14"/>
        <v>5.8471860520094552</v>
      </c>
      <c r="BG18" s="212">
        <f t="shared" si="15"/>
        <v>6.3525000000001872E-2</v>
      </c>
      <c r="BH18" s="212">
        <f t="shared" si="16"/>
        <v>0</v>
      </c>
      <c r="BI18" s="213">
        <f t="array" ref="BI18">IFERROR(SMALL(IF($BA$9:$BA$23&gt;0,$BA$9:$BA$23,""),Q18),"")</f>
        <v>5.9150000000000009</v>
      </c>
      <c r="BJ18" s="214">
        <f t="shared" si="17"/>
        <v>5.8299887970072835</v>
      </c>
      <c r="BK18" s="210">
        <f t="shared" si="18"/>
        <v>5.8414739975060694</v>
      </c>
      <c r="BL18" s="210">
        <f t="shared" si="19"/>
        <v>5.8529591980048554</v>
      </c>
      <c r="BM18" s="210">
        <f t="shared" si="20"/>
        <v>5.8644443985036414</v>
      </c>
      <c r="BN18" s="210">
        <f t="shared" si="21"/>
        <v>5.8759295990024283</v>
      </c>
      <c r="BO18" s="210">
        <f t="shared" si="22"/>
        <v>5.8874147995012143</v>
      </c>
      <c r="BP18" s="210">
        <f t="shared" si="23"/>
        <v>5.8989000000000003</v>
      </c>
      <c r="BQ18" s="210">
        <f t="shared" si="24"/>
        <v>5.9103852004987862</v>
      </c>
      <c r="BR18" s="210">
        <f t="shared" si="25"/>
        <v>5.9218704009975722</v>
      </c>
      <c r="BS18" s="210">
        <f t="shared" si="26"/>
        <v>5.9333556014963591</v>
      </c>
      <c r="BT18" s="210">
        <f t="shared" si="27"/>
        <v>5.9448408019951451</v>
      </c>
      <c r="BU18" s="210">
        <f t="shared" si="28"/>
        <v>5.9563260024939311</v>
      </c>
      <c r="BV18" s="210">
        <f t="shared" si="29"/>
        <v>5.9678112029927171</v>
      </c>
      <c r="BZ18" s="219">
        <v>10</v>
      </c>
      <c r="CA18" s="210">
        <f>IFERROR(IF(LEN(INDEX(CountDefectives!D$9:D$23,Calc!$BZ18,1))&gt;0,INDEX(CountDefectives!D$9:D$23,Calc!$BZ18,1),""),"")</f>
        <v>1125</v>
      </c>
      <c r="CB18" s="211">
        <f>IFERROR(IF(LEN(INDEX(CountDefectives!E$9:E$23,Calc!$BZ18,1))&gt;0,INDEX(CountDefectives!E$9:E$23,Calc!$BZ18,1),""),"")</f>
        <v>15</v>
      </c>
      <c r="CC18" s="212">
        <f t="shared" si="40"/>
        <v>1.3333333333333334E-2</v>
      </c>
      <c r="CD18" s="215">
        <f t="shared" si="41"/>
        <v>1.4059621309564761E-2</v>
      </c>
      <c r="CE18" s="215">
        <f t="shared" si="30"/>
        <v>3.5102324529797668E-3</v>
      </c>
      <c r="CF18" s="212">
        <f t="shared" si="31"/>
        <v>2.4590318668504061E-2</v>
      </c>
      <c r="CG18" s="212">
        <f t="shared" si="32"/>
        <v>3.5289239506254601E-3</v>
      </c>
      <c r="CJ18" s="219">
        <v>10</v>
      </c>
      <c r="CK18" s="210">
        <f>IFERROR(IF(LEN(INDEX(CountDefects!D$9:D$23,Calc!$CJ18,1))&gt;0,INDEX(CountDefects!D$9:D$23,Calc!$CJ18,1),""),"")</f>
        <v>1687.5</v>
      </c>
      <c r="CL18" s="211">
        <f>IFERROR(IF(LEN(INDEX(CountDefects!E$9:E$23,Calc!$CJ18,1))&gt;0,INDEX(CountDefects!E$9:E$23,Calc!$CJ18,1),""),"")</f>
        <v>11</v>
      </c>
      <c r="CM18" s="212">
        <f t="shared" si="42"/>
        <v>6.5185185185185181E-3</v>
      </c>
      <c r="CN18" s="215">
        <f t="shared" si="33"/>
        <v>6.9346437618263744E-3</v>
      </c>
      <c r="CO18" s="215">
        <f t="shared" si="43"/>
        <v>2.027170078095753E-3</v>
      </c>
      <c r="CP18" s="212">
        <f t="shared" si="34"/>
        <v>1.3016153996113633E-2</v>
      </c>
      <c r="CQ18" s="212">
        <f t="shared" si="35"/>
        <v>8.5313352753911553E-4</v>
      </c>
    </row>
    <row r="19" spans="3:95" x14ac:dyDescent="0.25">
      <c r="C19" s="221" t="s">
        <v>295</v>
      </c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3"/>
      <c r="Q19" s="205">
        <v>11</v>
      </c>
      <c r="R19" s="210" t="str">
        <f>IFERROR(IF(LEN(INDEX(MeasuredXbarR!D$15:D$29,Calc!$Q19,1))&gt;0,INDEX(MeasuredXbarR!D$15:D$29,Calc!$Q19,1),""),"")</f>
        <v/>
      </c>
      <c r="S19" s="210" t="str">
        <f>IFERROR(IF(LEN(INDEX(MeasuredXbarR!E$15:E$29,Calc!$Q19,1))&gt;0,INDEX(MeasuredXbarR!E$15:E$29,Calc!$Q19,1),""),"")</f>
        <v/>
      </c>
      <c r="T19" s="210" t="str">
        <f>IFERROR(IF(LEN(INDEX(MeasuredXbarR!F$15:F$29,Calc!$Q19,1))&gt;0,INDEX(MeasuredXbarR!F$15:F$29,Calc!$Q19,1),""),"")</f>
        <v/>
      </c>
      <c r="U19" s="210" t="str">
        <f>IFERROR(IF(LEN(INDEX(MeasuredXbarR!G$15:G$29,Calc!$Q19,1))&gt;0,INDEX(MeasuredXbarR!G$15:G$29,Calc!$Q19,1),""),"")</f>
        <v/>
      </c>
      <c r="V19" s="210" t="str">
        <f>IFERROR(IF(LEN(INDEX(MeasuredXbarR!H$15:H$29,Calc!$Q19,1))&gt;0,INDEX(MeasuredXbarR!H$15:H$29,Calc!$Q19,1),""),"")</f>
        <v/>
      </c>
      <c r="W19" s="210" t="str">
        <f>IFERROR(IF(LEN(INDEX(MeasuredXbarR!I$15:I$29,Calc!$Q19,1))&gt;0,INDEX(MeasuredXbarR!I$15:I$29,Calc!$Q19,1),""),"")</f>
        <v/>
      </c>
      <c r="X19" s="210" t="str">
        <f>IFERROR(IF(LEN(INDEX(MeasuredXbarR!J$15:J$29,Calc!$Q19,1))&gt;0,INDEX(MeasuredXbarR!J$15:J$29,Calc!$Q19,1),""),"")</f>
        <v/>
      </c>
      <c r="Y19" s="210" t="str">
        <f>IFERROR(IF(LEN(INDEX(MeasuredXbarR!K$15:K$29,Calc!$Q19,1))&gt;0,INDEX(MeasuredXbarR!K$15:K$29,Calc!$Q19,1),""),"")</f>
        <v/>
      </c>
      <c r="Z19" s="210" t="str">
        <f>IFERROR(IF(LEN(INDEX(MeasuredXbarR!L$15:L$29,Calc!$Q19,1))&gt;0,INDEX(MeasuredXbarR!L$15:L$29,Calc!$Q19,1),""),"")</f>
        <v/>
      </c>
      <c r="AA19" s="210" t="str">
        <f>IFERROR(IF(LEN(INDEX(MeasuredXbarR!M$15:M$29,Calc!$Q19,1))&gt;0,INDEX(MeasuredXbarR!M$15:M$29,Calc!$Q19,1),""),"")</f>
        <v/>
      </c>
      <c r="AB19" s="210" t="str">
        <f>IFERROR(IF(LEN(INDEX(MeasuredXbarR!N$15:N$29,Calc!$Q19,1))&gt;0,INDEX(MeasuredXbarR!N$15:N$129,Calc!$Q19,1),""),"")</f>
        <v/>
      </c>
      <c r="AC19" s="211" t="str">
        <f>IFERROR(IF(LEN(INDEX(MeasuredXbarR!O$15:O$29,Calc!$Q19,1))&gt;0,INDEX(MeasuredXbarR!O$15:O$29,Calc!$Q19,1),""),"")</f>
        <v/>
      </c>
      <c r="AD19" s="212" t="str">
        <f t="array" ref="AD19">IF(Q19&gt;XbarCount,"",IF(LEN(R19)&gt;0,AVERAGE(IFERROR($AB$9:$AB$23,"")),AD18))</f>
        <v/>
      </c>
      <c r="AE19" s="212" t="str">
        <f>IF(Q19&gt;XbarCount,"",$AD19+(INDEX(Calc!$D$8:$D$17,MATCH(COUNTIF($R$9:$AA$9,"&gt;0"),Calc!$C$8:$C$17,0))*AVERAGE($AC$9:$AC$23)))</f>
        <v/>
      </c>
      <c r="AF19" s="212" t="str">
        <f>IF(Q19&gt;XbarCount,"",$AD19-(INDEX(Calc!$D$8:$D$17,MATCH(COUNTIF($R$9:$AA$9,"&gt;0"),Calc!$C$8:$C$17,0))*AVERAGE($AC$9:$AC$23)))</f>
        <v/>
      </c>
      <c r="AG19" s="212" t="str">
        <f t="shared" si="1"/>
        <v/>
      </c>
      <c r="AH19" s="212" t="str">
        <f>IF(Q19&gt;XbarCount,"",INDEX(Calc!$E$8:$E$17,MATCH(COUNTIF($R$9:$AA$9,"&gt;0"),Calc!$C$8:$C$17,0))*AVERAGE($AC$9:$AC$23))</f>
        <v/>
      </c>
      <c r="AI19" s="213" t="str">
        <f t="array" ref="AI19">IFERROR(SMALL(IF($AB$9:$AB$23&gt;0,$AB$9:$AB$23,""),Q19),"")</f>
        <v/>
      </c>
      <c r="AJ19" s="214" t="str">
        <f t="shared" si="36"/>
        <v/>
      </c>
      <c r="AK19" s="210" t="str">
        <f t="shared" si="2"/>
        <v/>
      </c>
      <c r="AL19" s="210" t="str">
        <f t="shared" si="3"/>
        <v/>
      </c>
      <c r="AM19" s="210" t="str">
        <f t="shared" si="4"/>
        <v/>
      </c>
      <c r="AN19" s="210" t="str">
        <f t="shared" si="5"/>
        <v/>
      </c>
      <c r="AO19" s="210" t="str">
        <f t="shared" si="6"/>
        <v/>
      </c>
      <c r="AP19" s="210" t="str">
        <f t="shared" si="7"/>
        <v/>
      </c>
      <c r="AQ19" s="210" t="str">
        <f t="shared" si="8"/>
        <v/>
      </c>
      <c r="AR19" s="210" t="str">
        <f t="shared" si="9"/>
        <v/>
      </c>
      <c r="AS19" s="210" t="str">
        <f t="shared" si="10"/>
        <v/>
      </c>
      <c r="AT19" s="210" t="str">
        <f t="shared" si="11"/>
        <v/>
      </c>
      <c r="AU19" s="210" t="str">
        <f t="shared" si="12"/>
        <v/>
      </c>
      <c r="AV19" s="210" t="str">
        <f t="shared" si="13"/>
        <v/>
      </c>
      <c r="AZ19" s="205">
        <v>11</v>
      </c>
      <c r="BA19" s="210" t="str">
        <f>IFERROR(IF(LEN(INDEX(MeasuredXMR!E$15:E$29,Calc!$AZ19,1))&gt;0,INDEX(MeasuredXMR!E$15:E$29,Calc!$AZ19,1),""),"")</f>
        <v/>
      </c>
      <c r="BB19" s="211" t="str">
        <f t="shared" si="37"/>
        <v/>
      </c>
      <c r="BC19" s="212" t="str">
        <f t="array" ref="BC19">IF(AZ19&gt;XMRCount,"",IF(LEN(BA19)&gt;0,AVERAGE(IF($BA$9:$BA$23&gt;0,$BA$9:$BA$23,"")),BC18))</f>
        <v/>
      </c>
      <c r="BD19" s="212" t="str">
        <f t="shared" si="38"/>
        <v/>
      </c>
      <c r="BE19" s="212" t="str">
        <f t="shared" si="39"/>
        <v/>
      </c>
      <c r="BF19" s="212" t="str">
        <f t="shared" si="14"/>
        <v/>
      </c>
      <c r="BG19" s="212" t="str">
        <f t="shared" si="15"/>
        <v/>
      </c>
      <c r="BH19" s="212" t="str">
        <f t="shared" si="16"/>
        <v/>
      </c>
      <c r="BI19" s="213" t="str">
        <f t="array" ref="BI19">IFERROR(SMALL(IF($BA$9:$BA$23&gt;0,$BA$9:$BA$23,""),Q19),"")</f>
        <v/>
      </c>
      <c r="BJ19" s="214" t="str">
        <f t="shared" si="17"/>
        <v/>
      </c>
      <c r="BK19" s="210" t="str">
        <f t="shared" si="18"/>
        <v/>
      </c>
      <c r="BL19" s="210" t="str">
        <f t="shared" si="19"/>
        <v/>
      </c>
      <c r="BM19" s="210" t="str">
        <f t="shared" si="20"/>
        <v/>
      </c>
      <c r="BN19" s="210" t="str">
        <f t="shared" si="21"/>
        <v/>
      </c>
      <c r="BO19" s="210" t="str">
        <f t="shared" si="22"/>
        <v/>
      </c>
      <c r="BP19" s="210" t="str">
        <f t="shared" si="23"/>
        <v/>
      </c>
      <c r="BQ19" s="210" t="str">
        <f t="shared" si="24"/>
        <v/>
      </c>
      <c r="BR19" s="210" t="str">
        <f t="shared" si="25"/>
        <v/>
      </c>
      <c r="BS19" s="210" t="str">
        <f t="shared" si="26"/>
        <v/>
      </c>
      <c r="BT19" s="210" t="str">
        <f t="shared" si="27"/>
        <v/>
      </c>
      <c r="BU19" s="210" t="str">
        <f t="shared" si="28"/>
        <v/>
      </c>
      <c r="BV19" s="210" t="str">
        <f t="shared" si="29"/>
        <v/>
      </c>
      <c r="BZ19" s="205">
        <v>11</v>
      </c>
      <c r="CA19" s="210" t="str">
        <f>IFERROR(IF(LEN(INDEX(CountDefectives!D$9:D$23,Calc!$BZ19,1))&gt;0,INDEX(CountDefectives!D$9:D$23,Calc!$BZ19,1),""),"")</f>
        <v/>
      </c>
      <c r="CB19" s="211" t="str">
        <f>IFERROR(IF(LEN(INDEX(CountDefectives!E$9:E$23,Calc!$BZ19,1))&gt;0,INDEX(CountDefectives!E$9:E$23,Calc!$BZ19,1),""),"")</f>
        <v/>
      </c>
      <c r="CC19" s="212" t="str">
        <f t="shared" si="40"/>
        <v/>
      </c>
      <c r="CD19" s="215" t="str">
        <f t="shared" si="41"/>
        <v/>
      </c>
      <c r="CE19" s="215" t="str">
        <f t="shared" si="30"/>
        <v/>
      </c>
      <c r="CF19" s="212" t="str">
        <f t="shared" si="31"/>
        <v/>
      </c>
      <c r="CG19" s="212" t="str">
        <f t="shared" si="32"/>
        <v/>
      </c>
      <c r="CJ19" s="205">
        <v>11</v>
      </c>
      <c r="CK19" s="210" t="str">
        <f>IFERROR(IF(LEN(INDEX(CountDefects!D$9:D$23,Calc!$CJ19,1))&gt;0,INDEX(CountDefects!D$9:D$23,Calc!$CJ19,1),""),"")</f>
        <v/>
      </c>
      <c r="CL19" s="211" t="str">
        <f>IFERROR(IF(LEN(INDEX(CountDefects!E$9:E$23,Calc!$CJ19,1))&gt;0,INDEX(CountDefects!E$9:E$23,Calc!$CJ19,1),""),"")</f>
        <v/>
      </c>
      <c r="CM19" s="212" t="str">
        <f t="shared" si="42"/>
        <v/>
      </c>
      <c r="CN19" s="215" t="str">
        <f t="shared" si="33"/>
        <v/>
      </c>
      <c r="CO19" s="215" t="str">
        <f t="shared" si="43"/>
        <v/>
      </c>
      <c r="CP19" s="212" t="str">
        <f t="shared" si="34"/>
        <v/>
      </c>
      <c r="CQ19" s="212" t="str">
        <f t="shared" si="35"/>
        <v/>
      </c>
    </row>
    <row r="20" spans="3:95" x14ac:dyDescent="0.25">
      <c r="C20" s="224">
        <v>-6</v>
      </c>
      <c r="D20" s="225">
        <v>-5</v>
      </c>
      <c r="E20" s="225">
        <v>-4</v>
      </c>
      <c r="F20" s="225">
        <v>-3</v>
      </c>
      <c r="G20" s="225">
        <v>-2</v>
      </c>
      <c r="H20" s="225">
        <v>-1</v>
      </c>
      <c r="I20" s="225">
        <v>0</v>
      </c>
      <c r="J20" s="225">
        <v>1</v>
      </c>
      <c r="K20" s="225">
        <v>2</v>
      </c>
      <c r="L20" s="225">
        <v>3</v>
      </c>
      <c r="M20" s="225">
        <v>4</v>
      </c>
      <c r="N20" s="225">
        <v>5</v>
      </c>
      <c r="O20" s="226">
        <v>6</v>
      </c>
      <c r="Q20" s="205">
        <v>12</v>
      </c>
      <c r="R20" s="210" t="str">
        <f>IFERROR(IF(LEN(INDEX(MeasuredXbarR!D$15:D$29,Calc!$Q20,1))&gt;0,INDEX(MeasuredXbarR!D$15:D$29,Calc!$Q20,1),""),"")</f>
        <v/>
      </c>
      <c r="S20" s="210" t="str">
        <f>IFERROR(IF(LEN(INDEX(MeasuredXbarR!E$15:E$29,Calc!$Q20,1))&gt;0,INDEX(MeasuredXbarR!E$15:E$29,Calc!$Q20,1),""),"")</f>
        <v/>
      </c>
      <c r="T20" s="210" t="str">
        <f>IFERROR(IF(LEN(INDEX(MeasuredXbarR!F$15:F$29,Calc!$Q20,1))&gt;0,INDEX(MeasuredXbarR!F$15:F$29,Calc!$Q20,1),""),"")</f>
        <v/>
      </c>
      <c r="U20" s="210" t="str">
        <f>IFERROR(IF(LEN(INDEX(MeasuredXbarR!G$15:G$29,Calc!$Q20,1))&gt;0,INDEX(MeasuredXbarR!G$15:G$29,Calc!$Q20,1),""),"")</f>
        <v/>
      </c>
      <c r="V20" s="210" t="str">
        <f>IFERROR(IF(LEN(INDEX(MeasuredXbarR!H$15:H$29,Calc!$Q20,1))&gt;0,INDEX(MeasuredXbarR!H$15:H$29,Calc!$Q20,1),""),"")</f>
        <v/>
      </c>
      <c r="W20" s="210" t="str">
        <f>IFERROR(IF(LEN(INDEX(MeasuredXbarR!I$15:I$29,Calc!$Q20,1))&gt;0,INDEX(MeasuredXbarR!I$15:I$29,Calc!$Q20,1),""),"")</f>
        <v/>
      </c>
      <c r="X20" s="210" t="str">
        <f>IFERROR(IF(LEN(INDEX(MeasuredXbarR!J$15:J$29,Calc!$Q20,1))&gt;0,INDEX(MeasuredXbarR!J$15:J$29,Calc!$Q20,1),""),"")</f>
        <v/>
      </c>
      <c r="Y20" s="210" t="str">
        <f>IFERROR(IF(LEN(INDEX(MeasuredXbarR!K$15:K$29,Calc!$Q20,1))&gt;0,INDEX(MeasuredXbarR!K$15:K$29,Calc!$Q20,1),""),"")</f>
        <v/>
      </c>
      <c r="Z20" s="210" t="str">
        <f>IFERROR(IF(LEN(INDEX(MeasuredXbarR!L$15:L$29,Calc!$Q20,1))&gt;0,INDEX(MeasuredXbarR!L$15:L$29,Calc!$Q20,1),""),"")</f>
        <v/>
      </c>
      <c r="AA20" s="210" t="str">
        <f>IFERROR(IF(LEN(INDEX(MeasuredXbarR!M$15:M$29,Calc!$Q20,1))&gt;0,INDEX(MeasuredXbarR!M$15:M$29,Calc!$Q20,1),""),"")</f>
        <v/>
      </c>
      <c r="AB20" s="210" t="str">
        <f>IFERROR(IF(LEN(INDEX(MeasuredXbarR!N$15:N$29,Calc!$Q20,1))&gt;0,INDEX(MeasuredXbarR!N$15:N$129,Calc!$Q20,1),""),"")</f>
        <v/>
      </c>
      <c r="AC20" s="211" t="str">
        <f>IFERROR(IF(LEN(INDEX(MeasuredXbarR!O$15:O$29,Calc!$Q20,1))&gt;0,INDEX(MeasuredXbarR!O$15:O$29,Calc!$Q20,1),""),"")</f>
        <v/>
      </c>
      <c r="AD20" s="212" t="str">
        <f t="array" ref="AD20">IF(Q20&gt;XbarCount,"",IF(LEN(R20)&gt;0,AVERAGE(IFERROR($AB$9:$AB$23,"")),AD19))</f>
        <v/>
      </c>
      <c r="AE20" s="212" t="str">
        <f>IF(Q20&gt;XbarCount,"",$AD20+(INDEX(Calc!$D$8:$D$17,MATCH(COUNTIF($R$9:$AA$9,"&gt;0"),Calc!$C$8:$C$17,0))*AVERAGE($AC$9:$AC$23)))</f>
        <v/>
      </c>
      <c r="AF20" s="212" t="str">
        <f>IF(Q20&gt;XbarCount,"",$AD20-(INDEX(Calc!$D$8:$D$17,MATCH(COUNTIF($R$9:$AA$9,"&gt;0"),Calc!$C$8:$C$17,0))*AVERAGE($AC$9:$AC$23)))</f>
        <v/>
      </c>
      <c r="AG20" s="212" t="str">
        <f t="shared" si="1"/>
        <v/>
      </c>
      <c r="AH20" s="212" t="str">
        <f>IF(Q20&gt;XbarCount,"",INDEX(Calc!$E$8:$E$17,MATCH(COUNTIF($R$9:$AA$9,"&gt;0"),Calc!$C$8:$C$17,0))*AVERAGE($AC$9:$AC$23))</f>
        <v/>
      </c>
      <c r="AI20" s="213" t="str">
        <f t="array" ref="AI20">IFERROR(SMALL(IF($AB$9:$AB$23&gt;0,$AB$9:$AB$23,""),Q20),"")</f>
        <v/>
      </c>
      <c r="AJ20" s="214" t="str">
        <f t="shared" si="36"/>
        <v/>
      </c>
      <c r="AK20" s="210" t="str">
        <f t="shared" si="2"/>
        <v/>
      </c>
      <c r="AL20" s="210" t="str">
        <f t="shared" si="3"/>
        <v/>
      </c>
      <c r="AM20" s="210" t="str">
        <f t="shared" si="4"/>
        <v/>
      </c>
      <c r="AN20" s="210" t="str">
        <f t="shared" si="5"/>
        <v/>
      </c>
      <c r="AO20" s="210" t="str">
        <f t="shared" si="6"/>
        <v/>
      </c>
      <c r="AP20" s="210" t="str">
        <f t="shared" si="7"/>
        <v/>
      </c>
      <c r="AQ20" s="210" t="str">
        <f t="shared" si="8"/>
        <v/>
      </c>
      <c r="AR20" s="210" t="str">
        <f t="shared" si="9"/>
        <v/>
      </c>
      <c r="AS20" s="210" t="str">
        <f t="shared" si="10"/>
        <v/>
      </c>
      <c r="AT20" s="210" t="str">
        <f t="shared" si="11"/>
        <v/>
      </c>
      <c r="AU20" s="210" t="str">
        <f t="shared" si="12"/>
        <v/>
      </c>
      <c r="AV20" s="210" t="str">
        <f t="shared" si="13"/>
        <v/>
      </c>
      <c r="AZ20" s="205">
        <v>12</v>
      </c>
      <c r="BA20" s="210" t="str">
        <f>IFERROR(IF(LEN(INDEX(MeasuredXMR!E$15:E$29,Calc!$AZ20,1))&gt;0,INDEX(MeasuredXMR!E$15:E$29,Calc!$AZ20,1),""),"")</f>
        <v/>
      </c>
      <c r="BB20" s="211" t="str">
        <f t="shared" si="37"/>
        <v/>
      </c>
      <c r="BC20" s="212" t="str">
        <f t="array" ref="BC20">IF(AZ20&gt;XMRCount,"",IF(LEN(BA20)&gt;0,AVERAGE(IF($BA$9:$BA$23&gt;0,$BA$9:$BA$23,"")),BC19))</f>
        <v/>
      </c>
      <c r="BD20" s="212" t="str">
        <f t="shared" si="38"/>
        <v/>
      </c>
      <c r="BE20" s="212" t="str">
        <f t="shared" si="39"/>
        <v/>
      </c>
      <c r="BF20" s="212" t="str">
        <f t="shared" si="14"/>
        <v/>
      </c>
      <c r="BG20" s="212" t="str">
        <f t="shared" si="15"/>
        <v/>
      </c>
      <c r="BH20" s="212" t="str">
        <f t="shared" si="16"/>
        <v/>
      </c>
      <c r="BI20" s="213" t="str">
        <f t="array" ref="BI20">IFERROR(SMALL(IF($BA$9:$BA$23&gt;0,$BA$9:$BA$23,""),Q20),"")</f>
        <v/>
      </c>
      <c r="BJ20" s="214" t="str">
        <f t="shared" si="17"/>
        <v/>
      </c>
      <c r="BK20" s="210" t="str">
        <f t="shared" si="18"/>
        <v/>
      </c>
      <c r="BL20" s="210" t="str">
        <f t="shared" si="19"/>
        <v/>
      </c>
      <c r="BM20" s="210" t="str">
        <f t="shared" si="20"/>
        <v/>
      </c>
      <c r="BN20" s="210" t="str">
        <f t="shared" si="21"/>
        <v/>
      </c>
      <c r="BO20" s="210" t="str">
        <f t="shared" si="22"/>
        <v/>
      </c>
      <c r="BP20" s="210" t="str">
        <f t="shared" si="23"/>
        <v/>
      </c>
      <c r="BQ20" s="210" t="str">
        <f t="shared" si="24"/>
        <v/>
      </c>
      <c r="BR20" s="210" t="str">
        <f t="shared" si="25"/>
        <v/>
      </c>
      <c r="BS20" s="210" t="str">
        <f t="shared" si="26"/>
        <v/>
      </c>
      <c r="BT20" s="210" t="str">
        <f t="shared" si="27"/>
        <v/>
      </c>
      <c r="BU20" s="210" t="str">
        <f t="shared" si="28"/>
        <v/>
      </c>
      <c r="BV20" s="210" t="str">
        <f t="shared" si="29"/>
        <v/>
      </c>
      <c r="BZ20" s="205">
        <v>12</v>
      </c>
      <c r="CA20" s="210" t="str">
        <f>IFERROR(IF(LEN(INDEX(CountDefectives!D$9:D$23,Calc!$BZ20,1))&gt;0,INDEX(CountDefectives!D$9:D$23,Calc!$BZ20,1),""),"")</f>
        <v/>
      </c>
      <c r="CB20" s="211" t="str">
        <f>IFERROR(IF(LEN(INDEX(CountDefectives!E$9:E$23,Calc!$BZ20,1))&gt;0,INDEX(CountDefectives!E$9:E$23,Calc!$BZ20,1),""),"")</f>
        <v/>
      </c>
      <c r="CC20" s="212" t="str">
        <f t="shared" si="40"/>
        <v/>
      </c>
      <c r="CD20" s="215" t="str">
        <f t="shared" si="41"/>
        <v/>
      </c>
      <c r="CE20" s="215" t="str">
        <f t="shared" si="30"/>
        <v/>
      </c>
      <c r="CF20" s="212" t="str">
        <f t="shared" si="31"/>
        <v/>
      </c>
      <c r="CG20" s="212" t="str">
        <f t="shared" si="32"/>
        <v/>
      </c>
      <c r="CJ20" s="205">
        <v>12</v>
      </c>
      <c r="CK20" s="210" t="str">
        <f>IFERROR(IF(LEN(INDEX(CountDefects!D$9:D$23,Calc!$CJ20,1))&gt;0,INDEX(CountDefects!D$9:D$23,Calc!$CJ20,1),""),"")</f>
        <v/>
      </c>
      <c r="CL20" s="211" t="str">
        <f>IFERROR(IF(LEN(INDEX(CountDefects!E$9:E$23,Calc!$CJ20,1))&gt;0,INDEX(CountDefects!E$9:E$23,Calc!$CJ20,1),""),"")</f>
        <v/>
      </c>
      <c r="CM20" s="212" t="str">
        <f t="shared" si="42"/>
        <v/>
      </c>
      <c r="CN20" s="215" t="str">
        <f t="shared" si="33"/>
        <v/>
      </c>
      <c r="CO20" s="215" t="str">
        <f t="shared" si="43"/>
        <v/>
      </c>
      <c r="CP20" s="212" t="str">
        <f t="shared" si="34"/>
        <v/>
      </c>
      <c r="CQ20" s="212" t="str">
        <f t="shared" si="35"/>
        <v/>
      </c>
    </row>
    <row r="21" spans="3:95" x14ac:dyDescent="0.25">
      <c r="Q21" s="205">
        <v>13</v>
      </c>
      <c r="R21" s="210" t="str">
        <f>IFERROR(IF(LEN(INDEX(MeasuredXbarR!D$15:D$29,Calc!$Q21,1))&gt;0,INDEX(MeasuredXbarR!D$15:D$29,Calc!$Q21,1),""),"")</f>
        <v/>
      </c>
      <c r="S21" s="210" t="str">
        <f>IFERROR(IF(LEN(INDEX(MeasuredXbarR!E$15:E$29,Calc!$Q21,1))&gt;0,INDEX(MeasuredXbarR!E$15:E$29,Calc!$Q21,1),""),"")</f>
        <v/>
      </c>
      <c r="T21" s="210" t="str">
        <f>IFERROR(IF(LEN(INDEX(MeasuredXbarR!F$15:F$29,Calc!$Q21,1))&gt;0,INDEX(MeasuredXbarR!F$15:F$29,Calc!$Q21,1),""),"")</f>
        <v/>
      </c>
      <c r="U21" s="210" t="str">
        <f>IFERROR(IF(LEN(INDEX(MeasuredXbarR!G$15:G$29,Calc!$Q21,1))&gt;0,INDEX(MeasuredXbarR!G$15:G$29,Calc!$Q21,1),""),"")</f>
        <v/>
      </c>
      <c r="V21" s="210" t="str">
        <f>IFERROR(IF(LEN(INDEX(MeasuredXbarR!H$15:H$29,Calc!$Q21,1))&gt;0,INDEX(MeasuredXbarR!H$15:H$29,Calc!$Q21,1),""),"")</f>
        <v/>
      </c>
      <c r="W21" s="210" t="str">
        <f>IFERROR(IF(LEN(INDEX(MeasuredXbarR!I$15:I$29,Calc!$Q21,1))&gt;0,INDEX(MeasuredXbarR!I$15:I$29,Calc!$Q21,1),""),"")</f>
        <v/>
      </c>
      <c r="X21" s="210" t="str">
        <f>IFERROR(IF(LEN(INDEX(MeasuredXbarR!J$15:J$29,Calc!$Q21,1))&gt;0,INDEX(MeasuredXbarR!J$15:J$29,Calc!$Q21,1),""),"")</f>
        <v/>
      </c>
      <c r="Y21" s="210" t="str">
        <f>IFERROR(IF(LEN(INDEX(MeasuredXbarR!K$15:K$29,Calc!$Q21,1))&gt;0,INDEX(MeasuredXbarR!K$15:K$29,Calc!$Q21,1),""),"")</f>
        <v/>
      </c>
      <c r="Z21" s="210" t="str">
        <f>IFERROR(IF(LEN(INDEX(MeasuredXbarR!L$15:L$29,Calc!$Q21,1))&gt;0,INDEX(MeasuredXbarR!L$15:L$29,Calc!$Q21,1),""),"")</f>
        <v/>
      </c>
      <c r="AA21" s="210" t="str">
        <f>IFERROR(IF(LEN(INDEX(MeasuredXbarR!M$15:M$29,Calc!$Q21,1))&gt;0,INDEX(MeasuredXbarR!M$15:M$29,Calc!$Q21,1),""),"")</f>
        <v/>
      </c>
      <c r="AB21" s="210" t="str">
        <f>IFERROR(IF(LEN(INDEX(MeasuredXbarR!N$15:N$29,Calc!$Q21,1))&gt;0,INDEX(MeasuredXbarR!N$15:N$129,Calc!$Q21,1),""),"")</f>
        <v/>
      </c>
      <c r="AC21" s="211" t="str">
        <f>IFERROR(IF(LEN(INDEX(MeasuredXbarR!O$15:O$29,Calc!$Q21,1))&gt;0,INDEX(MeasuredXbarR!O$15:O$29,Calc!$Q21,1),""),"")</f>
        <v/>
      </c>
      <c r="AD21" s="212" t="str">
        <f t="array" ref="AD21">IF(Q21&gt;XbarCount,"",IF(LEN(R21)&gt;0,AVERAGE(IFERROR($AB$9:$AB$23,"")),AD20))</f>
        <v/>
      </c>
      <c r="AE21" s="212" t="str">
        <f>IF(Q21&gt;XbarCount,"",$AD21+(INDEX(Calc!$D$8:$D$17,MATCH(COUNTIF($R$9:$AA$9,"&gt;0"),Calc!$C$8:$C$17,0))*AVERAGE($AC$9:$AC$23)))</f>
        <v/>
      </c>
      <c r="AF21" s="212" t="str">
        <f>IF(Q21&gt;XbarCount,"",$AD21-(INDEX(Calc!$D$8:$D$17,MATCH(COUNTIF($R$9:$AA$9,"&gt;0"),Calc!$C$8:$C$17,0))*AVERAGE($AC$9:$AC$23)))</f>
        <v/>
      </c>
      <c r="AG21" s="212" t="str">
        <f t="shared" si="1"/>
        <v/>
      </c>
      <c r="AH21" s="212" t="str">
        <f>IF(Q21&gt;XbarCount,"",INDEX(Calc!$E$8:$E$17,MATCH(COUNTIF($R$9:$AA$9,"&gt;0"),Calc!$C$8:$C$17,0))*AVERAGE($AC$9:$AC$23))</f>
        <v/>
      </c>
      <c r="AI21" s="213" t="str">
        <f t="array" ref="AI21">IFERROR(SMALL(IF($AB$9:$AB$23&gt;0,$AB$9:$AB$23,""),Q21),"")</f>
        <v/>
      </c>
      <c r="AJ21" s="214" t="str">
        <f t="shared" si="36"/>
        <v/>
      </c>
      <c r="AK21" s="210" t="str">
        <f t="shared" si="2"/>
        <v/>
      </c>
      <c r="AL21" s="210" t="str">
        <f t="shared" si="3"/>
        <v/>
      </c>
      <c r="AM21" s="210" t="str">
        <f t="shared" si="4"/>
        <v/>
      </c>
      <c r="AN21" s="210" t="str">
        <f t="shared" si="5"/>
        <v/>
      </c>
      <c r="AO21" s="210" t="str">
        <f t="shared" si="6"/>
        <v/>
      </c>
      <c r="AP21" s="210" t="str">
        <f t="shared" si="7"/>
        <v/>
      </c>
      <c r="AQ21" s="210" t="str">
        <f t="shared" si="8"/>
        <v/>
      </c>
      <c r="AR21" s="210" t="str">
        <f t="shared" si="9"/>
        <v/>
      </c>
      <c r="AS21" s="210" t="str">
        <f t="shared" si="10"/>
        <v/>
      </c>
      <c r="AT21" s="210" t="str">
        <f t="shared" si="11"/>
        <v/>
      </c>
      <c r="AU21" s="210" t="str">
        <f t="shared" si="12"/>
        <v/>
      </c>
      <c r="AV21" s="210" t="str">
        <f t="shared" si="13"/>
        <v/>
      </c>
      <c r="AZ21" s="205">
        <v>13</v>
      </c>
      <c r="BA21" s="210" t="str">
        <f>IFERROR(IF(LEN(INDEX(MeasuredXMR!E$15:E$29,Calc!$AZ21,1))&gt;0,INDEX(MeasuredXMR!E$15:E$29,Calc!$AZ21,1),""),"")</f>
        <v/>
      </c>
      <c r="BB21" s="211" t="str">
        <f t="shared" si="37"/>
        <v/>
      </c>
      <c r="BC21" s="212" t="str">
        <f t="array" ref="BC21">IF(AZ21&gt;XMRCount,"",IF(LEN(BA21)&gt;0,AVERAGE(IF($BA$9:$BA$23&gt;0,$BA$9:$BA$23,"")),BC20))</f>
        <v/>
      </c>
      <c r="BD21" s="212" t="str">
        <f t="shared" si="38"/>
        <v/>
      </c>
      <c r="BE21" s="212" t="str">
        <f t="shared" si="39"/>
        <v/>
      </c>
      <c r="BF21" s="212" t="str">
        <f t="shared" si="14"/>
        <v/>
      </c>
      <c r="BG21" s="212" t="str">
        <f t="shared" si="15"/>
        <v/>
      </c>
      <c r="BH21" s="212" t="str">
        <f t="shared" si="16"/>
        <v/>
      </c>
      <c r="BI21" s="213" t="str">
        <f t="array" ref="BI21">IFERROR(SMALL(IF($BA$9:$BA$23&gt;0,$BA$9:$BA$23,""),Q21),"")</f>
        <v/>
      </c>
      <c r="BJ21" s="214" t="str">
        <f t="shared" si="17"/>
        <v/>
      </c>
      <c r="BK21" s="210" t="str">
        <f t="shared" si="18"/>
        <v/>
      </c>
      <c r="BL21" s="210" t="str">
        <f t="shared" si="19"/>
        <v/>
      </c>
      <c r="BM21" s="210" t="str">
        <f t="shared" si="20"/>
        <v/>
      </c>
      <c r="BN21" s="210" t="str">
        <f t="shared" si="21"/>
        <v/>
      </c>
      <c r="BO21" s="210" t="str">
        <f t="shared" si="22"/>
        <v/>
      </c>
      <c r="BP21" s="210" t="str">
        <f t="shared" si="23"/>
        <v/>
      </c>
      <c r="BQ21" s="210" t="str">
        <f t="shared" si="24"/>
        <v/>
      </c>
      <c r="BR21" s="210" t="str">
        <f t="shared" si="25"/>
        <v/>
      </c>
      <c r="BS21" s="210" t="str">
        <f t="shared" si="26"/>
        <v/>
      </c>
      <c r="BT21" s="210" t="str">
        <f t="shared" si="27"/>
        <v/>
      </c>
      <c r="BU21" s="210" t="str">
        <f t="shared" si="28"/>
        <v/>
      </c>
      <c r="BV21" s="210" t="str">
        <f t="shared" si="29"/>
        <v/>
      </c>
      <c r="BZ21" s="205">
        <v>13</v>
      </c>
      <c r="CA21" s="210" t="str">
        <f>IFERROR(IF(LEN(INDEX(CountDefectives!D$9:D$23,Calc!$BZ21,1))&gt;0,INDEX(CountDefectives!D$9:D$23,Calc!$BZ21,1),""),"")</f>
        <v/>
      </c>
      <c r="CB21" s="211" t="str">
        <f>IFERROR(IF(LEN(INDEX(CountDefectives!E$9:E$23,Calc!$BZ21,1))&gt;0,INDEX(CountDefectives!E$9:E$23,Calc!$BZ21,1),""),"")</f>
        <v/>
      </c>
      <c r="CC21" s="212" t="str">
        <f t="shared" si="40"/>
        <v/>
      </c>
      <c r="CD21" s="215" t="str">
        <f t="shared" si="41"/>
        <v/>
      </c>
      <c r="CE21" s="215" t="str">
        <f t="shared" si="30"/>
        <v/>
      </c>
      <c r="CF21" s="212" t="str">
        <f t="shared" si="31"/>
        <v/>
      </c>
      <c r="CG21" s="212" t="str">
        <f t="shared" si="32"/>
        <v/>
      </c>
      <c r="CJ21" s="205">
        <v>13</v>
      </c>
      <c r="CK21" s="210" t="str">
        <f>IFERROR(IF(LEN(INDEX(CountDefects!D$9:D$23,Calc!$CJ21,1))&gt;0,INDEX(CountDefects!D$9:D$23,Calc!$CJ21,1),""),"")</f>
        <v/>
      </c>
      <c r="CL21" s="211" t="str">
        <f>IFERROR(IF(LEN(INDEX(CountDefects!E$9:E$23,Calc!$CJ21,1))&gt;0,INDEX(CountDefects!E$9:E$23,Calc!$CJ21,1),""),"")</f>
        <v/>
      </c>
      <c r="CM21" s="212" t="str">
        <f t="shared" si="42"/>
        <v/>
      </c>
      <c r="CN21" s="215" t="str">
        <f t="shared" si="33"/>
        <v/>
      </c>
      <c r="CO21" s="215" t="str">
        <f t="shared" si="43"/>
        <v/>
      </c>
      <c r="CP21" s="212" t="str">
        <f t="shared" si="34"/>
        <v/>
      </c>
      <c r="CQ21" s="212" t="str">
        <f t="shared" si="35"/>
        <v/>
      </c>
    </row>
    <row r="22" spans="3:95" x14ac:dyDescent="0.25">
      <c r="Q22" s="219">
        <v>14</v>
      </c>
      <c r="R22" s="210" t="str">
        <f>IFERROR(IF(LEN(INDEX(MeasuredXbarR!D$15:D$29,Calc!$Q22,1))&gt;0,INDEX(MeasuredXbarR!D$15:D$29,Calc!$Q22,1),""),"")</f>
        <v/>
      </c>
      <c r="S22" s="210" t="str">
        <f>IFERROR(IF(LEN(INDEX(MeasuredXbarR!E$15:E$29,Calc!$Q22,1))&gt;0,INDEX(MeasuredXbarR!E$15:E$29,Calc!$Q22,1),""),"")</f>
        <v/>
      </c>
      <c r="T22" s="210" t="str">
        <f>IFERROR(IF(LEN(INDEX(MeasuredXbarR!F$15:F$29,Calc!$Q22,1))&gt;0,INDEX(MeasuredXbarR!F$15:F$29,Calc!$Q22,1),""),"")</f>
        <v/>
      </c>
      <c r="U22" s="210" t="str">
        <f>IFERROR(IF(LEN(INDEX(MeasuredXbarR!G$15:G$29,Calc!$Q22,1))&gt;0,INDEX(MeasuredXbarR!G$15:G$29,Calc!$Q22,1),""),"")</f>
        <v/>
      </c>
      <c r="V22" s="210" t="str">
        <f>IFERROR(IF(LEN(INDEX(MeasuredXbarR!H$15:H$29,Calc!$Q22,1))&gt;0,INDEX(MeasuredXbarR!H$15:H$29,Calc!$Q22,1),""),"")</f>
        <v/>
      </c>
      <c r="W22" s="210" t="str">
        <f>IFERROR(IF(LEN(INDEX(MeasuredXbarR!I$15:I$29,Calc!$Q22,1))&gt;0,INDEX(MeasuredXbarR!I$15:I$29,Calc!$Q22,1),""),"")</f>
        <v/>
      </c>
      <c r="X22" s="210" t="str">
        <f>IFERROR(IF(LEN(INDEX(MeasuredXbarR!J$15:J$29,Calc!$Q22,1))&gt;0,INDEX(MeasuredXbarR!J$15:J$29,Calc!$Q22,1),""),"")</f>
        <v/>
      </c>
      <c r="Y22" s="210" t="str">
        <f>IFERROR(IF(LEN(INDEX(MeasuredXbarR!K$15:K$29,Calc!$Q22,1))&gt;0,INDEX(MeasuredXbarR!K$15:K$29,Calc!$Q22,1),""),"")</f>
        <v/>
      </c>
      <c r="Z22" s="210" t="str">
        <f>IFERROR(IF(LEN(INDEX(MeasuredXbarR!L$15:L$29,Calc!$Q22,1))&gt;0,INDEX(MeasuredXbarR!L$15:L$29,Calc!$Q22,1),""),"")</f>
        <v/>
      </c>
      <c r="AA22" s="210" t="str">
        <f>IFERROR(IF(LEN(INDEX(MeasuredXbarR!M$15:M$29,Calc!$Q22,1))&gt;0,INDEX(MeasuredXbarR!M$15:M$29,Calc!$Q22,1),""),"")</f>
        <v/>
      </c>
      <c r="AB22" s="210" t="str">
        <f>IFERROR(IF(LEN(INDEX(MeasuredXbarR!N$15:N$29,Calc!$Q22,1))&gt;0,INDEX(MeasuredXbarR!N$15:N$129,Calc!$Q22,1),""),"")</f>
        <v/>
      </c>
      <c r="AC22" s="211" t="str">
        <f>IFERROR(IF(LEN(INDEX(MeasuredXbarR!O$15:O$29,Calc!$Q22,1))&gt;0,INDEX(MeasuredXbarR!O$15:O$29,Calc!$Q22,1),""),"")</f>
        <v/>
      </c>
      <c r="AD22" s="212" t="str">
        <f t="array" ref="AD22">IF(Q22&gt;XbarCount,"",IF(LEN(R22)&gt;0,AVERAGE(IFERROR($AB$9:$AB$23,"")),AD21))</f>
        <v/>
      </c>
      <c r="AE22" s="212" t="str">
        <f>IF(Q22&gt;XbarCount,"",$AD22+(INDEX(Calc!$D$8:$D$17,MATCH(COUNTIF($R$9:$AA$9,"&gt;0"),Calc!$C$8:$C$17,0))*AVERAGE($AC$9:$AC$23)))</f>
        <v/>
      </c>
      <c r="AF22" s="212" t="str">
        <f>IF(Q22&gt;XbarCount,"",$AD22-(INDEX(Calc!$D$8:$D$17,MATCH(COUNTIF($R$9:$AA$9,"&gt;0"),Calc!$C$8:$C$17,0))*AVERAGE($AC$9:$AC$23)))</f>
        <v/>
      </c>
      <c r="AG22" s="212" t="str">
        <f t="shared" si="1"/>
        <v/>
      </c>
      <c r="AH22" s="212" t="str">
        <f>IF(Q22&gt;XbarCount,"",INDEX(Calc!$E$8:$E$17,MATCH(COUNTIF($R$9:$AA$9,"&gt;0"),Calc!$C$8:$C$17,0))*AVERAGE($AC$9:$AC$23))</f>
        <v/>
      </c>
      <c r="AI22" s="213" t="str">
        <f t="array" ref="AI22">IFERROR(SMALL(IF($AB$9:$AB$23&gt;0,$AB$9:$AB$23,""),Q22),"")</f>
        <v/>
      </c>
      <c r="AJ22" s="214" t="str">
        <f t="shared" si="36"/>
        <v/>
      </c>
      <c r="AK22" s="210" t="str">
        <f t="shared" si="2"/>
        <v/>
      </c>
      <c r="AL22" s="210" t="str">
        <f t="shared" si="3"/>
        <v/>
      </c>
      <c r="AM22" s="210" t="str">
        <f t="shared" si="4"/>
        <v/>
      </c>
      <c r="AN22" s="210" t="str">
        <f t="shared" si="5"/>
        <v/>
      </c>
      <c r="AO22" s="210" t="str">
        <f t="shared" si="6"/>
        <v/>
      </c>
      <c r="AP22" s="210" t="str">
        <f t="shared" si="7"/>
        <v/>
      </c>
      <c r="AQ22" s="210" t="str">
        <f t="shared" si="8"/>
        <v/>
      </c>
      <c r="AR22" s="210" t="str">
        <f t="shared" si="9"/>
        <v/>
      </c>
      <c r="AS22" s="210" t="str">
        <f t="shared" si="10"/>
        <v/>
      </c>
      <c r="AT22" s="210" t="str">
        <f t="shared" si="11"/>
        <v/>
      </c>
      <c r="AU22" s="210" t="str">
        <f t="shared" si="12"/>
        <v/>
      </c>
      <c r="AV22" s="210" t="str">
        <f t="shared" si="13"/>
        <v/>
      </c>
      <c r="AZ22" s="219">
        <v>14</v>
      </c>
      <c r="BA22" s="210" t="str">
        <f>IFERROR(IF(LEN(INDEX(MeasuredXMR!E$15:E$29,Calc!$AZ22,1))&gt;0,INDEX(MeasuredXMR!E$15:E$29,Calc!$AZ22,1),""),"")</f>
        <v/>
      </c>
      <c r="BB22" s="211" t="str">
        <f t="shared" si="37"/>
        <v/>
      </c>
      <c r="BC22" s="212" t="str">
        <f t="array" ref="BC22">IF(AZ22&gt;XMRCount,"",IF(LEN(BA22)&gt;0,AVERAGE(IF($BA$9:$BA$23&gt;0,$BA$9:$BA$23,"")),BC21))</f>
        <v/>
      </c>
      <c r="BD22" s="212" t="str">
        <f t="shared" si="38"/>
        <v/>
      </c>
      <c r="BE22" s="212" t="str">
        <f t="shared" si="39"/>
        <v/>
      </c>
      <c r="BF22" s="212" t="str">
        <f t="shared" si="14"/>
        <v/>
      </c>
      <c r="BG22" s="212" t="str">
        <f t="shared" si="15"/>
        <v/>
      </c>
      <c r="BH22" s="212" t="str">
        <f t="shared" si="16"/>
        <v/>
      </c>
      <c r="BI22" s="213" t="str">
        <f t="array" ref="BI22">IFERROR(SMALL(IF($BA$9:$BA$23&gt;0,$BA$9:$BA$23,""),Q22),"")</f>
        <v/>
      </c>
      <c r="BJ22" s="214" t="str">
        <f t="shared" si="17"/>
        <v/>
      </c>
      <c r="BK22" s="210" t="str">
        <f t="shared" si="18"/>
        <v/>
      </c>
      <c r="BL22" s="210" t="str">
        <f t="shared" si="19"/>
        <v/>
      </c>
      <c r="BM22" s="210" t="str">
        <f t="shared" si="20"/>
        <v/>
      </c>
      <c r="BN22" s="210" t="str">
        <f t="shared" si="21"/>
        <v/>
      </c>
      <c r="BO22" s="210" t="str">
        <f t="shared" si="22"/>
        <v/>
      </c>
      <c r="BP22" s="210" t="str">
        <f t="shared" si="23"/>
        <v/>
      </c>
      <c r="BQ22" s="210" t="str">
        <f t="shared" si="24"/>
        <v/>
      </c>
      <c r="BR22" s="210" t="str">
        <f t="shared" si="25"/>
        <v/>
      </c>
      <c r="BS22" s="210" t="str">
        <f t="shared" si="26"/>
        <v/>
      </c>
      <c r="BT22" s="210" t="str">
        <f t="shared" si="27"/>
        <v/>
      </c>
      <c r="BU22" s="210" t="str">
        <f t="shared" si="28"/>
        <v/>
      </c>
      <c r="BV22" s="210" t="str">
        <f t="shared" si="29"/>
        <v/>
      </c>
      <c r="BZ22" s="219">
        <v>14</v>
      </c>
      <c r="CA22" s="210" t="str">
        <f>IFERROR(IF(LEN(INDEX(CountDefectives!D$9:D$23,Calc!$BZ22,1))&gt;0,INDEX(CountDefectives!D$9:D$23,Calc!$BZ22,1),""),"")</f>
        <v/>
      </c>
      <c r="CB22" s="211" t="str">
        <f>IFERROR(IF(LEN(INDEX(CountDefectives!E$9:E$23,Calc!$BZ22,1))&gt;0,INDEX(CountDefectives!E$9:E$23,Calc!$BZ22,1),""),"")</f>
        <v/>
      </c>
      <c r="CC22" s="212" t="str">
        <f t="shared" si="40"/>
        <v/>
      </c>
      <c r="CD22" s="215" t="str">
        <f t="shared" si="41"/>
        <v/>
      </c>
      <c r="CE22" s="215" t="str">
        <f t="shared" si="30"/>
        <v/>
      </c>
      <c r="CF22" s="212" t="str">
        <f t="shared" si="31"/>
        <v/>
      </c>
      <c r="CG22" s="212" t="str">
        <f t="shared" si="32"/>
        <v/>
      </c>
      <c r="CJ22" s="219">
        <v>14</v>
      </c>
      <c r="CK22" s="210" t="str">
        <f>IFERROR(IF(LEN(INDEX(CountDefects!D$9:D$23,Calc!$CJ22,1))&gt;0,INDEX(CountDefects!D$9:D$23,Calc!$CJ22,1),""),"")</f>
        <v/>
      </c>
      <c r="CL22" s="211" t="str">
        <f>IFERROR(IF(LEN(INDEX(CountDefects!E$9:E$23,Calc!$CJ22,1))&gt;0,INDEX(CountDefects!E$9:E$23,Calc!$CJ22,1),""),"")</f>
        <v/>
      </c>
      <c r="CM22" s="212" t="str">
        <f t="shared" si="42"/>
        <v/>
      </c>
      <c r="CN22" s="215" t="str">
        <f t="shared" si="33"/>
        <v/>
      </c>
      <c r="CO22" s="215" t="str">
        <f t="shared" si="43"/>
        <v/>
      </c>
      <c r="CP22" s="212" t="str">
        <f t="shared" si="34"/>
        <v/>
      </c>
      <c r="CQ22" s="212" t="str">
        <f t="shared" si="35"/>
        <v/>
      </c>
    </row>
    <row r="23" spans="3:95" x14ac:dyDescent="0.25">
      <c r="C23" s="227" t="s">
        <v>294</v>
      </c>
      <c r="D23" s="228"/>
      <c r="E23" s="228"/>
      <c r="F23" s="228"/>
      <c r="G23" s="228"/>
      <c r="H23" s="228"/>
      <c r="I23" s="228"/>
      <c r="J23" s="228"/>
      <c r="K23" s="228"/>
      <c r="L23" s="228"/>
      <c r="M23" s="229"/>
      <c r="Q23" s="219">
        <v>15</v>
      </c>
      <c r="R23" s="210" t="str">
        <f>IFERROR(IF(LEN(INDEX(MeasuredXbarR!D$15:D$29,Calc!$Q23,1))&gt;0,INDEX(MeasuredXbarR!D$15:D$29,Calc!$Q23,1),""),"")</f>
        <v/>
      </c>
      <c r="S23" s="210" t="str">
        <f>IFERROR(IF(LEN(INDEX(MeasuredXbarR!E$15:E$29,Calc!$Q23,1))&gt;0,INDEX(MeasuredXbarR!E$15:E$29,Calc!$Q23,1),""),"")</f>
        <v/>
      </c>
      <c r="T23" s="210" t="str">
        <f>IFERROR(IF(LEN(INDEX(MeasuredXbarR!F$15:F$29,Calc!$Q23,1))&gt;0,INDEX(MeasuredXbarR!F$15:F$29,Calc!$Q23,1),""),"")</f>
        <v/>
      </c>
      <c r="U23" s="210" t="str">
        <f>IFERROR(IF(LEN(INDEX(MeasuredXbarR!G$15:G$29,Calc!$Q23,1))&gt;0,INDEX(MeasuredXbarR!G$15:G$29,Calc!$Q23,1),""),"")</f>
        <v/>
      </c>
      <c r="V23" s="210" t="str">
        <f>IFERROR(IF(LEN(INDEX(MeasuredXbarR!H$15:H$29,Calc!$Q23,1))&gt;0,INDEX(MeasuredXbarR!H$15:H$29,Calc!$Q23,1),""),"")</f>
        <v/>
      </c>
      <c r="W23" s="210" t="str">
        <f>IFERROR(IF(LEN(INDEX(MeasuredXbarR!I$15:I$29,Calc!$Q23,1))&gt;0,INDEX(MeasuredXbarR!I$15:I$29,Calc!$Q23,1),""),"")</f>
        <v/>
      </c>
      <c r="X23" s="210" t="str">
        <f>IFERROR(IF(LEN(INDEX(MeasuredXbarR!J$15:J$29,Calc!$Q23,1))&gt;0,INDEX(MeasuredXbarR!J$15:J$29,Calc!$Q23,1),""),"")</f>
        <v/>
      </c>
      <c r="Y23" s="210" t="str">
        <f>IFERROR(IF(LEN(INDEX(MeasuredXbarR!K$15:K$29,Calc!$Q23,1))&gt;0,INDEX(MeasuredXbarR!K$15:K$29,Calc!$Q23,1),""),"")</f>
        <v/>
      </c>
      <c r="Z23" s="210" t="str">
        <f>IFERROR(IF(LEN(INDEX(MeasuredXbarR!L$15:L$29,Calc!$Q23,1))&gt;0,INDEX(MeasuredXbarR!L$15:L$29,Calc!$Q23,1),""),"")</f>
        <v/>
      </c>
      <c r="AA23" s="210" t="str">
        <f>IFERROR(IF(LEN(INDEX(MeasuredXbarR!M$15:M$29,Calc!$Q23,1))&gt;0,INDEX(MeasuredXbarR!M$15:M$29,Calc!$Q23,1),""),"")</f>
        <v/>
      </c>
      <c r="AB23" s="210" t="str">
        <f>IFERROR(IF(LEN(INDEX(MeasuredXbarR!N$15:N$29,Calc!$Q23,1))&gt;0,INDEX(MeasuredXbarR!N$15:N$129,Calc!$Q23,1),""),"")</f>
        <v/>
      </c>
      <c r="AC23" s="211" t="str">
        <f>IFERROR(IF(LEN(INDEX(MeasuredXbarR!O$15:O$29,Calc!$Q23,1))&gt;0,INDEX(MeasuredXbarR!O$15:O$29,Calc!$Q23,1),""),"")</f>
        <v/>
      </c>
      <c r="AD23" s="212" t="str">
        <f t="array" ref="AD23">IF(Q23&gt;XbarCount,"",IF(LEN(R23)&gt;0,AVERAGE(IFERROR($AB$9:$AB$23,"")),AD22))</f>
        <v/>
      </c>
      <c r="AE23" s="212" t="str">
        <f>IF(Q23&gt;XbarCount,"",$AD23+(INDEX(Calc!$D$8:$D$17,MATCH(COUNTIF($R$9:$AA$9,"&gt;0"),Calc!$C$8:$C$17,0))*AVERAGE($AC$9:$AC$23)))</f>
        <v/>
      </c>
      <c r="AF23" s="212" t="str">
        <f>IF(Q23&gt;XbarCount,"",$AD23-(INDEX(Calc!$D$8:$D$17,MATCH(COUNTIF($R$9:$AA$9,"&gt;0"),Calc!$C$8:$C$17,0))*AVERAGE($AC$9:$AC$23)))</f>
        <v/>
      </c>
      <c r="AG23" s="212" t="str">
        <f t="shared" si="1"/>
        <v/>
      </c>
      <c r="AH23" s="212" t="str">
        <f>IF(Q23&gt;XbarCount,"",INDEX(Calc!$E$8:$E$17,MATCH(COUNTIF($R$9:$AA$9,"&gt;0"),Calc!$C$8:$C$17,0))*AVERAGE($AC$9:$AC$23))</f>
        <v/>
      </c>
      <c r="AI23" s="213" t="str">
        <f t="array" ref="AI23">IFERROR(SMALL(IF($AB$9:$AB$23&gt;0,$AB$9:$AB$23,""),Q23),"")</f>
        <v/>
      </c>
      <c r="AJ23" s="214" t="str">
        <f t="shared" si="36"/>
        <v/>
      </c>
      <c r="AK23" s="210" t="str">
        <f t="shared" si="2"/>
        <v/>
      </c>
      <c r="AL23" s="210" t="str">
        <f t="shared" si="3"/>
        <v/>
      </c>
      <c r="AM23" s="210" t="str">
        <f t="shared" si="4"/>
        <v/>
      </c>
      <c r="AN23" s="210" t="str">
        <f t="shared" si="5"/>
        <v/>
      </c>
      <c r="AO23" s="210" t="str">
        <f t="shared" si="6"/>
        <v/>
      </c>
      <c r="AP23" s="210" t="str">
        <f t="shared" si="7"/>
        <v/>
      </c>
      <c r="AQ23" s="210" t="str">
        <f t="shared" si="8"/>
        <v/>
      </c>
      <c r="AR23" s="210" t="str">
        <f>IF(LEN($R23)&gt;0,$AD$9+K$20*$S$5,"")</f>
        <v/>
      </c>
      <c r="AS23" s="210" t="str">
        <f t="shared" si="10"/>
        <v/>
      </c>
      <c r="AT23" s="210" t="str">
        <f t="shared" si="11"/>
        <v/>
      </c>
      <c r="AU23" s="210" t="str">
        <f t="shared" si="12"/>
        <v/>
      </c>
      <c r="AV23" s="210" t="str">
        <f t="shared" si="13"/>
        <v/>
      </c>
      <c r="AZ23" s="219">
        <v>15</v>
      </c>
      <c r="BA23" s="210" t="str">
        <f>IFERROR(IF(LEN(INDEX(MeasuredXMR!E$15:E$29,Calc!$AZ23,1))&gt;0,INDEX(MeasuredXMR!E$15:E$29,Calc!$AZ23,1),""),"")</f>
        <v/>
      </c>
      <c r="BB23" s="211" t="str">
        <f t="shared" si="37"/>
        <v/>
      </c>
      <c r="BC23" s="212" t="str">
        <f t="array" ref="BC23">IF(AZ23&gt;XMRCount,"",IF(LEN(BA23)&gt;0,AVERAGE(IF($BA$9:$BA$23&gt;0,$BA$9:$BA$23,"")),BC22))</f>
        <v/>
      </c>
      <c r="BD23" s="212" t="str">
        <f t="shared" si="38"/>
        <v/>
      </c>
      <c r="BE23" s="212" t="str">
        <f t="shared" si="39"/>
        <v/>
      </c>
      <c r="BF23" s="212" t="str">
        <f t="shared" si="14"/>
        <v/>
      </c>
      <c r="BG23" s="212" t="str">
        <f t="shared" si="15"/>
        <v/>
      </c>
      <c r="BH23" s="212" t="str">
        <f t="shared" si="16"/>
        <v/>
      </c>
      <c r="BI23" s="213" t="str">
        <f t="array" ref="BI23">IFERROR(SMALL(IF($BA$9:$BA$23&gt;0,$BA$9:$BA$23,""),Q23),"")</f>
        <v/>
      </c>
      <c r="BJ23" s="214" t="str">
        <f t="shared" si="17"/>
        <v/>
      </c>
      <c r="BK23" s="210" t="str">
        <f t="shared" si="18"/>
        <v/>
      </c>
      <c r="BL23" s="210" t="str">
        <f t="shared" si="19"/>
        <v/>
      </c>
      <c r="BM23" s="210" t="str">
        <f t="shared" si="20"/>
        <v/>
      </c>
      <c r="BN23" s="210" t="str">
        <f t="shared" si="21"/>
        <v/>
      </c>
      <c r="BO23" s="210" t="str">
        <f t="shared" si="22"/>
        <v/>
      </c>
      <c r="BP23" s="210" t="str">
        <f t="shared" si="23"/>
        <v/>
      </c>
      <c r="BQ23" s="210" t="str">
        <f t="shared" si="24"/>
        <v/>
      </c>
      <c r="BR23" s="210" t="str">
        <f t="shared" si="25"/>
        <v/>
      </c>
      <c r="BS23" s="210" t="str">
        <f t="shared" si="26"/>
        <v/>
      </c>
      <c r="BT23" s="210" t="str">
        <f t="shared" si="27"/>
        <v/>
      </c>
      <c r="BU23" s="210" t="str">
        <f t="shared" si="28"/>
        <v/>
      </c>
      <c r="BV23" s="210" t="str">
        <f t="shared" si="29"/>
        <v/>
      </c>
      <c r="BZ23" s="219">
        <v>15</v>
      </c>
      <c r="CA23" s="210" t="str">
        <f>IFERROR(IF(LEN(INDEX(CountDefectives!D$9:D$23,Calc!$BZ23,1))&gt;0,INDEX(CountDefectives!D$9:D$23,Calc!$BZ23,1),""),"")</f>
        <v/>
      </c>
      <c r="CB23" s="211" t="str">
        <f>IFERROR(IF(LEN(INDEX(CountDefectives!E$9:E$23,Calc!$BZ23,1))&gt;0,INDEX(CountDefectives!E$9:E$23,Calc!$BZ23,1),""),"")</f>
        <v/>
      </c>
      <c r="CC23" s="212" t="str">
        <f t="shared" si="40"/>
        <v/>
      </c>
      <c r="CD23" s="215" t="str">
        <f t="shared" si="41"/>
        <v/>
      </c>
      <c r="CE23" s="215" t="str">
        <f t="shared" si="30"/>
        <v/>
      </c>
      <c r="CF23" s="212" t="str">
        <f t="shared" si="31"/>
        <v/>
      </c>
      <c r="CG23" s="212" t="str">
        <f t="shared" si="32"/>
        <v/>
      </c>
      <c r="CJ23" s="219">
        <v>15</v>
      </c>
      <c r="CK23" s="210" t="str">
        <f>IFERROR(IF(LEN(INDEX(CountDefects!D$9:D$23,Calc!$CJ23,1))&gt;0,INDEX(CountDefects!D$9:D$23,Calc!$CJ23,1),""),"")</f>
        <v/>
      </c>
      <c r="CL23" s="211" t="str">
        <f>IFERROR(IF(LEN(INDEX(CountDefects!E$9:E$23,Calc!$CJ23,1))&gt;0,INDEX(CountDefects!E$9:E$23,Calc!$CJ23,1),""),"")</f>
        <v/>
      </c>
      <c r="CM23" s="212" t="str">
        <f t="shared" si="42"/>
        <v/>
      </c>
      <c r="CN23" s="215" t="str">
        <f t="shared" si="33"/>
        <v/>
      </c>
      <c r="CO23" s="215" t="str">
        <f t="shared" si="43"/>
        <v/>
      </c>
      <c r="CP23" s="212" t="str">
        <f t="shared" si="34"/>
        <v/>
      </c>
      <c r="CQ23" s="212" t="str">
        <f t="shared" si="35"/>
        <v/>
      </c>
    </row>
    <row r="24" spans="3:95" x14ac:dyDescent="0.25">
      <c r="C24" s="230" t="s">
        <v>221</v>
      </c>
      <c r="D24" s="231">
        <v>0</v>
      </c>
      <c r="E24" s="231">
        <v>0.01</v>
      </c>
      <c r="F24" s="231">
        <v>0.02</v>
      </c>
      <c r="G24" s="231">
        <v>0.03</v>
      </c>
      <c r="H24" s="231">
        <v>0.04</v>
      </c>
      <c r="I24" s="231">
        <v>0.05</v>
      </c>
      <c r="J24" s="231">
        <v>0.06</v>
      </c>
      <c r="K24" s="231">
        <v>7.0000000000000007E-2</v>
      </c>
      <c r="L24" s="231">
        <v>0.08</v>
      </c>
      <c r="M24" s="232">
        <v>0.09</v>
      </c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BA24" s="239"/>
      <c r="BB24" s="239"/>
      <c r="BC24" s="239"/>
      <c r="BD24" s="239"/>
      <c r="BE24" s="239"/>
      <c r="BF24" s="239"/>
      <c r="CA24" s="239"/>
      <c r="CB24" s="239"/>
      <c r="CC24" s="239"/>
      <c r="CD24" s="239"/>
      <c r="CE24" s="239"/>
      <c r="CF24" s="239"/>
      <c r="CG24" s="239"/>
      <c r="CK24" s="239"/>
      <c r="CL24" s="239"/>
      <c r="CM24" s="239"/>
      <c r="CN24" s="239"/>
      <c r="CO24" s="239"/>
      <c r="CP24" s="239"/>
      <c r="CQ24" s="239"/>
    </row>
    <row r="25" spans="3:95" x14ac:dyDescent="0.25">
      <c r="C25" s="233">
        <v>-3.9</v>
      </c>
      <c r="D25" s="234">
        <v>5.0000000000000002E-5</v>
      </c>
      <c r="E25" s="234">
        <v>5.0000000000000002E-5</v>
      </c>
      <c r="F25" s="234">
        <v>4.0000000000000003E-5</v>
      </c>
      <c r="G25" s="234">
        <v>4.0000000000000003E-5</v>
      </c>
      <c r="H25" s="234">
        <v>4.0000000000000003E-5</v>
      </c>
      <c r="I25" s="234">
        <v>4.0000000000000003E-5</v>
      </c>
      <c r="J25" s="234">
        <v>4.0000000000000003E-5</v>
      </c>
      <c r="K25" s="234">
        <v>4.0000000000000003E-5</v>
      </c>
      <c r="L25" s="234">
        <v>3.0000000000000001E-5</v>
      </c>
      <c r="M25" s="235">
        <v>3.0000000000000001E-5</v>
      </c>
      <c r="R25" s="240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1"/>
      <c r="AE25" s="241"/>
      <c r="AF25" s="241"/>
      <c r="BA25" s="240"/>
      <c r="BB25" s="241"/>
      <c r="BC25" s="241"/>
      <c r="BD25" s="241"/>
      <c r="BE25" s="241"/>
      <c r="BF25" s="241"/>
      <c r="CA25" s="240"/>
      <c r="CB25" s="241"/>
      <c r="CC25" s="241"/>
      <c r="CD25" s="241"/>
      <c r="CE25" s="241"/>
      <c r="CF25" s="241"/>
      <c r="CG25" s="241"/>
      <c r="CK25" s="240"/>
      <c r="CL25" s="241"/>
      <c r="CM25" s="241"/>
      <c r="CN25" s="241"/>
      <c r="CO25" s="241"/>
      <c r="CP25" s="241"/>
      <c r="CQ25" s="241"/>
    </row>
    <row r="26" spans="3:95" x14ac:dyDescent="0.25">
      <c r="C26" s="233">
        <v>-3.8</v>
      </c>
      <c r="D26" s="234">
        <v>6.9999999999999994E-5</v>
      </c>
      <c r="E26" s="234">
        <v>6.9999999999999994E-5</v>
      </c>
      <c r="F26" s="234">
        <v>6.9999999999999994E-5</v>
      </c>
      <c r="G26" s="234">
        <v>6.0000000000000002E-5</v>
      </c>
      <c r="H26" s="234">
        <v>6.0000000000000002E-5</v>
      </c>
      <c r="I26" s="234">
        <v>6.0000000000000002E-5</v>
      </c>
      <c r="J26" s="234">
        <v>6.0000000000000002E-5</v>
      </c>
      <c r="K26" s="234">
        <v>5.0000000000000002E-5</v>
      </c>
      <c r="L26" s="234">
        <v>5.0000000000000002E-5</v>
      </c>
      <c r="M26" s="235">
        <v>5.0000000000000002E-5</v>
      </c>
      <c r="Q26" s="241"/>
      <c r="AZ26" s="241"/>
      <c r="BZ26" s="241"/>
      <c r="CJ26" s="241"/>
    </row>
    <row r="27" spans="3:95" ht="15" customHeight="1" x14ac:dyDescent="0.25">
      <c r="C27" s="233">
        <v>-3.7</v>
      </c>
      <c r="D27" s="234">
        <v>1.1E-4</v>
      </c>
      <c r="E27" s="234">
        <v>1E-4</v>
      </c>
      <c r="F27" s="234">
        <v>1E-4</v>
      </c>
      <c r="G27" s="234">
        <v>1E-4</v>
      </c>
      <c r="H27" s="234">
        <v>9.0000000000000006E-5</v>
      </c>
      <c r="I27" s="234">
        <v>9.0000000000000006E-5</v>
      </c>
      <c r="J27" s="234">
        <v>8.0000000000000007E-5</v>
      </c>
      <c r="K27" s="234">
        <v>8.0000000000000007E-5</v>
      </c>
      <c r="L27" s="234">
        <v>8.0000000000000007E-5</v>
      </c>
      <c r="M27" s="235">
        <v>8.0000000000000007E-5</v>
      </c>
      <c r="Q27" s="241"/>
      <c r="AZ27" s="241"/>
      <c r="BZ27" s="241"/>
      <c r="CJ27" s="241"/>
    </row>
    <row r="28" spans="3:95" x14ac:dyDescent="0.25">
      <c r="C28" s="233">
        <v>-3.6</v>
      </c>
      <c r="D28" s="234">
        <v>1.6000000000000001E-4</v>
      </c>
      <c r="E28" s="234">
        <v>1.4999999999999999E-4</v>
      </c>
      <c r="F28" s="234">
        <v>1.4999999999999999E-4</v>
      </c>
      <c r="G28" s="234">
        <v>1.3999999999999999E-4</v>
      </c>
      <c r="H28" s="234">
        <v>1.3999999999999999E-4</v>
      </c>
      <c r="I28" s="234">
        <v>1.2999999999999999E-4</v>
      </c>
      <c r="J28" s="234">
        <v>1.2999999999999999E-4</v>
      </c>
      <c r="K28" s="234">
        <v>1.2E-4</v>
      </c>
      <c r="L28" s="234">
        <v>1.2E-4</v>
      </c>
      <c r="M28" s="235">
        <v>1.1E-4</v>
      </c>
      <c r="Q28" s="241"/>
      <c r="AZ28" s="241"/>
      <c r="BZ28" s="241"/>
      <c r="CJ28" s="241"/>
    </row>
    <row r="29" spans="3:95" x14ac:dyDescent="0.25">
      <c r="C29" s="233">
        <v>-3.5</v>
      </c>
      <c r="D29" s="234">
        <v>2.3000000000000001E-4</v>
      </c>
      <c r="E29" s="234">
        <v>2.2000000000000001E-4</v>
      </c>
      <c r="F29" s="234">
        <v>2.2000000000000001E-4</v>
      </c>
      <c r="G29" s="234">
        <v>2.1000000000000001E-4</v>
      </c>
      <c r="H29" s="234">
        <v>2.0000000000000001E-4</v>
      </c>
      <c r="I29" s="234">
        <v>1.9000000000000001E-4</v>
      </c>
      <c r="J29" s="234">
        <v>1.9000000000000001E-4</v>
      </c>
      <c r="K29" s="234">
        <v>1.8000000000000001E-4</v>
      </c>
      <c r="L29" s="234">
        <v>1.7000000000000001E-4</v>
      </c>
      <c r="M29" s="235">
        <v>1.7000000000000001E-4</v>
      </c>
      <c r="Q29" s="241"/>
      <c r="AZ29" s="241"/>
      <c r="BZ29" s="241"/>
      <c r="CJ29" s="241"/>
    </row>
    <row r="30" spans="3:95" x14ac:dyDescent="0.25">
      <c r="C30" s="233">
        <v>-3.4</v>
      </c>
      <c r="D30" s="234">
        <v>3.4000000000000002E-4</v>
      </c>
      <c r="E30" s="234">
        <v>3.2000000000000003E-4</v>
      </c>
      <c r="F30" s="234">
        <v>3.1E-4</v>
      </c>
      <c r="G30" s="234">
        <v>2.9999999999999997E-4</v>
      </c>
      <c r="H30" s="234">
        <v>2.9E-4</v>
      </c>
      <c r="I30" s="234">
        <v>2.7999999999999998E-4</v>
      </c>
      <c r="J30" s="234">
        <v>2.7E-4</v>
      </c>
      <c r="K30" s="234">
        <v>2.5999999999999998E-4</v>
      </c>
      <c r="L30" s="234">
        <v>2.5000000000000001E-4</v>
      </c>
      <c r="M30" s="235">
        <v>2.4000000000000001E-4</v>
      </c>
      <c r="Q30" s="241"/>
      <c r="AZ30" s="241"/>
      <c r="BZ30" s="241"/>
      <c r="CJ30" s="241"/>
    </row>
    <row r="31" spans="3:95" x14ac:dyDescent="0.25">
      <c r="C31" s="233">
        <v>-3.3</v>
      </c>
      <c r="D31" s="234">
        <v>4.8000000000000001E-4</v>
      </c>
      <c r="E31" s="234">
        <v>4.6999999999999999E-4</v>
      </c>
      <c r="F31" s="234">
        <v>4.4999999999999999E-4</v>
      </c>
      <c r="G31" s="234">
        <v>4.2999999999999999E-4</v>
      </c>
      <c r="H31" s="234">
        <v>4.2000000000000002E-4</v>
      </c>
      <c r="I31" s="234">
        <v>4.0000000000000002E-4</v>
      </c>
      <c r="J31" s="234">
        <v>3.8999999999999999E-4</v>
      </c>
      <c r="K31" s="234">
        <v>3.8000000000000002E-4</v>
      </c>
      <c r="L31" s="234">
        <v>3.6000000000000002E-4</v>
      </c>
      <c r="M31" s="235">
        <v>3.5E-4</v>
      </c>
      <c r="Q31" s="241"/>
      <c r="AZ31" s="241"/>
      <c r="BZ31" s="241"/>
      <c r="CJ31" s="241"/>
    </row>
    <row r="32" spans="3:95" x14ac:dyDescent="0.25">
      <c r="C32" s="233">
        <v>-3.2</v>
      </c>
      <c r="D32" s="234">
        <v>6.8999999999999997E-4</v>
      </c>
      <c r="E32" s="234">
        <v>6.6E-4</v>
      </c>
      <c r="F32" s="234">
        <v>6.4000000000000005E-4</v>
      </c>
      <c r="G32" s="234">
        <v>6.2E-4</v>
      </c>
      <c r="H32" s="234">
        <v>5.9999999999999995E-4</v>
      </c>
      <c r="I32" s="234">
        <v>5.8E-4</v>
      </c>
      <c r="J32" s="234">
        <v>5.5999999999999995E-4</v>
      </c>
      <c r="K32" s="234">
        <v>5.4000000000000001E-4</v>
      </c>
      <c r="L32" s="234">
        <v>5.1999999999999995E-4</v>
      </c>
      <c r="M32" s="235">
        <v>5.0000000000000001E-4</v>
      </c>
      <c r="Q32" s="241"/>
      <c r="AZ32" s="241"/>
      <c r="BZ32" s="241"/>
      <c r="CJ32" s="241"/>
    </row>
    <row r="33" spans="3:88" x14ac:dyDescent="0.25">
      <c r="C33" s="233">
        <v>-3.1</v>
      </c>
      <c r="D33" s="234">
        <v>9.7000000000000005E-4</v>
      </c>
      <c r="E33" s="234">
        <v>9.3999999999999997E-4</v>
      </c>
      <c r="F33" s="234">
        <v>8.9999999999999998E-4</v>
      </c>
      <c r="G33" s="234">
        <v>8.7000000000000001E-4</v>
      </c>
      <c r="H33" s="234">
        <v>8.4000000000000003E-4</v>
      </c>
      <c r="I33" s="234">
        <v>8.1999999999999998E-4</v>
      </c>
      <c r="J33" s="234">
        <v>7.9000000000000001E-4</v>
      </c>
      <c r="K33" s="234">
        <v>7.6000000000000004E-4</v>
      </c>
      <c r="L33" s="234">
        <v>7.3999999999999999E-4</v>
      </c>
      <c r="M33" s="235">
        <v>7.1000000000000002E-4</v>
      </c>
      <c r="Q33" s="241"/>
      <c r="AZ33" s="241"/>
      <c r="BZ33" s="241"/>
      <c r="CJ33" s="241"/>
    </row>
    <row r="34" spans="3:88" x14ac:dyDescent="0.25">
      <c r="C34" s="233">
        <v>-3</v>
      </c>
      <c r="D34" s="234">
        <v>1.3500000000000001E-3</v>
      </c>
      <c r="E34" s="234">
        <v>1.31E-3</v>
      </c>
      <c r="F34" s="234">
        <v>1.2600000000000001E-3</v>
      </c>
      <c r="G34" s="234">
        <v>1.2199999999999999E-3</v>
      </c>
      <c r="H34" s="234">
        <v>1.1800000000000001E-3</v>
      </c>
      <c r="I34" s="234">
        <v>1.14E-3</v>
      </c>
      <c r="J34" s="234">
        <v>1.1100000000000001E-3</v>
      </c>
      <c r="K34" s="234">
        <v>1.07E-3</v>
      </c>
      <c r="L34" s="234">
        <v>1.0399999999999999E-3</v>
      </c>
      <c r="M34" s="235">
        <v>1E-3</v>
      </c>
      <c r="Q34" s="241"/>
      <c r="AZ34" s="241"/>
      <c r="BZ34" s="241"/>
      <c r="CJ34" s="241"/>
    </row>
    <row r="35" spans="3:88" x14ac:dyDescent="0.25">
      <c r="C35" s="233">
        <v>-2.9</v>
      </c>
      <c r="D35" s="234">
        <v>1.8699999999999999E-3</v>
      </c>
      <c r="E35" s="234">
        <v>1.81E-3</v>
      </c>
      <c r="F35" s="234">
        <v>1.75E-3</v>
      </c>
      <c r="G35" s="234">
        <v>1.6900000000000001E-3</v>
      </c>
      <c r="H35" s="234">
        <v>1.64E-3</v>
      </c>
      <c r="I35" s="234">
        <v>1.5900000000000001E-3</v>
      </c>
      <c r="J35" s="234">
        <v>1.5399999999999999E-3</v>
      </c>
      <c r="K35" s="234">
        <v>1.49E-3</v>
      </c>
      <c r="L35" s="234">
        <v>1.4400000000000001E-3</v>
      </c>
      <c r="M35" s="235">
        <v>1.39E-3</v>
      </c>
      <c r="Q35" s="241"/>
      <c r="AZ35" s="241"/>
      <c r="BZ35" s="241"/>
      <c r="CJ35" s="241"/>
    </row>
    <row r="36" spans="3:88" x14ac:dyDescent="0.25">
      <c r="C36" s="233">
        <v>-2.8</v>
      </c>
      <c r="D36" s="234">
        <v>2.5600000000000002E-3</v>
      </c>
      <c r="E36" s="234">
        <v>2.48E-3</v>
      </c>
      <c r="F36" s="234">
        <v>2.3999999999999998E-3</v>
      </c>
      <c r="G36" s="234">
        <v>2.33E-3</v>
      </c>
      <c r="H36" s="234">
        <v>2.2599999999999999E-3</v>
      </c>
      <c r="I36" s="234">
        <v>2.1900000000000001E-3</v>
      </c>
      <c r="J36" s="234">
        <v>2.1199999999999999E-3</v>
      </c>
      <c r="K36" s="234">
        <v>2.0500000000000002E-3</v>
      </c>
      <c r="L36" s="234">
        <v>1.99E-3</v>
      </c>
      <c r="M36" s="235">
        <v>1.9300000000000001E-3</v>
      </c>
      <c r="Q36" s="241"/>
      <c r="AZ36" s="241"/>
      <c r="BZ36" s="241"/>
      <c r="CJ36" s="241"/>
    </row>
    <row r="37" spans="3:88" x14ac:dyDescent="0.25">
      <c r="C37" s="233">
        <v>-2.7</v>
      </c>
      <c r="D37" s="234">
        <v>3.47E-3</v>
      </c>
      <c r="E37" s="234">
        <v>3.3600000000000001E-3</v>
      </c>
      <c r="F37" s="234">
        <v>3.2599999999999999E-3</v>
      </c>
      <c r="G37" s="234">
        <v>3.1700000000000001E-3</v>
      </c>
      <c r="H37" s="234">
        <v>3.0699999999999998E-3</v>
      </c>
      <c r="I37" s="234">
        <v>2.98E-3</v>
      </c>
      <c r="J37" s="234">
        <v>2.8900000000000002E-3</v>
      </c>
      <c r="K37" s="234">
        <v>2.8E-3</v>
      </c>
      <c r="L37" s="234">
        <v>2.7200000000000002E-3</v>
      </c>
      <c r="M37" s="235">
        <v>2.64E-3</v>
      </c>
      <c r="Q37" s="241"/>
      <c r="AZ37" s="241"/>
      <c r="BZ37" s="241"/>
      <c r="CJ37" s="241"/>
    </row>
    <row r="38" spans="3:88" x14ac:dyDescent="0.25">
      <c r="C38" s="233">
        <v>-2.6</v>
      </c>
      <c r="D38" s="234">
        <v>4.6600000000000001E-3</v>
      </c>
      <c r="E38" s="234">
        <v>4.5300000000000002E-3</v>
      </c>
      <c r="F38" s="234">
        <v>4.4000000000000003E-3</v>
      </c>
      <c r="G38" s="234">
        <v>4.2700000000000004E-3</v>
      </c>
      <c r="H38" s="234">
        <v>4.15E-3</v>
      </c>
      <c r="I38" s="234">
        <v>4.0200000000000001E-3</v>
      </c>
      <c r="J38" s="234">
        <v>3.9100000000000003E-3</v>
      </c>
      <c r="K38" s="234">
        <v>3.79E-3</v>
      </c>
      <c r="L38" s="234">
        <v>3.6800000000000001E-3</v>
      </c>
      <c r="M38" s="235">
        <v>3.5699999999999998E-3</v>
      </c>
      <c r="Q38" s="241"/>
      <c r="AZ38" s="241"/>
      <c r="BZ38" s="241"/>
      <c r="CJ38" s="241"/>
    </row>
    <row r="39" spans="3:88" x14ac:dyDescent="0.25">
      <c r="C39" s="233">
        <v>-2.5</v>
      </c>
      <c r="D39" s="234">
        <v>6.2100000000000002E-3</v>
      </c>
      <c r="E39" s="234">
        <v>6.0400000000000002E-3</v>
      </c>
      <c r="F39" s="234">
        <v>5.8700000000000002E-3</v>
      </c>
      <c r="G39" s="234">
        <v>5.7000000000000002E-3</v>
      </c>
      <c r="H39" s="234">
        <v>5.5399999999999998E-3</v>
      </c>
      <c r="I39" s="234">
        <v>5.3899999999999998E-3</v>
      </c>
      <c r="J39" s="234">
        <v>5.2300000000000003E-3</v>
      </c>
      <c r="K39" s="234">
        <v>5.0800000000000003E-3</v>
      </c>
      <c r="L39" s="234">
        <v>4.9399999999999999E-3</v>
      </c>
      <c r="M39" s="235">
        <v>4.7999999999999996E-3</v>
      </c>
      <c r="Q39" s="241"/>
      <c r="AZ39" s="241"/>
      <c r="BZ39" s="241"/>
      <c r="CJ39" s="241"/>
    </row>
    <row r="40" spans="3:88" x14ac:dyDescent="0.25">
      <c r="C40" s="233">
        <v>-2.4</v>
      </c>
      <c r="D40" s="234">
        <v>8.2000000000000007E-3</v>
      </c>
      <c r="E40" s="234">
        <v>7.9799999999999992E-3</v>
      </c>
      <c r="F40" s="234">
        <v>7.7600000000000004E-3</v>
      </c>
      <c r="G40" s="234">
        <v>7.5500000000000003E-3</v>
      </c>
      <c r="H40" s="234">
        <v>7.3400000000000002E-3</v>
      </c>
      <c r="I40" s="234">
        <v>7.1399999999999996E-3</v>
      </c>
      <c r="J40" s="234">
        <v>6.9499999999999996E-3</v>
      </c>
      <c r="K40" s="234">
        <v>6.7600000000000004E-3</v>
      </c>
      <c r="L40" s="234">
        <v>6.5700000000000003E-3</v>
      </c>
      <c r="M40" s="235">
        <v>6.3899999999999998E-3</v>
      </c>
      <c r="Q40" s="241"/>
      <c r="AZ40" s="241"/>
      <c r="BZ40" s="241"/>
      <c r="CJ40" s="241"/>
    </row>
    <row r="41" spans="3:88" x14ac:dyDescent="0.25">
      <c r="C41" s="233">
        <v>-2.2999999999999998</v>
      </c>
      <c r="D41" s="234">
        <v>1.072E-2</v>
      </c>
      <c r="E41" s="234">
        <v>1.044E-2</v>
      </c>
      <c r="F41" s="234">
        <v>1.017E-2</v>
      </c>
      <c r="G41" s="234">
        <v>9.9000000000000008E-3</v>
      </c>
      <c r="H41" s="234">
        <v>9.6399999999999993E-3</v>
      </c>
      <c r="I41" s="234">
        <v>9.3900000000000008E-3</v>
      </c>
      <c r="J41" s="234">
        <v>9.1400000000000006E-3</v>
      </c>
      <c r="K41" s="234">
        <v>8.8900000000000003E-3</v>
      </c>
      <c r="L41" s="234">
        <v>8.6599999999999993E-3</v>
      </c>
      <c r="M41" s="235">
        <v>8.4200000000000004E-3</v>
      </c>
      <c r="Q41" s="241"/>
      <c r="AZ41" s="241"/>
      <c r="BZ41" s="241"/>
      <c r="CJ41" s="241"/>
    </row>
    <row r="42" spans="3:88" x14ac:dyDescent="0.25">
      <c r="C42" s="233">
        <v>-2.2000000000000002</v>
      </c>
      <c r="D42" s="234">
        <v>1.3899999999999999E-2</v>
      </c>
      <c r="E42" s="234">
        <v>1.355E-2</v>
      </c>
      <c r="F42" s="234">
        <v>1.321E-2</v>
      </c>
      <c r="G42" s="234">
        <v>1.2869999999999999E-2</v>
      </c>
      <c r="H42" s="234">
        <v>1.255E-2</v>
      </c>
      <c r="I42" s="234">
        <v>1.222E-2</v>
      </c>
      <c r="J42" s="234">
        <v>1.191E-2</v>
      </c>
      <c r="K42" s="234">
        <v>1.1599999999999999E-2</v>
      </c>
      <c r="L42" s="234">
        <v>1.1299999999999999E-2</v>
      </c>
      <c r="M42" s="235">
        <v>1.1010000000000001E-2</v>
      </c>
      <c r="Q42" s="241"/>
      <c r="AZ42" s="241"/>
      <c r="BZ42" s="241"/>
      <c r="CJ42" s="241"/>
    </row>
    <row r="43" spans="3:88" x14ac:dyDescent="0.25">
      <c r="C43" s="233">
        <v>-2.1</v>
      </c>
      <c r="D43" s="234">
        <v>1.7860000000000001E-2</v>
      </c>
      <c r="E43" s="234">
        <v>1.7430000000000001E-2</v>
      </c>
      <c r="F43" s="234">
        <v>1.7000000000000001E-2</v>
      </c>
      <c r="G43" s="234">
        <v>1.6590000000000001E-2</v>
      </c>
      <c r="H43" s="234">
        <v>1.618E-2</v>
      </c>
      <c r="I43" s="234">
        <v>1.5779999999999999E-2</v>
      </c>
      <c r="J43" s="234">
        <v>1.5389999999999999E-2</v>
      </c>
      <c r="K43" s="234">
        <v>1.4999999999999999E-2</v>
      </c>
      <c r="L43" s="234">
        <v>1.4630000000000001E-2</v>
      </c>
      <c r="M43" s="235">
        <v>1.426E-2</v>
      </c>
      <c r="Q43" s="241"/>
      <c r="AZ43" s="241"/>
      <c r="BZ43" s="241"/>
      <c r="CJ43" s="241"/>
    </row>
    <row r="44" spans="3:88" x14ac:dyDescent="0.25">
      <c r="C44" s="233">
        <v>-2</v>
      </c>
      <c r="D44" s="234">
        <v>2.2749999999999999E-2</v>
      </c>
      <c r="E44" s="234">
        <v>2.222E-2</v>
      </c>
      <c r="F44" s="234">
        <v>2.1690000000000001E-2</v>
      </c>
      <c r="G44" s="234">
        <v>2.1180000000000001E-2</v>
      </c>
      <c r="H44" s="234">
        <v>2.068E-2</v>
      </c>
      <c r="I44" s="234">
        <v>2.018E-2</v>
      </c>
      <c r="J44" s="234">
        <v>1.9699999999999999E-2</v>
      </c>
      <c r="K44" s="234">
        <v>1.9230000000000001E-2</v>
      </c>
      <c r="L44" s="234">
        <v>1.8759999999999999E-2</v>
      </c>
      <c r="M44" s="235">
        <v>1.831E-2</v>
      </c>
      <c r="Q44" s="241"/>
      <c r="AZ44" s="241"/>
      <c r="BZ44" s="241"/>
      <c r="CJ44" s="241"/>
    </row>
    <row r="45" spans="3:88" x14ac:dyDescent="0.25">
      <c r="C45" s="233">
        <v>-1.9</v>
      </c>
      <c r="D45" s="234">
        <v>2.8719999999999999E-2</v>
      </c>
      <c r="E45" s="234">
        <v>2.8070000000000001E-2</v>
      </c>
      <c r="F45" s="234">
        <v>2.743E-2</v>
      </c>
      <c r="G45" s="234">
        <v>2.6800000000000001E-2</v>
      </c>
      <c r="H45" s="234">
        <v>2.6190000000000001E-2</v>
      </c>
      <c r="I45" s="234">
        <v>2.5590000000000002E-2</v>
      </c>
      <c r="J45" s="234">
        <v>2.5000000000000001E-2</v>
      </c>
      <c r="K45" s="234">
        <v>2.4420000000000001E-2</v>
      </c>
      <c r="L45" s="234">
        <v>2.385E-2</v>
      </c>
      <c r="M45" s="235">
        <v>2.3300000000000001E-2</v>
      </c>
      <c r="Q45" s="241"/>
      <c r="AZ45" s="241"/>
      <c r="BZ45" s="241"/>
      <c r="CJ45" s="241"/>
    </row>
    <row r="46" spans="3:88" x14ac:dyDescent="0.25">
      <c r="C46" s="233">
        <v>-1.8</v>
      </c>
      <c r="D46" s="234">
        <v>3.5929999999999997E-2</v>
      </c>
      <c r="E46" s="234">
        <v>3.5150000000000001E-2</v>
      </c>
      <c r="F46" s="234">
        <v>3.4380000000000001E-2</v>
      </c>
      <c r="G46" s="234">
        <v>3.3619999999999997E-2</v>
      </c>
      <c r="H46" s="234">
        <v>3.288E-2</v>
      </c>
      <c r="I46" s="234">
        <v>3.2160000000000001E-2</v>
      </c>
      <c r="J46" s="234">
        <v>3.1440000000000003E-2</v>
      </c>
      <c r="K46" s="234">
        <v>3.074E-2</v>
      </c>
      <c r="L46" s="234">
        <v>3.005E-2</v>
      </c>
      <c r="M46" s="235">
        <v>2.938E-2</v>
      </c>
      <c r="Q46" s="241"/>
      <c r="AZ46" s="241"/>
      <c r="BZ46" s="241"/>
      <c r="CJ46" s="241"/>
    </row>
    <row r="47" spans="3:88" x14ac:dyDescent="0.25">
      <c r="C47" s="233">
        <v>-1.7</v>
      </c>
      <c r="D47" s="234">
        <v>4.4569999999999999E-2</v>
      </c>
      <c r="E47" s="234">
        <v>4.3630000000000002E-2</v>
      </c>
      <c r="F47" s="234">
        <v>4.2720000000000001E-2</v>
      </c>
      <c r="G47" s="234">
        <v>4.1820000000000003E-2</v>
      </c>
      <c r="H47" s="234">
        <v>4.0930000000000001E-2</v>
      </c>
      <c r="I47" s="234">
        <v>4.0059999999999998E-2</v>
      </c>
      <c r="J47" s="234">
        <v>3.9199999999999999E-2</v>
      </c>
      <c r="K47" s="234">
        <v>3.8359999999999998E-2</v>
      </c>
      <c r="L47" s="234">
        <v>3.7539999999999997E-2</v>
      </c>
      <c r="M47" s="235">
        <v>3.6729999999999999E-2</v>
      </c>
      <c r="Q47" s="241"/>
      <c r="AZ47" s="241"/>
      <c r="BZ47" s="241"/>
      <c r="CJ47" s="241"/>
    </row>
    <row r="48" spans="3:88" x14ac:dyDescent="0.25">
      <c r="C48" s="233">
        <v>-1.6</v>
      </c>
      <c r="D48" s="234">
        <v>5.4800000000000001E-2</v>
      </c>
      <c r="E48" s="234">
        <v>5.3699999999999998E-2</v>
      </c>
      <c r="F48" s="234">
        <v>5.262E-2</v>
      </c>
      <c r="G48" s="234">
        <v>5.1549999999999999E-2</v>
      </c>
      <c r="H48" s="234">
        <v>5.0500000000000003E-2</v>
      </c>
      <c r="I48" s="234">
        <v>4.947E-2</v>
      </c>
      <c r="J48" s="234">
        <v>4.8460000000000003E-2</v>
      </c>
      <c r="K48" s="234">
        <v>4.7460000000000002E-2</v>
      </c>
      <c r="L48" s="234">
        <v>4.648E-2</v>
      </c>
      <c r="M48" s="235">
        <v>4.5510000000000002E-2</v>
      </c>
      <c r="Q48" s="241"/>
      <c r="AZ48" s="241"/>
      <c r="BZ48" s="241"/>
      <c r="CJ48" s="241"/>
    </row>
    <row r="49" spans="3:88" x14ac:dyDescent="0.25">
      <c r="C49" s="233">
        <v>-1.5</v>
      </c>
      <c r="D49" s="234">
        <v>6.6809999999999994E-2</v>
      </c>
      <c r="E49" s="234">
        <v>6.5519999999999995E-2</v>
      </c>
      <c r="F49" s="234">
        <v>6.4259999999999998E-2</v>
      </c>
      <c r="G49" s="234">
        <v>6.3009999999999997E-2</v>
      </c>
      <c r="H49" s="234">
        <v>6.1780000000000002E-2</v>
      </c>
      <c r="I49" s="234">
        <v>6.0569999999999999E-2</v>
      </c>
      <c r="J49" s="234">
        <v>5.9380000000000002E-2</v>
      </c>
      <c r="K49" s="234">
        <v>5.8209999999999998E-2</v>
      </c>
      <c r="L49" s="234">
        <v>5.7049999999999997E-2</v>
      </c>
      <c r="M49" s="235">
        <v>5.5919999999999997E-2</v>
      </c>
      <c r="Q49" s="241"/>
      <c r="AZ49" s="241"/>
      <c r="BZ49" s="241"/>
      <c r="CJ49" s="241"/>
    </row>
    <row r="50" spans="3:88" x14ac:dyDescent="0.25">
      <c r="C50" s="233">
        <v>-1.4</v>
      </c>
      <c r="D50" s="234">
        <v>8.0759999999999998E-2</v>
      </c>
      <c r="E50" s="234">
        <v>7.9269999999999993E-2</v>
      </c>
      <c r="F50" s="234">
        <v>7.7799999999999994E-2</v>
      </c>
      <c r="G50" s="234">
        <v>7.6359999999999997E-2</v>
      </c>
      <c r="H50" s="234">
        <v>7.4929999999999997E-2</v>
      </c>
      <c r="I50" s="234">
        <v>7.3529999999999998E-2</v>
      </c>
      <c r="J50" s="234">
        <v>7.2150000000000006E-2</v>
      </c>
      <c r="K50" s="234">
        <v>7.0779999999999996E-2</v>
      </c>
      <c r="L50" s="234">
        <v>6.9440000000000002E-2</v>
      </c>
      <c r="M50" s="235">
        <v>6.8110000000000004E-2</v>
      </c>
      <c r="Q50" s="241"/>
      <c r="AZ50" s="241"/>
      <c r="BZ50" s="241"/>
      <c r="CJ50" s="241"/>
    </row>
    <row r="51" spans="3:88" x14ac:dyDescent="0.25">
      <c r="C51" s="233">
        <v>-1.3</v>
      </c>
      <c r="D51" s="234">
        <v>9.6799999999999997E-2</v>
      </c>
      <c r="E51" s="234">
        <v>9.5100000000000004E-2</v>
      </c>
      <c r="F51" s="234">
        <v>9.3420000000000003E-2</v>
      </c>
      <c r="G51" s="234">
        <v>9.1759999999999994E-2</v>
      </c>
      <c r="H51" s="234">
        <v>9.0120000000000006E-2</v>
      </c>
      <c r="I51" s="234">
        <v>8.8510000000000005E-2</v>
      </c>
      <c r="J51" s="234">
        <v>8.6910000000000001E-2</v>
      </c>
      <c r="K51" s="234">
        <v>8.5339999999999999E-2</v>
      </c>
      <c r="L51" s="234">
        <v>8.3790000000000003E-2</v>
      </c>
      <c r="M51" s="235">
        <v>8.226E-2</v>
      </c>
      <c r="Q51" s="241"/>
      <c r="AZ51" s="241"/>
      <c r="BZ51" s="241"/>
      <c r="CJ51" s="241"/>
    </row>
    <row r="52" spans="3:88" x14ac:dyDescent="0.25">
      <c r="C52" s="233">
        <v>-1.2</v>
      </c>
      <c r="D52" s="234">
        <v>0.11507000000000001</v>
      </c>
      <c r="E52" s="234">
        <v>0.11314</v>
      </c>
      <c r="F52" s="234">
        <v>0.11123</v>
      </c>
      <c r="G52" s="234">
        <v>0.10935</v>
      </c>
      <c r="H52" s="234">
        <v>0.10749</v>
      </c>
      <c r="I52" s="234">
        <v>0.10564999999999999</v>
      </c>
      <c r="J52" s="234">
        <v>0.10383000000000001</v>
      </c>
      <c r="K52" s="234">
        <v>0.10204000000000001</v>
      </c>
      <c r="L52" s="234">
        <v>0.10027</v>
      </c>
      <c r="M52" s="235">
        <v>9.8530000000000006E-2</v>
      </c>
      <c r="Q52" s="241"/>
      <c r="AZ52" s="241"/>
      <c r="BZ52" s="241"/>
      <c r="CJ52" s="241"/>
    </row>
    <row r="53" spans="3:88" x14ac:dyDescent="0.25">
      <c r="C53" s="233">
        <v>-1.1000000000000001</v>
      </c>
      <c r="D53" s="234">
        <v>0.13567000000000001</v>
      </c>
      <c r="E53" s="234">
        <v>0.13350000000000001</v>
      </c>
      <c r="F53" s="234">
        <v>0.13136</v>
      </c>
      <c r="G53" s="234">
        <v>0.12923999999999999</v>
      </c>
      <c r="H53" s="234">
        <v>0.12714</v>
      </c>
      <c r="I53" s="234">
        <v>0.12506999999999999</v>
      </c>
      <c r="J53" s="234">
        <v>0.12302</v>
      </c>
      <c r="K53" s="234">
        <v>0.121</v>
      </c>
      <c r="L53" s="234">
        <v>0.11899999999999999</v>
      </c>
      <c r="M53" s="235">
        <v>0.11702</v>
      </c>
      <c r="Q53" s="241"/>
      <c r="AZ53" s="241"/>
      <c r="BZ53" s="241"/>
      <c r="CJ53" s="241"/>
    </row>
    <row r="54" spans="3:88" x14ac:dyDescent="0.25">
      <c r="C54" s="233">
        <v>-1</v>
      </c>
      <c r="D54" s="234">
        <v>0.15866</v>
      </c>
      <c r="E54" s="234">
        <v>0.15625</v>
      </c>
      <c r="F54" s="234">
        <v>0.15386</v>
      </c>
      <c r="G54" s="234">
        <v>0.15151000000000001</v>
      </c>
      <c r="H54" s="234">
        <v>0.14917</v>
      </c>
      <c r="I54" s="234">
        <v>0.14685999999999999</v>
      </c>
      <c r="J54" s="234">
        <v>0.14457</v>
      </c>
      <c r="K54" s="234">
        <v>0.14230999999999999</v>
      </c>
      <c r="L54" s="234">
        <v>0.14007</v>
      </c>
      <c r="M54" s="235">
        <v>0.13786000000000001</v>
      </c>
      <c r="Q54" s="241"/>
      <c r="AZ54" s="241"/>
      <c r="BZ54" s="241"/>
      <c r="CJ54" s="241"/>
    </row>
    <row r="55" spans="3:88" x14ac:dyDescent="0.25">
      <c r="C55" s="233">
        <v>-0.9</v>
      </c>
      <c r="D55" s="234">
        <v>0.18406</v>
      </c>
      <c r="E55" s="234">
        <v>0.18140999999999999</v>
      </c>
      <c r="F55" s="234">
        <v>0.17879</v>
      </c>
      <c r="G55" s="234">
        <v>0.17619000000000001</v>
      </c>
      <c r="H55" s="234">
        <v>0.17360999999999999</v>
      </c>
      <c r="I55" s="234">
        <v>0.17105999999999999</v>
      </c>
      <c r="J55" s="234">
        <v>0.16853000000000001</v>
      </c>
      <c r="K55" s="234">
        <v>0.16602</v>
      </c>
      <c r="L55" s="234">
        <v>0.16353999999999999</v>
      </c>
      <c r="M55" s="235">
        <v>0.16109000000000001</v>
      </c>
      <c r="Q55" s="241"/>
      <c r="AZ55" s="241"/>
      <c r="BZ55" s="241"/>
      <c r="CJ55" s="241"/>
    </row>
    <row r="56" spans="3:88" x14ac:dyDescent="0.25">
      <c r="C56" s="233">
        <v>-0.8</v>
      </c>
      <c r="D56" s="234">
        <v>0.21185999999999999</v>
      </c>
      <c r="E56" s="234">
        <v>0.20896999999999999</v>
      </c>
      <c r="F56" s="234">
        <v>0.20610999999999999</v>
      </c>
      <c r="G56" s="234">
        <v>0.20327000000000001</v>
      </c>
      <c r="H56" s="234">
        <v>0.20044999999999999</v>
      </c>
      <c r="I56" s="234">
        <v>0.19766</v>
      </c>
      <c r="J56" s="234">
        <v>0.19489000000000001</v>
      </c>
      <c r="K56" s="234">
        <v>0.19214999999999999</v>
      </c>
      <c r="L56" s="234">
        <v>0.18942999999999999</v>
      </c>
      <c r="M56" s="235">
        <v>0.18673000000000001</v>
      </c>
      <c r="Q56" s="241"/>
      <c r="AZ56" s="241"/>
      <c r="BZ56" s="241"/>
      <c r="CJ56" s="241"/>
    </row>
    <row r="57" spans="3:88" x14ac:dyDescent="0.25">
      <c r="C57" s="233">
        <v>-0.7</v>
      </c>
      <c r="D57" s="234">
        <v>0.24196000000000001</v>
      </c>
      <c r="E57" s="234">
        <v>0.23885000000000001</v>
      </c>
      <c r="F57" s="234">
        <v>0.23576</v>
      </c>
      <c r="G57" s="234">
        <v>0.23269999999999999</v>
      </c>
      <c r="H57" s="234">
        <v>0.22964999999999999</v>
      </c>
      <c r="I57" s="234">
        <v>0.22663</v>
      </c>
      <c r="J57" s="234">
        <v>0.22363</v>
      </c>
      <c r="K57" s="234">
        <v>0.22065000000000001</v>
      </c>
      <c r="L57" s="234">
        <v>0.2177</v>
      </c>
      <c r="M57" s="235">
        <v>0.21476000000000001</v>
      </c>
      <c r="Q57" s="241"/>
      <c r="AZ57" s="241"/>
      <c r="BZ57" s="241"/>
      <c r="CJ57" s="241"/>
    </row>
    <row r="58" spans="3:88" x14ac:dyDescent="0.25">
      <c r="C58" s="233">
        <v>-0.6</v>
      </c>
      <c r="D58" s="234">
        <v>0.27424999999999999</v>
      </c>
      <c r="E58" s="234">
        <v>0.27093</v>
      </c>
      <c r="F58" s="234">
        <v>0.26762999999999998</v>
      </c>
      <c r="G58" s="234">
        <v>0.26434999999999997</v>
      </c>
      <c r="H58" s="234">
        <v>0.26108999999999999</v>
      </c>
      <c r="I58" s="234">
        <v>0.25785000000000002</v>
      </c>
      <c r="J58" s="234">
        <v>0.25463000000000002</v>
      </c>
      <c r="K58" s="234">
        <v>0.25142999999999999</v>
      </c>
      <c r="L58" s="234">
        <v>0.24825</v>
      </c>
      <c r="M58" s="235">
        <v>0.24510000000000001</v>
      </c>
      <c r="Q58" s="241"/>
      <c r="AZ58" s="241"/>
      <c r="BZ58" s="241"/>
      <c r="CJ58" s="241"/>
    </row>
    <row r="59" spans="3:88" x14ac:dyDescent="0.25">
      <c r="C59" s="233">
        <v>-0.5</v>
      </c>
      <c r="D59" s="234">
        <v>0.30853999999999998</v>
      </c>
      <c r="E59" s="234">
        <v>0.30503000000000002</v>
      </c>
      <c r="F59" s="234">
        <v>0.30153000000000002</v>
      </c>
      <c r="G59" s="234">
        <v>0.29805999999999999</v>
      </c>
      <c r="H59" s="234">
        <v>0.29459999999999997</v>
      </c>
      <c r="I59" s="234">
        <v>0.29115999999999997</v>
      </c>
      <c r="J59" s="234">
        <v>0.28774</v>
      </c>
      <c r="K59" s="234">
        <v>0.28433999999999998</v>
      </c>
      <c r="L59" s="234">
        <v>0.28095999999999999</v>
      </c>
      <c r="M59" s="235">
        <v>0.27760000000000001</v>
      </c>
      <c r="Q59" s="241"/>
      <c r="AZ59" s="241"/>
      <c r="BZ59" s="241"/>
      <c r="CJ59" s="241"/>
    </row>
    <row r="60" spans="3:88" x14ac:dyDescent="0.25">
      <c r="C60" s="233">
        <v>-0.4</v>
      </c>
      <c r="D60" s="234">
        <v>0.34458</v>
      </c>
      <c r="E60" s="234">
        <v>0.34089999999999998</v>
      </c>
      <c r="F60" s="234">
        <v>0.33723999999999998</v>
      </c>
      <c r="G60" s="234">
        <v>0.33360000000000001</v>
      </c>
      <c r="H60" s="234">
        <v>0.32996999999999999</v>
      </c>
      <c r="I60" s="234">
        <v>0.32635999999999998</v>
      </c>
      <c r="J60" s="234">
        <v>0.32275999999999999</v>
      </c>
      <c r="K60" s="234">
        <v>0.31918000000000002</v>
      </c>
      <c r="L60" s="234">
        <v>0.31561</v>
      </c>
      <c r="M60" s="235">
        <v>0.31207000000000001</v>
      </c>
      <c r="Q60" s="241"/>
      <c r="AZ60" s="241"/>
      <c r="BZ60" s="241"/>
      <c r="CJ60" s="241"/>
    </row>
    <row r="61" spans="3:88" x14ac:dyDescent="0.25">
      <c r="C61" s="233">
        <v>-0.3</v>
      </c>
      <c r="D61" s="234">
        <v>0.38208999999999999</v>
      </c>
      <c r="E61" s="234">
        <v>0.37828000000000001</v>
      </c>
      <c r="F61" s="234">
        <v>0.37447999999999998</v>
      </c>
      <c r="G61" s="234">
        <v>0.37069999999999997</v>
      </c>
      <c r="H61" s="234">
        <v>0.36692999999999998</v>
      </c>
      <c r="I61" s="234">
        <v>0.36316999999999999</v>
      </c>
      <c r="J61" s="234">
        <v>0.35942000000000002</v>
      </c>
      <c r="K61" s="234">
        <v>0.35569000000000001</v>
      </c>
      <c r="L61" s="234">
        <v>0.35197000000000001</v>
      </c>
      <c r="M61" s="235">
        <v>0.34827000000000002</v>
      </c>
      <c r="Q61" s="241"/>
      <c r="AZ61" s="241"/>
      <c r="BZ61" s="241"/>
      <c r="CJ61" s="241"/>
    </row>
    <row r="62" spans="3:88" x14ac:dyDescent="0.25">
      <c r="C62" s="233">
        <v>-0.2</v>
      </c>
      <c r="D62" s="234">
        <v>0.42074</v>
      </c>
      <c r="E62" s="234">
        <v>0.41682999999999998</v>
      </c>
      <c r="F62" s="234">
        <v>0.41293999999999997</v>
      </c>
      <c r="G62" s="234">
        <v>0.40905000000000002</v>
      </c>
      <c r="H62" s="234">
        <v>0.40516999999999997</v>
      </c>
      <c r="I62" s="234">
        <v>0.40128999999999998</v>
      </c>
      <c r="J62" s="234">
        <v>0.39743000000000001</v>
      </c>
      <c r="K62" s="234">
        <v>0.39357999999999999</v>
      </c>
      <c r="L62" s="234">
        <v>0.38973999999999998</v>
      </c>
      <c r="M62" s="235">
        <v>0.38590999999999998</v>
      </c>
      <c r="Q62" s="241"/>
      <c r="AZ62" s="241"/>
      <c r="BZ62" s="241"/>
      <c r="CJ62" s="241"/>
    </row>
    <row r="63" spans="3:88" x14ac:dyDescent="0.25">
      <c r="C63" s="233">
        <v>-0.1</v>
      </c>
      <c r="D63" s="234">
        <v>0.46017000000000002</v>
      </c>
      <c r="E63" s="234">
        <v>0.45619999999999999</v>
      </c>
      <c r="F63" s="234">
        <v>0.45223999999999998</v>
      </c>
      <c r="G63" s="234">
        <v>0.44828000000000001</v>
      </c>
      <c r="H63" s="234">
        <v>0.44433</v>
      </c>
      <c r="I63" s="234">
        <v>0.44037999999999999</v>
      </c>
      <c r="J63" s="234">
        <v>0.43643999999999999</v>
      </c>
      <c r="K63" s="234">
        <v>0.43251000000000001</v>
      </c>
      <c r="L63" s="234">
        <v>0.42858000000000002</v>
      </c>
      <c r="M63" s="235">
        <v>0.42465000000000003</v>
      </c>
      <c r="Q63" s="241"/>
      <c r="AZ63" s="241"/>
      <c r="BZ63" s="241"/>
      <c r="CJ63" s="241"/>
    </row>
    <row r="64" spans="3:88" x14ac:dyDescent="0.25">
      <c r="C64" s="233">
        <v>0</v>
      </c>
      <c r="D64" s="234">
        <v>0.5</v>
      </c>
      <c r="E64" s="234">
        <v>0.49601000000000001</v>
      </c>
      <c r="F64" s="234">
        <v>0.49202000000000001</v>
      </c>
      <c r="G64" s="234">
        <v>0.48803000000000002</v>
      </c>
      <c r="H64" s="234">
        <v>0.48404999999999998</v>
      </c>
      <c r="I64" s="234">
        <v>0.48005999999999999</v>
      </c>
      <c r="J64" s="234">
        <v>0.47608</v>
      </c>
      <c r="K64" s="234">
        <v>0.47210000000000002</v>
      </c>
      <c r="L64" s="234">
        <v>0.46811999999999998</v>
      </c>
      <c r="M64" s="235">
        <v>0.46414</v>
      </c>
      <c r="Q64" s="241"/>
      <c r="AZ64" s="241"/>
      <c r="BZ64" s="241"/>
      <c r="CJ64" s="241"/>
    </row>
    <row r="65" spans="3:88" x14ac:dyDescent="0.25">
      <c r="C65" s="233">
        <v>0</v>
      </c>
      <c r="D65" s="234">
        <v>0.5</v>
      </c>
      <c r="E65" s="234">
        <v>0.50399000000000005</v>
      </c>
      <c r="F65" s="234">
        <v>0.50797999999999999</v>
      </c>
      <c r="G65" s="234">
        <v>0.51197000000000004</v>
      </c>
      <c r="H65" s="234">
        <v>0.51595000000000002</v>
      </c>
      <c r="I65" s="234">
        <v>0.51993999999999996</v>
      </c>
      <c r="J65" s="234">
        <v>0.52392000000000005</v>
      </c>
      <c r="K65" s="234">
        <v>0.52790000000000004</v>
      </c>
      <c r="L65" s="234">
        <v>0.53188000000000002</v>
      </c>
      <c r="M65" s="235">
        <v>0.53586</v>
      </c>
      <c r="Q65" s="241"/>
      <c r="AZ65" s="241"/>
      <c r="BZ65" s="241"/>
      <c r="CJ65" s="241"/>
    </row>
    <row r="66" spans="3:88" x14ac:dyDescent="0.25">
      <c r="C66" s="233">
        <v>0.1</v>
      </c>
      <c r="D66" s="234">
        <v>0.53983000000000003</v>
      </c>
      <c r="E66" s="234">
        <v>0.54379999999999995</v>
      </c>
      <c r="F66" s="234">
        <v>0.54776000000000002</v>
      </c>
      <c r="G66" s="234">
        <v>0.55171999999999999</v>
      </c>
      <c r="H66" s="234">
        <v>0.55567</v>
      </c>
      <c r="I66" s="234">
        <v>0.55962000000000001</v>
      </c>
      <c r="J66" s="234">
        <v>0.56355999999999995</v>
      </c>
      <c r="K66" s="234">
        <v>0.56749000000000005</v>
      </c>
      <c r="L66" s="234">
        <v>0.57142000000000004</v>
      </c>
      <c r="M66" s="235">
        <v>0.57535000000000003</v>
      </c>
      <c r="Q66" s="241"/>
      <c r="AZ66" s="241"/>
      <c r="BZ66" s="241"/>
      <c r="CJ66" s="241"/>
    </row>
    <row r="67" spans="3:88" x14ac:dyDescent="0.25">
      <c r="C67" s="233">
        <v>0.2</v>
      </c>
      <c r="D67" s="234">
        <v>0.57926</v>
      </c>
      <c r="E67" s="234">
        <v>0.58316999999999997</v>
      </c>
      <c r="F67" s="234">
        <v>0.58706000000000003</v>
      </c>
      <c r="G67" s="234">
        <v>0.59094999999999998</v>
      </c>
      <c r="H67" s="234">
        <v>0.59482999999999997</v>
      </c>
      <c r="I67" s="234">
        <v>0.59870999999999996</v>
      </c>
      <c r="J67" s="234">
        <v>0.60257000000000005</v>
      </c>
      <c r="K67" s="234">
        <v>0.60641999999999996</v>
      </c>
      <c r="L67" s="234">
        <v>0.61026000000000002</v>
      </c>
      <c r="M67" s="235">
        <v>0.61409000000000002</v>
      </c>
      <c r="Q67" s="241"/>
      <c r="AZ67" s="241"/>
      <c r="BZ67" s="241"/>
      <c r="CJ67" s="241"/>
    </row>
    <row r="68" spans="3:88" x14ac:dyDescent="0.25">
      <c r="C68" s="233">
        <v>0.3</v>
      </c>
      <c r="D68" s="234">
        <v>0.61790999999999996</v>
      </c>
      <c r="E68" s="234">
        <v>0.62172000000000005</v>
      </c>
      <c r="F68" s="234">
        <v>0.62551999999999996</v>
      </c>
      <c r="G68" s="234">
        <v>0.62929999999999997</v>
      </c>
      <c r="H68" s="234">
        <v>0.63307000000000002</v>
      </c>
      <c r="I68" s="234">
        <v>0.63683000000000001</v>
      </c>
      <c r="J68" s="234">
        <v>0.64058000000000004</v>
      </c>
      <c r="K68" s="234">
        <v>0.64431000000000005</v>
      </c>
      <c r="L68" s="234">
        <v>0.64802999999999999</v>
      </c>
      <c r="M68" s="235">
        <v>0.65173000000000003</v>
      </c>
      <c r="Q68" s="241"/>
      <c r="AZ68" s="241"/>
      <c r="BZ68" s="241"/>
      <c r="CJ68" s="241"/>
    </row>
    <row r="69" spans="3:88" x14ac:dyDescent="0.25">
      <c r="C69" s="233">
        <v>0.4</v>
      </c>
      <c r="D69" s="234">
        <v>0.65542</v>
      </c>
      <c r="E69" s="234">
        <v>0.65910000000000002</v>
      </c>
      <c r="F69" s="234">
        <v>0.66276000000000002</v>
      </c>
      <c r="G69" s="234">
        <v>0.66639999999999999</v>
      </c>
      <c r="H69" s="234">
        <v>0.67003000000000001</v>
      </c>
      <c r="I69" s="234">
        <v>0.67364000000000002</v>
      </c>
      <c r="J69" s="234">
        <v>0.67723999999999995</v>
      </c>
      <c r="K69" s="234">
        <v>0.68081999999999998</v>
      </c>
      <c r="L69" s="234">
        <v>0.68439000000000005</v>
      </c>
      <c r="M69" s="235">
        <v>0.68793000000000004</v>
      </c>
      <c r="Q69" s="241"/>
      <c r="AZ69" s="241"/>
      <c r="BZ69" s="241"/>
      <c r="CJ69" s="241"/>
    </row>
    <row r="70" spans="3:88" x14ac:dyDescent="0.25">
      <c r="C70" s="233">
        <v>0.5</v>
      </c>
      <c r="D70" s="234">
        <v>0.69145999999999996</v>
      </c>
      <c r="E70" s="234">
        <v>0.69496999999999998</v>
      </c>
      <c r="F70" s="234">
        <v>0.69847000000000004</v>
      </c>
      <c r="G70" s="234">
        <v>0.70194000000000001</v>
      </c>
      <c r="H70" s="234">
        <v>0.70540000000000003</v>
      </c>
      <c r="I70" s="234">
        <v>0.70884000000000003</v>
      </c>
      <c r="J70" s="234">
        <v>0.71226</v>
      </c>
      <c r="K70" s="234">
        <v>0.71565999999999996</v>
      </c>
      <c r="L70" s="234">
        <v>0.71904000000000001</v>
      </c>
      <c r="M70" s="235">
        <v>0.72240000000000004</v>
      </c>
      <c r="Q70" s="241"/>
      <c r="AZ70" s="241"/>
      <c r="BZ70" s="241"/>
      <c r="CJ70" s="241"/>
    </row>
    <row r="71" spans="3:88" x14ac:dyDescent="0.25">
      <c r="C71" s="233">
        <v>0.6</v>
      </c>
      <c r="D71" s="234">
        <v>0.72575000000000001</v>
      </c>
      <c r="E71" s="234">
        <v>0.72907</v>
      </c>
      <c r="F71" s="234">
        <v>0.73236999999999997</v>
      </c>
      <c r="G71" s="234">
        <v>0.73565000000000003</v>
      </c>
      <c r="H71" s="234">
        <v>0.73890999999999996</v>
      </c>
      <c r="I71" s="234">
        <v>0.74214999999999998</v>
      </c>
      <c r="J71" s="234">
        <v>0.74536999999999998</v>
      </c>
      <c r="K71" s="234">
        <v>0.74856999999999996</v>
      </c>
      <c r="L71" s="234">
        <v>0.75175000000000003</v>
      </c>
      <c r="M71" s="235">
        <v>0.75490000000000002</v>
      </c>
      <c r="Q71" s="241"/>
      <c r="AZ71" s="241"/>
      <c r="BZ71" s="241"/>
      <c r="CJ71" s="241"/>
    </row>
    <row r="72" spans="3:88" x14ac:dyDescent="0.25">
      <c r="C72" s="233">
        <v>0.7</v>
      </c>
      <c r="D72" s="234">
        <v>0.75804000000000005</v>
      </c>
      <c r="E72" s="234">
        <v>0.76114999999999999</v>
      </c>
      <c r="F72" s="234">
        <v>0.76424000000000003</v>
      </c>
      <c r="G72" s="234">
        <v>0.76729999999999998</v>
      </c>
      <c r="H72" s="234">
        <v>0.77034999999999998</v>
      </c>
      <c r="I72" s="234">
        <v>0.77337</v>
      </c>
      <c r="J72" s="234">
        <v>0.77637</v>
      </c>
      <c r="K72" s="234">
        <v>0.77934999999999999</v>
      </c>
      <c r="L72" s="234">
        <v>0.7823</v>
      </c>
      <c r="M72" s="235">
        <v>0.78524000000000005</v>
      </c>
      <c r="Q72" s="241"/>
      <c r="AZ72" s="241"/>
      <c r="BZ72" s="241"/>
      <c r="CJ72" s="241"/>
    </row>
    <row r="73" spans="3:88" x14ac:dyDescent="0.25">
      <c r="C73" s="233">
        <v>0.8</v>
      </c>
      <c r="D73" s="234">
        <v>0.78813999999999995</v>
      </c>
      <c r="E73" s="234">
        <v>0.79103000000000001</v>
      </c>
      <c r="F73" s="234">
        <v>0.79388999999999998</v>
      </c>
      <c r="G73" s="234">
        <v>0.79673000000000005</v>
      </c>
      <c r="H73" s="234">
        <v>0.79954999999999998</v>
      </c>
      <c r="I73" s="234">
        <v>0.80234000000000005</v>
      </c>
      <c r="J73" s="234">
        <v>0.80510999999999999</v>
      </c>
      <c r="K73" s="234">
        <v>0.80784999999999996</v>
      </c>
      <c r="L73" s="234">
        <v>0.81057000000000001</v>
      </c>
      <c r="M73" s="235">
        <v>0.81327000000000005</v>
      </c>
      <c r="Q73" s="241"/>
      <c r="AZ73" s="241"/>
      <c r="BZ73" s="241"/>
      <c r="CJ73" s="241"/>
    </row>
    <row r="74" spans="3:88" x14ac:dyDescent="0.25">
      <c r="C74" s="233">
        <v>0.9</v>
      </c>
      <c r="D74" s="234">
        <v>0.81594</v>
      </c>
      <c r="E74" s="234">
        <v>0.81859000000000004</v>
      </c>
      <c r="F74" s="234">
        <v>0.82121</v>
      </c>
      <c r="G74" s="234">
        <v>0.82381000000000004</v>
      </c>
      <c r="H74" s="234">
        <v>0.82638999999999996</v>
      </c>
      <c r="I74" s="234">
        <v>0.82894000000000001</v>
      </c>
      <c r="J74" s="234">
        <v>0.83147000000000004</v>
      </c>
      <c r="K74" s="234">
        <v>0.83398000000000005</v>
      </c>
      <c r="L74" s="234">
        <v>0.83645999999999998</v>
      </c>
      <c r="M74" s="235">
        <v>0.83891000000000004</v>
      </c>
      <c r="Q74" s="241"/>
      <c r="AZ74" s="241"/>
      <c r="BZ74" s="241"/>
      <c r="CJ74" s="241"/>
    </row>
    <row r="75" spans="3:88" x14ac:dyDescent="0.25">
      <c r="C75" s="233">
        <v>1</v>
      </c>
      <c r="D75" s="234">
        <v>0.84133999999999998</v>
      </c>
      <c r="E75" s="234">
        <v>0.84375</v>
      </c>
      <c r="F75" s="234">
        <v>0.84614</v>
      </c>
      <c r="G75" s="234">
        <v>0.84848999999999997</v>
      </c>
      <c r="H75" s="234">
        <v>0.85082999999999998</v>
      </c>
      <c r="I75" s="234">
        <v>0.85314000000000001</v>
      </c>
      <c r="J75" s="234">
        <v>0.85543000000000002</v>
      </c>
      <c r="K75" s="234">
        <v>0.85768999999999995</v>
      </c>
      <c r="L75" s="234">
        <v>0.85992999999999997</v>
      </c>
      <c r="M75" s="235">
        <v>0.86214000000000002</v>
      </c>
      <c r="Q75" s="241"/>
      <c r="AZ75" s="241"/>
      <c r="BZ75" s="241"/>
      <c r="CJ75" s="241"/>
    </row>
    <row r="76" spans="3:88" x14ac:dyDescent="0.25">
      <c r="C76" s="233">
        <v>1.1000000000000001</v>
      </c>
      <c r="D76" s="234">
        <v>0.86433000000000004</v>
      </c>
      <c r="E76" s="234">
        <v>0.86650000000000005</v>
      </c>
      <c r="F76" s="234">
        <v>0.86863999999999997</v>
      </c>
      <c r="G76" s="234">
        <v>0.87075999999999998</v>
      </c>
      <c r="H76" s="234">
        <v>0.87285999999999997</v>
      </c>
      <c r="I76" s="234">
        <v>0.87492999999999999</v>
      </c>
      <c r="J76" s="234">
        <v>0.87697999999999998</v>
      </c>
      <c r="K76" s="234">
        <v>0.879</v>
      </c>
      <c r="L76" s="234">
        <v>0.88100000000000001</v>
      </c>
      <c r="M76" s="235">
        <v>0.88297999999999999</v>
      </c>
      <c r="Q76" s="241"/>
      <c r="AZ76" s="241"/>
      <c r="BZ76" s="241"/>
      <c r="CJ76" s="241"/>
    </row>
    <row r="77" spans="3:88" x14ac:dyDescent="0.25">
      <c r="C77" s="233">
        <v>1.2</v>
      </c>
      <c r="D77" s="234">
        <v>0.88492999999999999</v>
      </c>
      <c r="E77" s="234">
        <v>0.88685999999999998</v>
      </c>
      <c r="F77" s="234">
        <v>0.88876999999999995</v>
      </c>
      <c r="G77" s="234">
        <v>0.89065000000000005</v>
      </c>
      <c r="H77" s="234">
        <v>0.89251000000000003</v>
      </c>
      <c r="I77" s="234">
        <v>0.89434999999999998</v>
      </c>
      <c r="J77" s="234">
        <v>0.89617000000000002</v>
      </c>
      <c r="K77" s="234">
        <v>0.89795999999999998</v>
      </c>
      <c r="L77" s="234">
        <v>0.89973000000000003</v>
      </c>
      <c r="M77" s="235">
        <v>0.90146999999999999</v>
      </c>
      <c r="Q77" s="241"/>
      <c r="AZ77" s="241"/>
      <c r="BZ77" s="241"/>
      <c r="CJ77" s="241"/>
    </row>
    <row r="78" spans="3:88" x14ac:dyDescent="0.25">
      <c r="C78" s="233">
        <v>1.3</v>
      </c>
      <c r="D78" s="234">
        <v>0.9032</v>
      </c>
      <c r="E78" s="234">
        <v>0.90490000000000004</v>
      </c>
      <c r="F78" s="234">
        <v>0.90658000000000005</v>
      </c>
      <c r="G78" s="234">
        <v>0.90824000000000005</v>
      </c>
      <c r="H78" s="234">
        <v>0.90988000000000002</v>
      </c>
      <c r="I78" s="234">
        <v>0.91149000000000002</v>
      </c>
      <c r="J78" s="234">
        <v>0.91308999999999996</v>
      </c>
      <c r="K78" s="234">
        <v>0.91466000000000003</v>
      </c>
      <c r="L78" s="234">
        <v>0.91620999999999997</v>
      </c>
      <c r="M78" s="235">
        <v>0.91774</v>
      </c>
      <c r="Q78" s="241"/>
      <c r="AZ78" s="241"/>
      <c r="BZ78" s="241"/>
      <c r="CJ78" s="241"/>
    </row>
    <row r="79" spans="3:88" x14ac:dyDescent="0.25">
      <c r="C79" s="233">
        <v>1.4</v>
      </c>
      <c r="D79" s="234">
        <v>0.91923999999999995</v>
      </c>
      <c r="E79" s="234">
        <v>0.92073000000000005</v>
      </c>
      <c r="F79" s="234">
        <v>0.92220000000000002</v>
      </c>
      <c r="G79" s="234">
        <v>0.92364000000000002</v>
      </c>
      <c r="H79" s="234">
        <v>0.92506999999999995</v>
      </c>
      <c r="I79" s="234">
        <v>0.92647000000000002</v>
      </c>
      <c r="J79" s="234">
        <v>0.92784999999999995</v>
      </c>
      <c r="K79" s="234">
        <v>0.92922000000000005</v>
      </c>
      <c r="L79" s="234">
        <v>0.93056000000000005</v>
      </c>
      <c r="M79" s="235">
        <v>0.93189</v>
      </c>
      <c r="Q79" s="241"/>
      <c r="AZ79" s="241"/>
      <c r="BZ79" s="241"/>
      <c r="CJ79" s="241"/>
    </row>
    <row r="80" spans="3:88" x14ac:dyDescent="0.25">
      <c r="C80" s="233">
        <v>1.5</v>
      </c>
      <c r="D80" s="234">
        <v>0.93318999999999996</v>
      </c>
      <c r="E80" s="234">
        <v>0.93447999999999998</v>
      </c>
      <c r="F80" s="234">
        <v>0.93574000000000002</v>
      </c>
      <c r="G80" s="234">
        <v>0.93698999999999999</v>
      </c>
      <c r="H80" s="234">
        <v>0.93822000000000005</v>
      </c>
      <c r="I80" s="234">
        <v>0.93942999999999999</v>
      </c>
      <c r="J80" s="234">
        <v>0.94062000000000001</v>
      </c>
      <c r="K80" s="234">
        <v>0.94179000000000002</v>
      </c>
      <c r="L80" s="234">
        <v>0.94294999999999995</v>
      </c>
      <c r="M80" s="235">
        <v>0.94408000000000003</v>
      </c>
      <c r="Q80" s="241"/>
      <c r="AZ80" s="241"/>
      <c r="BZ80" s="241"/>
      <c r="CJ80" s="241"/>
    </row>
    <row r="81" spans="3:88" x14ac:dyDescent="0.25">
      <c r="C81" s="233">
        <v>1.6</v>
      </c>
      <c r="D81" s="234">
        <v>0.94520000000000004</v>
      </c>
      <c r="E81" s="234">
        <v>0.94630000000000003</v>
      </c>
      <c r="F81" s="234">
        <v>0.94738</v>
      </c>
      <c r="G81" s="234">
        <v>0.94845000000000002</v>
      </c>
      <c r="H81" s="234">
        <v>0.94950000000000001</v>
      </c>
      <c r="I81" s="234">
        <v>0.95052999999999999</v>
      </c>
      <c r="J81" s="234">
        <v>0.95154000000000005</v>
      </c>
      <c r="K81" s="234">
        <v>0.95254000000000005</v>
      </c>
      <c r="L81" s="234">
        <v>0.95352000000000003</v>
      </c>
      <c r="M81" s="235">
        <v>0.95448999999999995</v>
      </c>
      <c r="Q81" s="241"/>
      <c r="AZ81" s="241"/>
      <c r="BZ81" s="241"/>
      <c r="CJ81" s="241"/>
    </row>
    <row r="82" spans="3:88" x14ac:dyDescent="0.25">
      <c r="C82" s="233">
        <v>1.7</v>
      </c>
      <c r="D82" s="234">
        <v>0.95543</v>
      </c>
      <c r="E82" s="234">
        <v>0.95637000000000005</v>
      </c>
      <c r="F82" s="234">
        <v>0.95728000000000002</v>
      </c>
      <c r="G82" s="234">
        <v>0.95818000000000003</v>
      </c>
      <c r="H82" s="234">
        <v>0.95906999999999998</v>
      </c>
      <c r="I82" s="234">
        <v>0.95994000000000002</v>
      </c>
      <c r="J82" s="234">
        <v>0.96079999999999999</v>
      </c>
      <c r="K82" s="234">
        <v>0.96164000000000005</v>
      </c>
      <c r="L82" s="234">
        <v>0.96245999999999998</v>
      </c>
      <c r="M82" s="235">
        <v>0.96326999999999996</v>
      </c>
      <c r="Q82" s="241"/>
      <c r="AZ82" s="241"/>
      <c r="BZ82" s="241"/>
      <c r="CJ82" s="241"/>
    </row>
    <row r="83" spans="3:88" x14ac:dyDescent="0.25">
      <c r="C83" s="233">
        <v>1.8</v>
      </c>
      <c r="D83" s="234">
        <v>0.96406999999999998</v>
      </c>
      <c r="E83" s="234">
        <v>0.96484999999999999</v>
      </c>
      <c r="F83" s="234">
        <v>0.96562000000000003</v>
      </c>
      <c r="G83" s="234">
        <v>0.96638000000000002</v>
      </c>
      <c r="H83" s="234">
        <v>0.96711999999999998</v>
      </c>
      <c r="I83" s="234">
        <v>0.96784000000000003</v>
      </c>
      <c r="J83" s="234">
        <v>0.96855999999999998</v>
      </c>
      <c r="K83" s="234">
        <v>0.96926000000000001</v>
      </c>
      <c r="L83" s="234">
        <v>0.96994999999999998</v>
      </c>
      <c r="M83" s="235">
        <v>0.97062000000000004</v>
      </c>
      <c r="Q83" s="241"/>
      <c r="AZ83" s="241"/>
      <c r="BZ83" s="241"/>
      <c r="CJ83" s="241"/>
    </row>
    <row r="84" spans="3:88" x14ac:dyDescent="0.25">
      <c r="C84" s="233">
        <v>1.9</v>
      </c>
      <c r="D84" s="234">
        <v>0.97128000000000003</v>
      </c>
      <c r="E84" s="234">
        <v>0.97192999999999996</v>
      </c>
      <c r="F84" s="234">
        <v>0.97257000000000005</v>
      </c>
      <c r="G84" s="234">
        <v>0.97319999999999995</v>
      </c>
      <c r="H84" s="234">
        <v>0.97380999999999995</v>
      </c>
      <c r="I84" s="234">
        <v>0.97441</v>
      </c>
      <c r="J84" s="234">
        <v>0.97499999999999998</v>
      </c>
      <c r="K84" s="234">
        <v>0.97558</v>
      </c>
      <c r="L84" s="234">
        <v>0.97614999999999996</v>
      </c>
      <c r="M84" s="235">
        <v>0.97670000000000001</v>
      </c>
      <c r="Q84" s="241"/>
      <c r="AZ84" s="241"/>
      <c r="BZ84" s="241"/>
      <c r="CJ84" s="241"/>
    </row>
    <row r="85" spans="3:88" x14ac:dyDescent="0.25">
      <c r="C85" s="233">
        <v>2</v>
      </c>
      <c r="D85" s="234">
        <v>0.97724999999999995</v>
      </c>
      <c r="E85" s="234">
        <v>0.97777999999999998</v>
      </c>
      <c r="F85" s="234">
        <v>0.97831000000000001</v>
      </c>
      <c r="G85" s="234">
        <v>0.97882000000000002</v>
      </c>
      <c r="H85" s="234">
        <v>0.97931999999999997</v>
      </c>
      <c r="I85" s="234">
        <v>0.97982000000000002</v>
      </c>
      <c r="J85" s="234">
        <v>0.98029999999999995</v>
      </c>
      <c r="K85" s="234">
        <v>0.98077000000000003</v>
      </c>
      <c r="L85" s="234">
        <v>0.98124</v>
      </c>
      <c r="M85" s="235">
        <v>0.98168999999999995</v>
      </c>
      <c r="Q85" s="241"/>
      <c r="AZ85" s="241"/>
      <c r="BZ85" s="241"/>
      <c r="CJ85" s="241"/>
    </row>
    <row r="86" spans="3:88" x14ac:dyDescent="0.25">
      <c r="C86" s="233">
        <v>2.1</v>
      </c>
      <c r="D86" s="234">
        <v>0.98214000000000001</v>
      </c>
      <c r="E86" s="234">
        <v>0.98257000000000005</v>
      </c>
      <c r="F86" s="234">
        <v>0.98299999999999998</v>
      </c>
      <c r="G86" s="234">
        <v>0.98341000000000001</v>
      </c>
      <c r="H86" s="234">
        <v>0.98382000000000003</v>
      </c>
      <c r="I86" s="234">
        <v>0.98421999999999998</v>
      </c>
      <c r="J86" s="234">
        <v>0.98460999999999999</v>
      </c>
      <c r="K86" s="234">
        <v>0.98499999999999999</v>
      </c>
      <c r="L86" s="234">
        <v>0.98536999999999997</v>
      </c>
      <c r="M86" s="235">
        <v>0.98573999999999995</v>
      </c>
      <c r="Q86" s="241"/>
      <c r="AZ86" s="241"/>
      <c r="BZ86" s="241"/>
      <c r="CJ86" s="241"/>
    </row>
    <row r="87" spans="3:88" x14ac:dyDescent="0.25">
      <c r="C87" s="233">
        <v>2.2000000000000002</v>
      </c>
      <c r="D87" s="234">
        <v>0.98609999999999998</v>
      </c>
      <c r="E87" s="234">
        <v>0.98645000000000005</v>
      </c>
      <c r="F87" s="234">
        <v>0.98678999999999994</v>
      </c>
      <c r="G87" s="234">
        <v>0.98712999999999995</v>
      </c>
      <c r="H87" s="234">
        <v>0.98745000000000005</v>
      </c>
      <c r="I87" s="234">
        <v>0.98777999999999999</v>
      </c>
      <c r="J87" s="234">
        <v>0.98809000000000002</v>
      </c>
      <c r="K87" s="234">
        <v>0.98839999999999995</v>
      </c>
      <c r="L87" s="234">
        <v>0.98870000000000002</v>
      </c>
      <c r="M87" s="235">
        <v>0.98899000000000004</v>
      </c>
      <c r="Q87" s="241"/>
      <c r="AZ87" s="241"/>
      <c r="BZ87" s="241"/>
      <c r="CJ87" s="241"/>
    </row>
    <row r="88" spans="3:88" x14ac:dyDescent="0.25">
      <c r="C88" s="233">
        <v>2.2999999999999998</v>
      </c>
      <c r="D88" s="234">
        <v>0.98928000000000005</v>
      </c>
      <c r="E88" s="234">
        <v>0.98956</v>
      </c>
      <c r="F88" s="234">
        <v>0.98982999999999999</v>
      </c>
      <c r="G88" s="234">
        <v>0.99009999999999998</v>
      </c>
      <c r="H88" s="234">
        <v>0.99036000000000002</v>
      </c>
      <c r="I88" s="234">
        <v>0.99060999999999999</v>
      </c>
      <c r="J88" s="234">
        <v>0.99085999999999996</v>
      </c>
      <c r="K88" s="234">
        <v>0.99111000000000005</v>
      </c>
      <c r="L88" s="234">
        <v>0.99134</v>
      </c>
      <c r="M88" s="235">
        <v>0.99158000000000002</v>
      </c>
      <c r="Q88" s="241"/>
      <c r="AZ88" s="241"/>
      <c r="BZ88" s="241"/>
      <c r="CJ88" s="241"/>
    </row>
    <row r="89" spans="3:88" x14ac:dyDescent="0.25">
      <c r="C89" s="233">
        <v>2.4</v>
      </c>
      <c r="D89" s="234">
        <v>0.99180000000000001</v>
      </c>
      <c r="E89" s="234">
        <v>0.99202000000000001</v>
      </c>
      <c r="F89" s="234">
        <v>0.99224000000000001</v>
      </c>
      <c r="G89" s="234">
        <v>0.99245000000000005</v>
      </c>
      <c r="H89" s="234">
        <v>0.99265999999999999</v>
      </c>
      <c r="I89" s="234">
        <v>0.99285999999999996</v>
      </c>
      <c r="J89" s="234">
        <v>0.99304999999999999</v>
      </c>
      <c r="K89" s="234">
        <v>0.99324000000000001</v>
      </c>
      <c r="L89" s="234">
        <v>0.99343000000000004</v>
      </c>
      <c r="M89" s="235">
        <v>0.99360999999999999</v>
      </c>
      <c r="Q89" s="241"/>
      <c r="AZ89" s="241"/>
      <c r="BZ89" s="241"/>
      <c r="CJ89" s="241"/>
    </row>
    <row r="90" spans="3:88" x14ac:dyDescent="0.25">
      <c r="C90" s="233">
        <v>2.5</v>
      </c>
      <c r="D90" s="234">
        <v>0.99378999999999995</v>
      </c>
      <c r="E90" s="234">
        <v>0.99395999999999995</v>
      </c>
      <c r="F90" s="234">
        <v>0.99412999999999996</v>
      </c>
      <c r="G90" s="234">
        <v>0.99429999999999996</v>
      </c>
      <c r="H90" s="234">
        <v>0.99446000000000001</v>
      </c>
      <c r="I90" s="234">
        <v>0.99460999999999999</v>
      </c>
      <c r="J90" s="234">
        <v>0.99477000000000004</v>
      </c>
      <c r="K90" s="234">
        <v>0.99492000000000003</v>
      </c>
      <c r="L90" s="234">
        <v>0.99506000000000006</v>
      </c>
      <c r="M90" s="235">
        <v>0.99519999999999997</v>
      </c>
      <c r="Q90" s="241"/>
      <c r="AZ90" s="241"/>
      <c r="BZ90" s="241"/>
      <c r="CJ90" s="241"/>
    </row>
    <row r="91" spans="3:88" x14ac:dyDescent="0.25">
      <c r="C91" s="233">
        <v>2.6</v>
      </c>
      <c r="D91" s="234">
        <v>0.99534</v>
      </c>
      <c r="E91" s="234">
        <v>0.99546999999999997</v>
      </c>
      <c r="F91" s="234">
        <v>0.99560000000000004</v>
      </c>
      <c r="G91" s="234">
        <v>0.99573</v>
      </c>
      <c r="H91" s="234">
        <v>0.99585000000000001</v>
      </c>
      <c r="I91" s="234">
        <v>0.99597999999999998</v>
      </c>
      <c r="J91" s="234">
        <v>0.99609000000000003</v>
      </c>
      <c r="K91" s="234">
        <v>0.99621000000000004</v>
      </c>
      <c r="L91" s="234">
        <v>0.99631999999999998</v>
      </c>
      <c r="M91" s="235">
        <v>0.99643000000000004</v>
      </c>
      <c r="Q91" s="241"/>
      <c r="AZ91" s="241"/>
      <c r="BZ91" s="241"/>
      <c r="CJ91" s="241"/>
    </row>
    <row r="92" spans="3:88" x14ac:dyDescent="0.25">
      <c r="C92" s="233">
        <v>2.7</v>
      </c>
      <c r="D92" s="234">
        <v>0.99653000000000003</v>
      </c>
      <c r="E92" s="234">
        <v>0.99663999999999997</v>
      </c>
      <c r="F92" s="234">
        <v>0.99673999999999996</v>
      </c>
      <c r="G92" s="234">
        <v>0.99682999999999999</v>
      </c>
      <c r="H92" s="234">
        <v>0.99692999999999998</v>
      </c>
      <c r="I92" s="234">
        <v>0.99702000000000002</v>
      </c>
      <c r="J92" s="234">
        <v>0.99711000000000005</v>
      </c>
      <c r="K92" s="234">
        <v>0.99719999999999998</v>
      </c>
      <c r="L92" s="234">
        <v>0.99728000000000006</v>
      </c>
      <c r="M92" s="235">
        <v>0.99736000000000002</v>
      </c>
      <c r="Q92" s="241"/>
      <c r="AZ92" s="241"/>
      <c r="BZ92" s="241"/>
      <c r="CJ92" s="241"/>
    </row>
    <row r="93" spans="3:88" x14ac:dyDescent="0.25">
      <c r="C93" s="233">
        <v>2.8</v>
      </c>
      <c r="D93" s="234">
        <v>0.99743999999999999</v>
      </c>
      <c r="E93" s="234">
        <v>0.99751999999999996</v>
      </c>
      <c r="F93" s="234">
        <v>0.99760000000000004</v>
      </c>
      <c r="G93" s="234">
        <v>0.99766999999999995</v>
      </c>
      <c r="H93" s="234">
        <v>0.99773999999999996</v>
      </c>
      <c r="I93" s="234">
        <v>0.99780999999999997</v>
      </c>
      <c r="J93" s="234">
        <v>0.99787999999999999</v>
      </c>
      <c r="K93" s="234">
        <v>0.99795</v>
      </c>
      <c r="L93" s="234">
        <v>0.99800999999999995</v>
      </c>
      <c r="M93" s="235">
        <v>0.99807000000000001</v>
      </c>
      <c r="Q93" s="241"/>
      <c r="AZ93" s="241"/>
      <c r="BZ93" s="241"/>
      <c r="CJ93" s="241"/>
    </row>
    <row r="94" spans="3:88" x14ac:dyDescent="0.25">
      <c r="C94" s="233">
        <v>2.9</v>
      </c>
      <c r="D94" s="234">
        <v>0.99812999999999996</v>
      </c>
      <c r="E94" s="234">
        <v>0.99819000000000002</v>
      </c>
      <c r="F94" s="234">
        <v>0.99824999999999997</v>
      </c>
      <c r="G94" s="234">
        <v>0.99831000000000003</v>
      </c>
      <c r="H94" s="234">
        <v>0.99836000000000003</v>
      </c>
      <c r="I94" s="234">
        <v>0.99841000000000002</v>
      </c>
      <c r="J94" s="234">
        <v>0.99846000000000001</v>
      </c>
      <c r="K94" s="234">
        <v>0.99851000000000001</v>
      </c>
      <c r="L94" s="234">
        <v>0.99856</v>
      </c>
      <c r="M94" s="235">
        <v>0.99861</v>
      </c>
      <c r="Q94" s="241"/>
      <c r="AZ94" s="241"/>
      <c r="BZ94" s="241"/>
      <c r="CJ94" s="241"/>
    </row>
    <row r="95" spans="3:88" x14ac:dyDescent="0.25">
      <c r="C95" s="233">
        <v>3</v>
      </c>
      <c r="D95" s="234">
        <v>0.99865000000000004</v>
      </c>
      <c r="E95" s="234">
        <v>0.99868999999999997</v>
      </c>
      <c r="F95" s="234">
        <v>0.99873999999999996</v>
      </c>
      <c r="G95" s="234">
        <v>0.99878</v>
      </c>
      <c r="H95" s="234">
        <v>0.99882000000000004</v>
      </c>
      <c r="I95" s="234">
        <v>0.99885999999999997</v>
      </c>
      <c r="J95" s="234">
        <v>0.99889000000000006</v>
      </c>
      <c r="K95" s="234">
        <v>0.99892999999999998</v>
      </c>
      <c r="L95" s="234">
        <v>0.99895999999999996</v>
      </c>
      <c r="M95" s="235">
        <v>0.999</v>
      </c>
      <c r="Q95" s="241"/>
      <c r="AZ95" s="241"/>
      <c r="BZ95" s="241"/>
      <c r="CJ95" s="241"/>
    </row>
    <row r="96" spans="3:88" x14ac:dyDescent="0.25">
      <c r="C96" s="233">
        <v>3.1</v>
      </c>
      <c r="D96" s="234">
        <v>0.99902999999999997</v>
      </c>
      <c r="E96" s="234">
        <v>0.99905999999999995</v>
      </c>
      <c r="F96" s="234">
        <v>0.99909999999999999</v>
      </c>
      <c r="G96" s="234">
        <v>0.99912999999999996</v>
      </c>
      <c r="H96" s="234">
        <v>0.99916000000000005</v>
      </c>
      <c r="I96" s="234">
        <v>0.99917999999999996</v>
      </c>
      <c r="J96" s="234">
        <v>0.99921000000000004</v>
      </c>
      <c r="K96" s="234">
        <v>0.99924000000000002</v>
      </c>
      <c r="L96" s="234">
        <v>0.99926000000000004</v>
      </c>
      <c r="M96" s="235">
        <v>0.99929000000000001</v>
      </c>
      <c r="Q96" s="241"/>
      <c r="AZ96" s="241"/>
      <c r="BZ96" s="241"/>
      <c r="CJ96" s="241"/>
    </row>
    <row r="97" spans="3:88" x14ac:dyDescent="0.25">
      <c r="C97" s="233">
        <v>3.2</v>
      </c>
      <c r="D97" s="234">
        <v>0.99931000000000003</v>
      </c>
      <c r="E97" s="234">
        <v>0.99934000000000001</v>
      </c>
      <c r="F97" s="234">
        <v>0.99936000000000003</v>
      </c>
      <c r="G97" s="234">
        <v>0.99938000000000005</v>
      </c>
      <c r="H97" s="234">
        <v>0.99939999999999996</v>
      </c>
      <c r="I97" s="234">
        <v>0.99941999999999998</v>
      </c>
      <c r="J97" s="234">
        <v>0.99944</v>
      </c>
      <c r="K97" s="234">
        <v>0.99946000000000002</v>
      </c>
      <c r="L97" s="234">
        <v>0.99948000000000004</v>
      </c>
      <c r="M97" s="235">
        <v>0.99950000000000006</v>
      </c>
      <c r="Q97" s="241"/>
      <c r="AZ97" s="241"/>
      <c r="BZ97" s="241"/>
      <c r="CJ97" s="241"/>
    </row>
    <row r="98" spans="3:88" x14ac:dyDescent="0.25">
      <c r="C98" s="233">
        <v>3.3</v>
      </c>
      <c r="D98" s="234">
        <v>0.99951999999999996</v>
      </c>
      <c r="E98" s="234">
        <v>0.99953000000000003</v>
      </c>
      <c r="F98" s="234">
        <v>0.99955000000000005</v>
      </c>
      <c r="G98" s="234">
        <v>0.99956999999999996</v>
      </c>
      <c r="H98" s="234">
        <v>0.99958000000000002</v>
      </c>
      <c r="I98" s="234">
        <v>0.99960000000000004</v>
      </c>
      <c r="J98" s="234">
        <v>0.99961</v>
      </c>
      <c r="K98" s="234">
        <v>0.99961999999999995</v>
      </c>
      <c r="L98" s="234">
        <v>0.99963999999999997</v>
      </c>
      <c r="M98" s="235">
        <v>0.99965000000000004</v>
      </c>
      <c r="Q98" s="241"/>
      <c r="AZ98" s="241"/>
      <c r="BZ98" s="241"/>
      <c r="CJ98" s="241"/>
    </row>
    <row r="99" spans="3:88" x14ac:dyDescent="0.25">
      <c r="C99" s="233">
        <v>3.4</v>
      </c>
      <c r="D99" s="234">
        <v>0.99965999999999999</v>
      </c>
      <c r="E99" s="234">
        <v>0.99968000000000001</v>
      </c>
      <c r="F99" s="234">
        <v>0.99968999999999997</v>
      </c>
      <c r="G99" s="234">
        <v>0.99970000000000003</v>
      </c>
      <c r="H99" s="234">
        <v>0.99970999999999999</v>
      </c>
      <c r="I99" s="234">
        <v>0.99972000000000005</v>
      </c>
      <c r="J99" s="234">
        <v>0.99973000000000001</v>
      </c>
      <c r="K99" s="234">
        <v>0.99973999999999996</v>
      </c>
      <c r="L99" s="234">
        <v>0.99975000000000003</v>
      </c>
      <c r="M99" s="235">
        <v>0.99975999999999998</v>
      </c>
      <c r="Q99" s="241"/>
      <c r="AZ99" s="241"/>
      <c r="BZ99" s="241"/>
      <c r="CJ99" s="241"/>
    </row>
    <row r="100" spans="3:88" x14ac:dyDescent="0.25">
      <c r="C100" s="233">
        <v>3.5</v>
      </c>
      <c r="D100" s="234">
        <v>0.99977000000000005</v>
      </c>
      <c r="E100" s="234">
        <v>0.99978</v>
      </c>
      <c r="F100" s="234">
        <v>0.99978</v>
      </c>
      <c r="G100" s="234">
        <v>0.99978999999999996</v>
      </c>
      <c r="H100" s="234">
        <v>0.99980000000000002</v>
      </c>
      <c r="I100" s="234">
        <v>0.99980999999999998</v>
      </c>
      <c r="J100" s="234">
        <v>0.99980999999999998</v>
      </c>
      <c r="K100" s="234">
        <v>0.99982000000000004</v>
      </c>
      <c r="L100" s="234">
        <v>0.99983</v>
      </c>
      <c r="M100" s="235">
        <v>0.99983</v>
      </c>
      <c r="Q100" s="241"/>
      <c r="AZ100" s="241"/>
      <c r="BZ100" s="241"/>
      <c r="CJ100" s="241"/>
    </row>
    <row r="101" spans="3:88" x14ac:dyDescent="0.25">
      <c r="C101" s="233">
        <v>3.6</v>
      </c>
      <c r="D101" s="234">
        <v>0.99983999999999995</v>
      </c>
      <c r="E101" s="234">
        <v>0.99985000000000002</v>
      </c>
      <c r="F101" s="234">
        <v>0.99985000000000002</v>
      </c>
      <c r="G101" s="234">
        <v>0.99985999999999997</v>
      </c>
      <c r="H101" s="234">
        <v>0.99985999999999997</v>
      </c>
      <c r="I101" s="234">
        <v>0.99987000000000004</v>
      </c>
      <c r="J101" s="234">
        <v>0.99987000000000004</v>
      </c>
      <c r="K101" s="234">
        <v>0.99987999999999999</v>
      </c>
      <c r="L101" s="234">
        <v>0.99987999999999999</v>
      </c>
      <c r="M101" s="235">
        <v>0.99988999999999995</v>
      </c>
      <c r="Q101" s="241"/>
      <c r="AZ101" s="241"/>
      <c r="BZ101" s="241"/>
      <c r="CJ101" s="241"/>
    </row>
    <row r="102" spans="3:88" x14ac:dyDescent="0.25">
      <c r="C102" s="233">
        <v>3.7</v>
      </c>
      <c r="D102" s="234">
        <v>0.99988999999999995</v>
      </c>
      <c r="E102" s="234">
        <v>0.99990000000000001</v>
      </c>
      <c r="F102" s="234">
        <v>0.99990000000000001</v>
      </c>
      <c r="G102" s="234">
        <v>0.99990000000000001</v>
      </c>
      <c r="H102" s="234">
        <v>0.99990999999999997</v>
      </c>
      <c r="I102" s="234">
        <v>0.99990999999999997</v>
      </c>
      <c r="J102" s="234">
        <v>0.99992000000000003</v>
      </c>
      <c r="K102" s="234">
        <v>0.99992000000000003</v>
      </c>
      <c r="L102" s="234">
        <v>0.99992000000000003</v>
      </c>
      <c r="M102" s="235">
        <v>0.99992000000000003</v>
      </c>
      <c r="Q102" s="241"/>
      <c r="AZ102" s="241"/>
      <c r="BZ102" s="241"/>
      <c r="CJ102" s="241"/>
    </row>
    <row r="103" spans="3:88" x14ac:dyDescent="0.25">
      <c r="C103" s="233">
        <v>3.8</v>
      </c>
      <c r="D103" s="234">
        <v>0.99992999999999999</v>
      </c>
      <c r="E103" s="234">
        <v>0.99992999999999999</v>
      </c>
      <c r="F103" s="234">
        <v>0.99992999999999999</v>
      </c>
      <c r="G103" s="234">
        <v>0.99994000000000005</v>
      </c>
      <c r="H103" s="234">
        <v>0.99994000000000005</v>
      </c>
      <c r="I103" s="234">
        <v>0.99994000000000005</v>
      </c>
      <c r="J103" s="234">
        <v>0.99994000000000005</v>
      </c>
      <c r="K103" s="234">
        <v>0.99995000000000001</v>
      </c>
      <c r="L103" s="234">
        <v>0.99995000000000001</v>
      </c>
      <c r="M103" s="235">
        <v>0.99995000000000001</v>
      </c>
      <c r="Q103" s="241"/>
      <c r="AZ103" s="241"/>
      <c r="BZ103" s="241"/>
      <c r="CJ103" s="241"/>
    </row>
    <row r="104" spans="3:88" x14ac:dyDescent="0.25">
      <c r="C104" s="236">
        <v>3.9</v>
      </c>
      <c r="D104" s="237">
        <v>0.99995000000000001</v>
      </c>
      <c r="E104" s="237">
        <v>0.99995000000000001</v>
      </c>
      <c r="F104" s="237">
        <v>0.99995999999999996</v>
      </c>
      <c r="G104" s="237">
        <v>0.99995999999999996</v>
      </c>
      <c r="H104" s="237">
        <v>0.99995999999999996</v>
      </c>
      <c r="I104" s="237">
        <v>0.99995999999999996</v>
      </c>
      <c r="J104" s="237">
        <v>0.99995999999999996</v>
      </c>
      <c r="K104" s="237">
        <v>0.99995999999999996</v>
      </c>
      <c r="L104" s="237">
        <v>0.99997000000000003</v>
      </c>
      <c r="M104" s="238">
        <v>0.99997000000000003</v>
      </c>
      <c r="Q104" s="241"/>
      <c r="AZ104" s="241"/>
      <c r="BZ104" s="241"/>
      <c r="CJ104" s="241"/>
    </row>
    <row r="105" spans="3:88" x14ac:dyDescent="0.25">
      <c r="Q105" s="241"/>
      <c r="AZ105" s="241"/>
      <c r="BZ105" s="241"/>
      <c r="CJ105" s="241"/>
    </row>
    <row r="106" spans="3:88" x14ac:dyDescent="0.25">
      <c r="Q106" s="241"/>
      <c r="AZ106" s="241"/>
      <c r="BZ106" s="241"/>
      <c r="CJ106" s="241"/>
    </row>
    <row r="107" spans="3:88" x14ac:dyDescent="0.25">
      <c r="Q107" s="241"/>
      <c r="AZ107" s="241"/>
      <c r="BZ107" s="241"/>
      <c r="CJ107" s="241"/>
    </row>
    <row r="108" spans="3:88" x14ac:dyDescent="0.25">
      <c r="Q108" s="241"/>
      <c r="AZ108" s="241"/>
      <c r="BZ108" s="241"/>
      <c r="CJ108" s="241"/>
    </row>
    <row r="109" spans="3:88" x14ac:dyDescent="0.25">
      <c r="Q109" s="241"/>
      <c r="AZ109" s="241"/>
      <c r="BZ109" s="241"/>
      <c r="CJ109" s="241"/>
    </row>
    <row r="110" spans="3:88" x14ac:dyDescent="0.25">
      <c r="Q110" s="241"/>
      <c r="AZ110" s="241"/>
      <c r="BZ110" s="241"/>
      <c r="CJ110" s="241"/>
    </row>
    <row r="111" spans="3:88" x14ac:dyDescent="0.25">
      <c r="Q111" s="241"/>
      <c r="AZ111" s="241"/>
      <c r="BZ111" s="241"/>
      <c r="CJ111" s="241"/>
    </row>
    <row r="112" spans="3:88" x14ac:dyDescent="0.25">
      <c r="Q112" s="241"/>
      <c r="AZ112" s="241"/>
      <c r="BZ112" s="241"/>
      <c r="CJ112" s="241"/>
    </row>
    <row r="113" spans="17:88" x14ac:dyDescent="0.25">
      <c r="Q113" s="241"/>
      <c r="AZ113" s="241"/>
      <c r="BZ113" s="241"/>
      <c r="CJ113" s="241"/>
    </row>
    <row r="114" spans="17:88" x14ac:dyDescent="0.25">
      <c r="Q114" s="241"/>
      <c r="AZ114" s="241"/>
      <c r="BZ114" s="241"/>
      <c r="CJ114" s="241"/>
    </row>
    <row r="115" spans="17:88" x14ac:dyDescent="0.25">
      <c r="Q115" s="241"/>
      <c r="AZ115" s="241"/>
      <c r="BZ115" s="241"/>
      <c r="CJ115" s="241"/>
    </row>
    <row r="116" spans="17:88" x14ac:dyDescent="0.25">
      <c r="Q116" s="241"/>
      <c r="AZ116" s="241"/>
      <c r="BZ116" s="241"/>
      <c r="CJ116" s="241"/>
    </row>
    <row r="117" spans="17:88" x14ac:dyDescent="0.25">
      <c r="Q117" s="241"/>
      <c r="AZ117" s="241"/>
      <c r="BZ117" s="241"/>
      <c r="CJ117" s="241"/>
    </row>
    <row r="118" spans="17:88" x14ac:dyDescent="0.25">
      <c r="Q118" s="241"/>
      <c r="AZ118" s="241"/>
      <c r="BZ118" s="241"/>
      <c r="CJ118" s="241"/>
    </row>
    <row r="119" spans="17:88" x14ac:dyDescent="0.25">
      <c r="Q119" s="241"/>
      <c r="AZ119" s="241"/>
      <c r="BZ119" s="241"/>
      <c r="CJ119" s="241"/>
    </row>
    <row r="120" spans="17:88" x14ac:dyDescent="0.25">
      <c r="Q120" s="241"/>
      <c r="AZ120" s="241"/>
      <c r="BZ120" s="241"/>
      <c r="CJ120" s="241"/>
    </row>
    <row r="121" spans="17:88" x14ac:dyDescent="0.25">
      <c r="Q121" s="241"/>
      <c r="AZ121" s="241"/>
      <c r="BZ121" s="241"/>
      <c r="CJ121" s="241"/>
    </row>
    <row r="122" spans="17:88" x14ac:dyDescent="0.25">
      <c r="Q122" s="241"/>
      <c r="AZ122" s="241"/>
      <c r="BZ122" s="241"/>
      <c r="CJ122" s="241"/>
    </row>
    <row r="123" spans="17:88" x14ac:dyDescent="0.25">
      <c r="Q123" s="241"/>
      <c r="AZ123" s="241"/>
      <c r="BZ123" s="241"/>
      <c r="CJ123" s="241"/>
    </row>
    <row r="124" spans="17:88" x14ac:dyDescent="0.25">
      <c r="Q124" s="241"/>
      <c r="AZ124" s="241"/>
      <c r="BZ124" s="241"/>
      <c r="CJ124" s="241"/>
    </row>
    <row r="125" spans="17:88" x14ac:dyDescent="0.25">
      <c r="Q125" s="241"/>
      <c r="AZ125" s="241"/>
      <c r="BZ125" s="241"/>
      <c r="CJ125" s="241"/>
    </row>
  </sheetData>
  <phoneticPr fontId="3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17</vt:i4>
      </vt:variant>
    </vt:vector>
  </HeadingPairs>
  <TitlesOfParts>
    <vt:vector size="25" baseType="lpstr">
      <vt:lpstr>Menu</vt:lpstr>
      <vt:lpstr>MeasuredXMR</vt:lpstr>
      <vt:lpstr>MeasuredXbarR</vt:lpstr>
      <vt:lpstr>CountDefectives</vt:lpstr>
      <vt:lpstr>CountDefects</vt:lpstr>
      <vt:lpstr>SixSigmaLevels</vt:lpstr>
      <vt:lpstr>Calc</vt:lpstr>
      <vt:lpstr>ToU</vt:lpstr>
      <vt:lpstr>DPMOlevels</vt:lpstr>
      <vt:lpstr>DPMOlevelswos</vt:lpstr>
      <vt:lpstr>PCount</vt:lpstr>
      <vt:lpstr>Menu!Print_Area</vt:lpstr>
      <vt:lpstr>SixSigmaLevels!Print_Area</vt:lpstr>
      <vt:lpstr>ToU!Print_Area</vt:lpstr>
      <vt:lpstr>CountDefectives!Print_Titles</vt:lpstr>
      <vt:lpstr>CountDefects!Print_Titles</vt:lpstr>
      <vt:lpstr>MeasuredXbarR!Print_Titles</vt:lpstr>
      <vt:lpstr>MeasuredXMR!Print_Titles</vt:lpstr>
      <vt:lpstr>UCount</vt:lpstr>
      <vt:lpstr>XbarBell</vt:lpstr>
      <vt:lpstr>XbarBellCurve</vt:lpstr>
      <vt:lpstr>XbarCount</vt:lpstr>
      <vt:lpstr>XMRBell</vt:lpstr>
      <vt:lpstr>XMRBellCurve</vt:lpstr>
      <vt:lpstr>XMRCount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2023-03-16T13:40:18Z</cp:lastPrinted>
  <dcterms:created xsi:type="dcterms:W3CDTF">2018-11-13T14:01:04Z</dcterms:created>
  <dcterms:modified xsi:type="dcterms:W3CDTF">2023-03-23T13:17:00Z</dcterms:modified>
  <dc:title>Six Sigma Calculator V1 Template</dc:title>
  <dc:subject>Six Sigma Calculator V1</dc:subject>
  <dc:description>Six Sigma Calculator V1 template by Master Productivity Kit — masterproductivitykit.com</dc:description>
  <cp:keywords>Master Productivity Kit, Excel template, Google Sheets template</cp:keywords>
  <cp:category>Business Template</cp:category>
</cp:coreProperties>
</file>