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Tasks\S323_timelineGenerator_trial and fix\"/>
    </mc:Choice>
  </mc:AlternateContent>
  <xr:revisionPtr revIDLastSave="0" documentId="13_ncr:1_{BA865020-310E-4264-A905-BB8E0048A9B9}" xr6:coauthVersionLast="47" xr6:coauthVersionMax="47" xr10:uidLastSave="{00000000-0000-0000-0000-000000000000}"/>
  <bookViews>
    <workbookView showSheetTabs="0" xWindow="-120" yWindow="-120" windowWidth="29040" windowHeight="15840" xr2:uid="{C2CC8004-D3E7-41DE-8987-38DC11134C67}"/>
  </bookViews>
  <sheets>
    <sheet name="Dashboard" sheetId="1" r:id="rId1"/>
    <sheet name="Timeline" sheetId="3" r:id="rId2"/>
    <sheet name="Icons" sheetId="9" r:id="rId3"/>
    <sheet name="Calculations" sheetId="2" state="hidden" r:id="rId5"/>
    <sheet name="Picture" sheetId="8" state="hidden" r:id="rId6"/>
  </sheets>
  <functionGroups builtInGroupCount="19"/>
  <definedNames>
    <definedName name="boxDistance">Calculations!$C$7</definedName>
    <definedName name="clearArea">Dashboard!$B$6:$E$13</definedName>
    <definedName name="countall">Calculations!$F$2</definedName>
    <definedName name="countDates">Calculations!$AA$2</definedName>
    <definedName name="countEvents">Calculations!$G$2</definedName>
    <definedName name="dateDistance">Calculations!$C$8</definedName>
    <definedName name="dateFont">Calculations!$C$13</definedName>
    <definedName name="direction">Dashboard!$H$6</definedName>
    <definedName name="eventFont">Calculations!$C$14</definedName>
    <definedName name="icons">Dashboard!$H$15</definedName>
    <definedName name="iconsPos">Calculations!$AK$4:$AM$253</definedName>
    <definedName name="iconsTable">Icons!$B$6:$K$25</definedName>
    <definedName name="_xlnm.Print_Area" localSheetId="0">Dashboard!$B$2:$H$257</definedName>
    <definedName name="_xlnm.Print_Area" localSheetId="2">Icons!$B$2:$K$25</definedName>
    <definedName name="_xlnm.Print_Area" localSheetId="1">Timeline!$B$6:$AW$23</definedName>
    <definedName name="printCol">Calculations!$AQ$17</definedName>
    <definedName name="printRow">Calculations!$AP$17</definedName>
    <definedName name="rangeColor">Calculations!$AT$14</definedName>
    <definedName name="rangeColor2">Calculations!$AU$14</definedName>
    <definedName name="size">Calculations!$C$5</definedName>
    <definedName name="sizeD">Calculations!$C$12</definedName>
    <definedName name="sizeR">Calculations!$C$4</definedName>
    <definedName name="sizeW">Calculations!$C$6</definedName>
    <definedName name="start">Dashboard!$B$5</definedName>
    <definedName name="Tail1">Calculations!$AC$3</definedName>
    <definedName name="Tail2">Calculations!$AD$3</definedName>
    <definedName name="timelineStartColumn">Calculations!$C$10</definedName>
    <definedName name="timelineStartRow">Calculations!$C$9</definedName>
    <definedName name="tlColor">Calculations!$AR$14</definedName>
    <definedName name="tlColor2">Calculations!$AS$14</definedName>
    <definedName name="trialCount">Calculations!$AP$19</definedName>
    <definedName name="txtColor">Calculations!$AP$14</definedName>
    <definedName name="txtColor2">Calculations!$AQ$14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X85" i="2" l="1" a="1"/>
  <c r="AX85" i="2"/>
  <c r="AX86" i="2" a="1"/>
  <c r="AX86" i="2" s="1"/>
  <c r="AX87" i="2" a="1"/>
  <c r="AX87" i="2"/>
  <c r="AX88" i="2" a="1"/>
  <c r="AX88" i="2"/>
  <c r="AX89" i="2" a="1"/>
  <c r="AX89" i="2"/>
  <c r="AX90" i="2" a="1"/>
  <c r="AX90" i="2" s="1"/>
  <c r="AX91" i="2" a="1"/>
  <c r="AX91" i="2"/>
  <c r="AX92" i="2" a="1"/>
  <c r="AX92" i="2"/>
  <c r="AX93" i="2" a="1"/>
  <c r="AX93" i="2"/>
  <c r="AX94" i="2" a="1"/>
  <c r="AX94" i="2" s="1"/>
  <c r="AX95" i="2" a="1"/>
  <c r="AX95" i="2"/>
  <c r="AX96" i="2" a="1"/>
  <c r="AX96" i="2"/>
  <c r="AX97" i="2" a="1"/>
  <c r="AX97" i="2"/>
  <c r="AX98" i="2" a="1"/>
  <c r="AX98" i="2" s="1"/>
  <c r="AX99" i="2" a="1"/>
  <c r="AX99" i="2"/>
  <c r="AX100" i="2" a="1"/>
  <c r="AX100" i="2"/>
  <c r="AX101" i="2" a="1"/>
  <c r="AX101" i="2"/>
  <c r="AY101" i="2" s="1"/>
  <c r="AX102" i="2" a="1"/>
  <c r="AX102" i="2" s="1"/>
  <c r="AY102" i="2" s="1"/>
  <c r="AX103" i="2" a="1"/>
  <c r="AX103" i="2" s="1"/>
  <c r="AY103" i="2" s="1"/>
  <c r="AX84" i="2" a="1"/>
  <c r="AX84" i="2"/>
  <c r="AX65" i="2" a="1"/>
  <c r="AX65" i="2"/>
  <c r="AX66" i="2" a="1"/>
  <c r="AX66" i="2" s="1"/>
  <c r="AX67" i="2" a="1"/>
  <c r="AX67" i="2"/>
  <c r="AX68" i="2" a="1"/>
  <c r="AX68" i="2"/>
  <c r="AX69" i="2" a="1"/>
  <c r="AX69" i="2"/>
  <c r="AX70" i="2" a="1"/>
  <c r="AX70" i="2" s="1"/>
  <c r="AX71" i="2" a="1"/>
  <c r="AX71" i="2"/>
  <c r="AX72" i="2" a="1"/>
  <c r="AX72" i="2"/>
  <c r="AX73" i="2" a="1"/>
  <c r="AX73" i="2"/>
  <c r="AX74" i="2" a="1"/>
  <c r="AX74" i="2" s="1"/>
  <c r="AX75" i="2" a="1"/>
  <c r="AX75" i="2"/>
  <c r="AX76" i="2" a="1"/>
  <c r="AX76" i="2"/>
  <c r="AX77" i="2" a="1"/>
  <c r="AX77" i="2"/>
  <c r="AX78" i="2" a="1"/>
  <c r="AX78" i="2" s="1"/>
  <c r="AX79" i="2" a="1"/>
  <c r="AX79" i="2"/>
  <c r="AX80" i="2" a="1"/>
  <c r="AX80" i="2"/>
  <c r="AX81" i="2" a="1"/>
  <c r="AX81" i="2"/>
  <c r="AX82" i="2" a="1"/>
  <c r="AX82" i="2" s="1"/>
  <c r="AY82" i="2" s="1"/>
  <c r="AX83" i="2" a="1"/>
  <c r="AX83" i="2"/>
  <c r="AX64" i="2" a="1"/>
  <c r="AX64" i="2" s="1"/>
  <c r="AX45" i="2" a="1"/>
  <c r="AX45" i="2" s="1"/>
  <c r="AX46" i="2" a="1"/>
  <c r="AX46" i="2" s="1"/>
  <c r="AX47" i="2" a="1"/>
  <c r="AX47" i="2" s="1"/>
  <c r="AX48" i="2" a="1"/>
  <c r="AX48" i="2"/>
  <c r="AX49" i="2" a="1"/>
  <c r="AX49" i="2" s="1"/>
  <c r="AX50" i="2" a="1"/>
  <c r="AX50" i="2" s="1"/>
  <c r="AX51" i="2" a="1"/>
  <c r="AX51" i="2" s="1"/>
  <c r="AX52" i="2" a="1"/>
  <c r="AX52" i="2"/>
  <c r="AX53" i="2" a="1"/>
  <c r="AX53" i="2" s="1"/>
  <c r="AX54" i="2" a="1"/>
  <c r="AX54" i="2" s="1"/>
  <c r="AX55" i="2" a="1"/>
  <c r="AX55" i="2" s="1"/>
  <c r="AX56" i="2" a="1"/>
  <c r="AX56" i="2"/>
  <c r="AX57" i="2" a="1"/>
  <c r="AX57" i="2" s="1"/>
  <c r="AX58" i="2" a="1"/>
  <c r="AX58" i="2" s="1"/>
  <c r="AX59" i="2" a="1"/>
  <c r="AX59" i="2" s="1"/>
  <c r="AY59" i="2" s="1"/>
  <c r="AX60" i="2" a="1"/>
  <c r="AX60" i="2"/>
  <c r="AY60" i="2" s="1"/>
  <c r="AX61" i="2" a="1"/>
  <c r="AX61" i="2" s="1"/>
  <c r="AY61" i="2" s="1"/>
  <c r="AX62" i="2" a="1"/>
  <c r="AX62" i="2" s="1"/>
  <c r="AY62" i="2" s="1"/>
  <c r="AX63" i="2" a="1"/>
  <c r="AX63" i="2" s="1"/>
  <c r="AY63" i="2" s="1"/>
  <c r="AX44" i="2" a="1"/>
  <c r="AX44" i="2" s="1"/>
  <c r="AX25" i="2" a="1"/>
  <c r="AX25" i="2" s="1"/>
  <c r="AX26" i="2" a="1"/>
  <c r="AX26" i="2" s="1"/>
  <c r="AX27" i="2" a="1"/>
  <c r="AX27" i="2" s="1"/>
  <c r="AX28" i="2" a="1"/>
  <c r="AX28" i="2"/>
  <c r="AX29" i="2" a="1"/>
  <c r="AX29" i="2" s="1"/>
  <c r="AX30" i="2" a="1"/>
  <c r="AX30" i="2" s="1"/>
  <c r="AX31" i="2" a="1"/>
  <c r="AX31" i="2" s="1"/>
  <c r="AX32" i="2" a="1"/>
  <c r="AX32" i="2"/>
  <c r="AX33" i="2" a="1"/>
  <c r="AX33" i="2" s="1"/>
  <c r="AX34" i="2" a="1"/>
  <c r="AX34" i="2" s="1"/>
  <c r="AX35" i="2" a="1"/>
  <c r="AX35" i="2" s="1"/>
  <c r="AX36" i="2" a="1"/>
  <c r="AX36" i="2"/>
  <c r="AX37" i="2" a="1"/>
  <c r="AX37" i="2" s="1"/>
  <c r="AX38" i="2" a="1"/>
  <c r="AX38" i="2" s="1"/>
  <c r="AX39" i="2" a="1"/>
  <c r="AX39" i="2" s="1"/>
  <c r="AY39" i="2" s="1"/>
  <c r="AX40" i="2" a="1"/>
  <c r="AX40" i="2"/>
  <c r="AY40" i="2" s="1"/>
  <c r="AX41" i="2" a="1"/>
  <c r="AX41" i="2" s="1"/>
  <c r="AY41" i="2" s="1"/>
  <c r="AX42" i="2" a="1"/>
  <c r="AX42" i="2" s="1"/>
  <c r="AY42" i="2" s="1"/>
  <c r="AX43" i="2" a="1"/>
  <c r="AX43" i="2" s="1"/>
  <c r="AY43" i="2" s="1"/>
  <c r="AX24" i="2" a="1"/>
  <c r="AX24" i="2"/>
  <c r="AX5" i="2" a="1"/>
  <c r="AX5" i="2" s="1"/>
  <c r="AX6" i="2" a="1"/>
  <c r="AX6" i="2" s="1"/>
  <c r="AX7" i="2" a="1"/>
  <c r="AX7" i="2" s="1"/>
  <c r="AX8" i="2" a="1"/>
  <c r="AX8" i="2"/>
  <c r="AX9" i="2" a="1"/>
  <c r="AX9" i="2" s="1"/>
  <c r="AX10" i="2" a="1"/>
  <c r="AX10" i="2" s="1"/>
  <c r="AX11" i="2" a="1"/>
  <c r="AX11" i="2" s="1"/>
  <c r="AX12" i="2" a="1"/>
  <c r="AX12" i="2"/>
  <c r="AX13" i="2" a="1"/>
  <c r="AX13" i="2" s="1"/>
  <c r="AX14" i="2" a="1"/>
  <c r="AX14" i="2" s="1"/>
  <c r="AX15" i="2" a="1"/>
  <c r="AX15" i="2" s="1"/>
  <c r="AX16" i="2" a="1"/>
  <c r="AX16" i="2"/>
  <c r="AX17" i="2" a="1"/>
  <c r="AX17" i="2" s="1"/>
  <c r="AX18" i="2" a="1"/>
  <c r="AX18" i="2" s="1"/>
  <c r="AX19" i="2" a="1"/>
  <c r="AX19" i="2" s="1"/>
  <c r="AY19" i="2" s="1"/>
  <c r="AX20" i="2" a="1"/>
  <c r="AX20" i="2"/>
  <c r="AY20" i="2" s="1"/>
  <c r="AX21" i="2" a="1"/>
  <c r="AX21" i="2" s="1"/>
  <c r="AY21" i="2" s="1"/>
  <c r="AX22" i="2" a="1"/>
  <c r="AX22" i="2" s="1"/>
  <c r="AY22" i="2" s="1"/>
  <c r="AX23" i="2" a="1"/>
  <c r="AX23" i="2" s="1"/>
  <c r="AY23" i="2" s="1"/>
  <c r="AX4" i="2" a="1"/>
  <c r="AX4" i="2"/>
  <c r="H11" i="2"/>
  <c r="C12" i="2"/>
  <c r="C13" i="2"/>
  <c r="C14" i="2"/>
  <c r="G11" i="2"/>
  <c r="I11" i="2"/>
  <c r="C8" i="2"/>
  <c r="C7" i="2"/>
  <c r="C6" i="2"/>
  <c r="G4" i="2"/>
  <c r="G5" i="2"/>
  <c r="G6" i="2"/>
  <c r="G7" i="2"/>
  <c r="G8" i="2"/>
  <c r="G9" i="2"/>
  <c r="G10" i="2"/>
  <c r="H6" i="2"/>
  <c r="H4" i="2"/>
  <c r="H5" i="2"/>
  <c r="H7" i="2"/>
  <c r="H8" i="2"/>
  <c r="H9" i="2"/>
  <c r="H10" i="2"/>
  <c r="C5" i="2"/>
  <c r="I5" i="2"/>
  <c r="AY83" i="2"/>
  <c r="AY99" i="2"/>
  <c r="AY100" i="2"/>
  <c r="AY79" i="2"/>
  <c r="AY81" i="2"/>
  <c r="I4" i="2"/>
  <c r="K4" i="2"/>
  <c r="AY80" i="2"/>
  <c r="I6" i="2"/>
  <c r="I7" i="2"/>
  <c r="I8" i="2"/>
  <c r="I9" i="2"/>
  <c r="I10" i="2"/>
  <c r="F5" i="2"/>
  <c r="F6" i="2"/>
  <c r="F7" i="2"/>
  <c r="F8" i="2"/>
  <c r="F9" i="2"/>
  <c r="F10" i="2"/>
  <c r="F4" i="2"/>
  <c r="AO14" i="2"/>
  <c r="AU14" i="2" s="1"/>
  <c r="AT14" i="2" l="1"/>
  <c r="AP14" i="2"/>
  <c r="AS14" i="2"/>
  <c r="AR14" i="2"/>
  <c r="AY33" i="2"/>
  <c r="AY65" i="2"/>
  <c r="AQ14" i="2"/>
  <c r="P111" i="2" a="1"/>
  <c r="P111" i="2" s="1"/>
  <c r="AE111" i="2" s="1"/>
  <c r="P41" i="2" a="1"/>
  <c r="P41" i="2" s="1"/>
  <c r="N41" i="2" s="1"/>
  <c r="U41" i="2" s="1"/>
  <c r="P241" i="2" a="1"/>
  <c r="P241" i="2" s="1"/>
  <c r="AF241" i="2" s="1"/>
  <c r="P139" i="2" a="1"/>
  <c r="P139" i="2" s="1"/>
  <c r="AF139" i="2" s="1"/>
  <c r="P242" i="2" a="1"/>
  <c r="P242" i="2" s="1"/>
  <c r="AE242" i="2" s="1"/>
  <c r="P226" i="2" a="1"/>
  <c r="P226" i="2" s="1"/>
  <c r="AE226" i="2" s="1"/>
  <c r="P209" i="2" a="1"/>
  <c r="P209" i="2" s="1"/>
  <c r="AF209" i="2" s="1"/>
  <c r="P168" i="2" a="1"/>
  <c r="P168" i="2" s="1"/>
  <c r="N168" i="2" s="1"/>
  <c r="U168" i="2" s="1"/>
  <c r="P182" i="2" a="1"/>
  <c r="P182" i="2" s="1"/>
  <c r="AF182" i="2" s="1"/>
  <c r="P66" i="2" a="1"/>
  <c r="P66" i="2" s="1"/>
  <c r="AF66" i="2" s="1"/>
  <c r="P152" i="2" a="1"/>
  <c r="P152" i="2" s="1"/>
  <c r="AF152" i="2" s="1"/>
  <c r="P126" i="2" a="1"/>
  <c r="P126" i="2" s="1"/>
  <c r="AF126" i="2" s="1"/>
  <c r="P55" i="2" a="1"/>
  <c r="P55" i="2" s="1"/>
  <c r="N55" i="2" s="1"/>
  <c r="U55" i="2" s="1"/>
  <c r="P68" i="2" a="1"/>
  <c r="P68" i="2" s="1"/>
  <c r="P85" i="2" a="1"/>
  <c r="P85" i="2" s="1"/>
  <c r="AF85" i="2" s="1"/>
  <c r="P127" i="2" a="1"/>
  <c r="P127" i="2" s="1"/>
  <c r="N127" i="2" s="1"/>
  <c r="U127" i="2" s="1"/>
  <c r="P142" i="2" a="1"/>
  <c r="P142" i="2" s="1"/>
  <c r="AE142" i="2" s="1"/>
  <c r="P153" i="2" a="1"/>
  <c r="P153" i="2" s="1"/>
  <c r="AF153" i="2" s="1"/>
  <c r="P172" i="2" a="1"/>
  <c r="P172" i="2" s="1"/>
  <c r="P198" i="2" a="1"/>
  <c r="P198" i="2" s="1"/>
  <c r="N198" i="2" s="1"/>
  <c r="U198" i="2" s="1"/>
  <c r="P213" i="2" a="1"/>
  <c r="P213" i="2" s="1"/>
  <c r="AF213" i="2" s="1"/>
  <c r="P230" i="2" a="1"/>
  <c r="P230" i="2" s="1"/>
  <c r="P11" i="2" a="1"/>
  <c r="P11" i="2" s="1"/>
  <c r="P56" i="2" a="1"/>
  <c r="P56" i="2" s="1"/>
  <c r="P72" i="2" a="1"/>
  <c r="P72" i="2" s="1"/>
  <c r="P87" i="2" a="1"/>
  <c r="P87" i="2" s="1"/>
  <c r="P158" i="2" a="1"/>
  <c r="P158" i="2" s="1"/>
  <c r="P185" i="2" a="1"/>
  <c r="P185" i="2" s="1"/>
  <c r="N185" i="2" s="1"/>
  <c r="U185" i="2" s="1"/>
  <c r="P202" i="2" a="1"/>
  <c r="P202" i="2" s="1"/>
  <c r="N202" i="2" s="1"/>
  <c r="U202" i="2" s="1"/>
  <c r="P215" i="2" a="1"/>
  <c r="P215" i="2" s="1"/>
  <c r="P248" i="2" a="1"/>
  <c r="P248" i="2" s="1"/>
  <c r="AE248" i="2" s="1"/>
  <c r="P12" i="2" a="1"/>
  <c r="P12" i="2" s="1"/>
  <c r="N12" i="2" s="1"/>
  <c r="P34" i="2" a="1"/>
  <c r="P34" i="2" s="1"/>
  <c r="AF34" i="2" s="1"/>
  <c r="P57" i="2" a="1"/>
  <c r="P57" i="2" s="1"/>
  <c r="P90" i="2" a="1"/>
  <c r="P90" i="2" s="1"/>
  <c r="AF90" i="2" s="1"/>
  <c r="P102" i="2" a="1"/>
  <c r="P102" i="2" s="1"/>
  <c r="N102" i="2" s="1"/>
  <c r="P116" i="2" a="1"/>
  <c r="P116" i="2" s="1"/>
  <c r="N116" i="2" s="1"/>
  <c r="U116" i="2" s="1"/>
  <c r="P132" i="2" a="1"/>
  <c r="P132" i="2" s="1"/>
  <c r="P143" i="2" a="1"/>
  <c r="P143" i="2" s="1"/>
  <c r="N143" i="2" s="1"/>
  <c r="U143" i="2" s="1"/>
  <c r="P159" i="2" a="1"/>
  <c r="P159" i="2" s="1"/>
  <c r="AE159" i="2" s="1"/>
  <c r="P176" i="2" a="1"/>
  <c r="P176" i="2" s="1"/>
  <c r="P186" i="2" a="1"/>
  <c r="P186" i="2" s="1"/>
  <c r="AF186" i="2" s="1"/>
  <c r="P203" i="2" a="1"/>
  <c r="P203" i="2" s="1"/>
  <c r="P219" i="2" a="1"/>
  <c r="P219" i="2" s="1"/>
  <c r="AF219" i="2" s="1"/>
  <c r="P231" i="2" a="1"/>
  <c r="P231" i="2" s="1"/>
  <c r="N231" i="2" s="1"/>
  <c r="U231" i="2" s="1"/>
  <c r="P249" i="2" a="1"/>
  <c r="P249" i="2" s="1"/>
  <c r="AF249" i="2" s="1"/>
  <c r="P35" i="2" a="1"/>
  <c r="P35" i="2" s="1"/>
  <c r="P46" i="2" a="1"/>
  <c r="P46" i="2" s="1"/>
  <c r="P60" i="2" a="1"/>
  <c r="P60" i="2" s="1"/>
  <c r="N60" i="2" s="1"/>
  <c r="U60" i="2" s="1"/>
  <c r="P74" i="2" a="1"/>
  <c r="P74" i="2" s="1"/>
  <c r="P91" i="2" a="1"/>
  <c r="P91" i="2" s="1"/>
  <c r="P106" i="2" a="1"/>
  <c r="P106" i="2" s="1"/>
  <c r="P118" i="2" a="1"/>
  <c r="P118" i="2" s="1"/>
  <c r="N118" i="2" s="1"/>
  <c r="U118" i="2" s="1"/>
  <c r="P147" i="2" a="1"/>
  <c r="P147" i="2" s="1"/>
  <c r="N147" i="2" s="1"/>
  <c r="U147" i="2" s="1"/>
  <c r="P161" i="2" a="1"/>
  <c r="P161" i="2" s="1"/>
  <c r="AF161" i="2" s="1"/>
  <c r="P190" i="2" a="1"/>
  <c r="P190" i="2" s="1"/>
  <c r="AE190" i="2" s="1"/>
  <c r="P220" i="2" a="1"/>
  <c r="P220" i="2" s="1"/>
  <c r="P235" i="2" a="1"/>
  <c r="P235" i="2" s="1"/>
  <c r="AE235" i="2" s="1"/>
  <c r="P251" i="2" a="1"/>
  <c r="P251" i="2" s="1"/>
  <c r="AF251" i="2" s="1"/>
  <c r="P18" i="2" a="1"/>
  <c r="P18" i="2" s="1"/>
  <c r="N18" i="2" s="1"/>
  <c r="U18" i="2" s="1"/>
  <c r="P47" i="2" a="1"/>
  <c r="P47" i="2" s="1"/>
  <c r="N47" i="2" s="1"/>
  <c r="U47" i="2" s="1"/>
  <c r="P78" i="2" a="1"/>
  <c r="P78" i="2" s="1"/>
  <c r="N78" i="2" s="1"/>
  <c r="U78" i="2" s="1"/>
  <c r="P122" i="2" a="1"/>
  <c r="P122" i="2" s="1"/>
  <c r="P133" i="2" a="1"/>
  <c r="P133" i="2" s="1"/>
  <c r="P165" i="2" a="1"/>
  <c r="P165" i="2" s="1"/>
  <c r="AF165" i="2" s="1"/>
  <c r="P177" i="2" a="1"/>
  <c r="P177" i="2" s="1"/>
  <c r="AF177" i="2" s="1"/>
  <c r="P191" i="2" a="1"/>
  <c r="P191" i="2" s="1"/>
  <c r="P236" i="2" a="1"/>
  <c r="P236" i="2" s="1"/>
  <c r="P38" i="2" a="1"/>
  <c r="P38" i="2" s="1"/>
  <c r="AF38" i="2" s="1"/>
  <c r="P62" i="2" a="1"/>
  <c r="P62" i="2" s="1"/>
  <c r="P96" i="2" a="1"/>
  <c r="P96" i="2" s="1"/>
  <c r="P108" i="2" a="1"/>
  <c r="P108" i="2" s="1"/>
  <c r="P149" i="2" a="1"/>
  <c r="P149" i="2" s="1"/>
  <c r="AE149" i="2" s="1"/>
  <c r="P166" i="2" a="1"/>
  <c r="P166" i="2" s="1"/>
  <c r="P193" i="2" a="1"/>
  <c r="P193" i="2" s="1"/>
  <c r="P207" i="2" a="1"/>
  <c r="P207" i="2" s="1"/>
  <c r="N207" i="2" s="1"/>
  <c r="U207" i="2" s="1"/>
  <c r="P224" i="2" a="1"/>
  <c r="P224" i="2" s="1"/>
  <c r="AF224" i="2" s="1"/>
  <c r="P237" i="2" a="1"/>
  <c r="P237" i="2" s="1"/>
  <c r="AE237" i="2" s="1"/>
  <c r="P4" i="2" a="1"/>
  <c r="P4" i="2" s="1"/>
  <c r="P24" i="2" a="1"/>
  <c r="P24" i="2" s="1"/>
  <c r="N24" i="2" s="1"/>
  <c r="U24" i="2" s="1"/>
  <c r="P39" i="2" a="1"/>
  <c r="P39" i="2" s="1"/>
  <c r="N39" i="2" s="1"/>
  <c r="U39" i="2" s="1"/>
  <c r="P51" i="2" a="1"/>
  <c r="P51" i="2" s="1"/>
  <c r="P65" i="2" a="1"/>
  <c r="P65" i="2" s="1"/>
  <c r="P80" i="2" a="1"/>
  <c r="P80" i="2" s="1"/>
  <c r="P97" i="2" a="1"/>
  <c r="P97" i="2" s="1"/>
  <c r="N97" i="2" s="1"/>
  <c r="U97" i="2" s="1"/>
  <c r="P137" i="2" a="1"/>
  <c r="P137" i="2" s="1"/>
  <c r="N137" i="2" s="1"/>
  <c r="U137" i="2" s="1"/>
  <c r="P98" i="2" a="1"/>
  <c r="P98" i="2" s="1"/>
  <c r="AF98" i="2" s="1"/>
  <c r="P171" i="2" a="1"/>
  <c r="P171" i="2" s="1"/>
  <c r="N171" i="2" s="1"/>
  <c r="U171" i="2" s="1"/>
  <c r="P84" i="2" a="1"/>
  <c r="P84" i="2" s="1"/>
  <c r="N152" i="2"/>
  <c r="U152" i="2" s="1"/>
  <c r="AE152" i="2"/>
  <c r="AF41" i="2"/>
  <c r="P197" i="2" a="1"/>
  <c r="P197" i="2" s="1"/>
  <c r="AF197" i="2" s="1"/>
  <c r="P21" i="2" a="1"/>
  <c r="P21" i="2" s="1"/>
  <c r="AE21" i="2" s="1"/>
  <c r="P7" i="2" a="1"/>
  <c r="P7" i="2" s="1"/>
  <c r="P8" i="2" a="1"/>
  <c r="P8" i="2" s="1"/>
  <c r="P6" i="2" a="1"/>
  <c r="P6" i="2" s="1"/>
  <c r="P13" i="2" a="1"/>
  <c r="P13" i="2" s="1"/>
  <c r="AE13" i="2" s="1"/>
  <c r="P19" i="2" a="1"/>
  <c r="P19" i="2" s="1"/>
  <c r="P25" i="2" a="1"/>
  <c r="P25" i="2" s="1"/>
  <c r="AE25" i="2" s="1"/>
  <c r="P30" i="2" a="1"/>
  <c r="P30" i="2" s="1"/>
  <c r="N30" i="2" s="1"/>
  <c r="U30" i="2" s="1"/>
  <c r="P42" i="2" a="1"/>
  <c r="P42" i="2" s="1"/>
  <c r="AF42" i="2" s="1"/>
  <c r="P52" i="2" a="1"/>
  <c r="P52" i="2" s="1"/>
  <c r="P61" i="2" a="1"/>
  <c r="P61" i="2" s="1"/>
  <c r="AF61" i="2" s="1"/>
  <c r="P67" i="2" a="1"/>
  <c r="P67" i="2" s="1"/>
  <c r="P73" i="2" a="1"/>
  <c r="P73" i="2" s="1"/>
  <c r="N73" i="2" s="1"/>
  <c r="U73" i="2" s="1"/>
  <c r="P79" i="2" a="1"/>
  <c r="P79" i="2" s="1"/>
  <c r="P86" i="2" a="1"/>
  <c r="P86" i="2" s="1"/>
  <c r="N86" i="2" s="1"/>
  <c r="U86" i="2" s="1"/>
  <c r="P92" i="2" a="1"/>
  <c r="P92" i="2" s="1"/>
  <c r="AF92" i="2" s="1"/>
  <c r="P101" i="2" a="1"/>
  <c r="P101" i="2" s="1"/>
  <c r="N101" i="2" s="1"/>
  <c r="U101" i="2" s="1"/>
  <c r="P107" i="2" a="1"/>
  <c r="P107" i="2" s="1"/>
  <c r="N107" i="2" s="1"/>
  <c r="U107" i="2" s="1"/>
  <c r="P112" i="2" a="1"/>
  <c r="P112" i="2" s="1"/>
  <c r="P117" i="2" a="1"/>
  <c r="P117" i="2" s="1"/>
  <c r="P123" i="2" a="1"/>
  <c r="P123" i="2" s="1"/>
  <c r="N123" i="2" s="1"/>
  <c r="U123" i="2" s="1"/>
  <c r="P128" i="2" a="1"/>
  <c r="P128" i="2" s="1"/>
  <c r="AF128" i="2" s="1"/>
  <c r="P138" i="2" a="1"/>
  <c r="P138" i="2" s="1"/>
  <c r="N138" i="2" s="1"/>
  <c r="U138" i="2" s="1"/>
  <c r="P148" i="2" a="1"/>
  <c r="P148" i="2" s="1"/>
  <c r="AF148" i="2" s="1"/>
  <c r="P160" i="2" a="1"/>
  <c r="P160" i="2" s="1"/>
  <c r="AF160" i="2" s="1"/>
  <c r="P167" i="2" a="1"/>
  <c r="P167" i="2" s="1"/>
  <c r="N167" i="2" s="1"/>
  <c r="U167" i="2" s="1"/>
  <c r="P181" i="2" a="1"/>
  <c r="P181" i="2" s="1"/>
  <c r="AF181" i="2" s="1"/>
  <c r="P192" i="2" a="1"/>
  <c r="P192" i="2" s="1"/>
  <c r="P204" i="2" a="1"/>
  <c r="P204" i="2" s="1"/>
  <c r="P208" i="2" a="1"/>
  <c r="P208" i="2" s="1"/>
  <c r="P214" i="2" a="1"/>
  <c r="P214" i="2" s="1"/>
  <c r="AF214" i="2" s="1"/>
  <c r="P225" i="2" a="1"/>
  <c r="P225" i="2" s="1"/>
  <c r="AF225" i="2" s="1"/>
  <c r="P243" i="2" a="1"/>
  <c r="P243" i="2" s="1"/>
  <c r="P250" i="2" a="1"/>
  <c r="P250" i="2" s="1"/>
  <c r="N250" i="2" s="1"/>
  <c r="U250" i="2" s="1"/>
  <c r="P14" i="2" a="1"/>
  <c r="P14" i="2" s="1"/>
  <c r="P9" i="2" a="1"/>
  <c r="P9" i="2" s="1"/>
  <c r="P15" i="2" a="1"/>
  <c r="P15" i="2" s="1"/>
  <c r="AE15" i="2" s="1"/>
  <c r="P20" i="2" a="1"/>
  <c r="P20" i="2" s="1"/>
  <c r="P26" i="2" a="1"/>
  <c r="P26" i="2" s="1"/>
  <c r="N26" i="2" s="1"/>
  <c r="U26" i="2" s="1"/>
  <c r="P31" i="2" a="1"/>
  <c r="P31" i="2" s="1"/>
  <c r="N31" i="2" s="1"/>
  <c r="U31" i="2" s="1"/>
  <c r="P43" i="2" a="1"/>
  <c r="P43" i="2" s="1"/>
  <c r="N43" i="2" s="1"/>
  <c r="U43" i="2" s="1"/>
  <c r="P48" i="2" a="1"/>
  <c r="P48" i="2" s="1"/>
  <c r="P93" i="2" a="1"/>
  <c r="P93" i="2" s="1"/>
  <c r="N93" i="2" s="1"/>
  <c r="U93" i="2" s="1"/>
  <c r="P103" i="2" a="1"/>
  <c r="P103" i="2" s="1"/>
  <c r="P113" i="2" a="1"/>
  <c r="P113" i="2" s="1"/>
  <c r="N113" i="2" s="1"/>
  <c r="U113" i="2" s="1"/>
  <c r="P119" i="2" a="1"/>
  <c r="P119" i="2" s="1"/>
  <c r="P124" i="2" a="1"/>
  <c r="P124" i="2" s="1"/>
  <c r="P129" i="2" a="1"/>
  <c r="P129" i="2" s="1"/>
  <c r="P144" i="2" a="1"/>
  <c r="P144" i="2" s="1"/>
  <c r="AF144" i="2" s="1"/>
  <c r="P150" i="2" a="1"/>
  <c r="P150" i="2" s="1"/>
  <c r="P154" i="2" a="1"/>
  <c r="P154" i="2" s="1"/>
  <c r="P162" i="2" a="1"/>
  <c r="P162" i="2" s="1"/>
  <c r="P173" i="2" a="1"/>
  <c r="P173" i="2" s="1"/>
  <c r="AF173" i="2" s="1"/>
  <c r="P178" i="2" a="1"/>
  <c r="P178" i="2" s="1"/>
  <c r="P187" i="2" a="1"/>
  <c r="P187" i="2" s="1"/>
  <c r="N187" i="2" s="1"/>
  <c r="U187" i="2" s="1"/>
  <c r="P194" i="2" a="1"/>
  <c r="P194" i="2" s="1"/>
  <c r="N194" i="2" s="1"/>
  <c r="U194" i="2" s="1"/>
  <c r="P199" i="2" a="1"/>
  <c r="P199" i="2" s="1"/>
  <c r="AF199" i="2" s="1"/>
  <c r="P205" i="2" a="1"/>
  <c r="P205" i="2" s="1"/>
  <c r="P216" i="2" a="1"/>
  <c r="P216" i="2" s="1"/>
  <c r="P221" i="2" a="1"/>
  <c r="P221" i="2" s="1"/>
  <c r="AE221" i="2" s="1"/>
  <c r="P227" i="2" a="1"/>
  <c r="P227" i="2" s="1"/>
  <c r="N227" i="2" s="1"/>
  <c r="U227" i="2" s="1"/>
  <c r="P232" i="2" a="1"/>
  <c r="P232" i="2" s="1"/>
  <c r="AE232" i="2" s="1"/>
  <c r="P238" i="2" a="1"/>
  <c r="P238" i="2" s="1"/>
  <c r="N238" i="2" s="1"/>
  <c r="U238" i="2" s="1"/>
  <c r="P244" i="2" a="1"/>
  <c r="P244" i="2" s="1"/>
  <c r="AF244" i="2" s="1"/>
  <c r="P252" i="2" a="1"/>
  <c r="P252" i="2" s="1"/>
  <c r="AF252" i="2" s="1"/>
  <c r="P27" i="2" a="1"/>
  <c r="P27" i="2" s="1"/>
  <c r="P32" i="2" a="1"/>
  <c r="P32" i="2" s="1"/>
  <c r="N32" i="2" s="1"/>
  <c r="U32" i="2" s="1"/>
  <c r="P36" i="2" a="1"/>
  <c r="P36" i="2" s="1"/>
  <c r="P40" i="2" a="1"/>
  <c r="P40" i="2" s="1"/>
  <c r="P53" i="2" a="1"/>
  <c r="P53" i="2" s="1"/>
  <c r="P58" i="2" a="1"/>
  <c r="P58" i="2" s="1"/>
  <c r="AE58" i="2" s="1"/>
  <c r="P63" i="2" a="1"/>
  <c r="P63" i="2" s="1"/>
  <c r="AF63" i="2" s="1"/>
  <c r="P69" i="2" a="1"/>
  <c r="P69" i="2" s="1"/>
  <c r="N69" i="2" s="1"/>
  <c r="U69" i="2" s="1"/>
  <c r="P75" i="2" a="1"/>
  <c r="P75" i="2" s="1"/>
  <c r="P81" i="2" a="1"/>
  <c r="P81" i="2" s="1"/>
  <c r="N81" i="2" s="1"/>
  <c r="U81" i="2" s="1"/>
  <c r="P88" i="2" a="1"/>
  <c r="P88" i="2" s="1"/>
  <c r="N88" i="2" s="1"/>
  <c r="U88" i="2" s="1"/>
  <c r="P99" i="2" a="1"/>
  <c r="P99" i="2" s="1"/>
  <c r="N99" i="2" s="1"/>
  <c r="U99" i="2" s="1"/>
  <c r="P104" i="2" a="1"/>
  <c r="P104" i="2" s="1"/>
  <c r="P109" i="2" a="1"/>
  <c r="P109" i="2" s="1"/>
  <c r="P114" i="2" a="1"/>
  <c r="P114" i="2" s="1"/>
  <c r="AE114" i="2" s="1"/>
  <c r="P120" i="2" a="1"/>
  <c r="P120" i="2" s="1"/>
  <c r="P134" i="2" a="1"/>
  <c r="P134" i="2" s="1"/>
  <c r="AF134" i="2" s="1"/>
  <c r="P140" i="2" a="1"/>
  <c r="P140" i="2" s="1"/>
  <c r="P145" i="2" a="1"/>
  <c r="P145" i="2" s="1"/>
  <c r="P155" i="2" a="1"/>
  <c r="P155" i="2" s="1"/>
  <c r="N155" i="2" s="1"/>
  <c r="U155" i="2" s="1"/>
  <c r="P163" i="2" a="1"/>
  <c r="P163" i="2" s="1"/>
  <c r="N163" i="2" s="1"/>
  <c r="U163" i="2" s="1"/>
  <c r="P169" i="2" a="1"/>
  <c r="P169" i="2" s="1"/>
  <c r="AF169" i="2" s="1"/>
  <c r="P174" i="2" a="1"/>
  <c r="P174" i="2" s="1"/>
  <c r="P183" i="2" a="1"/>
  <c r="P183" i="2" s="1"/>
  <c r="N183" i="2" s="1"/>
  <c r="U183" i="2" s="1"/>
  <c r="P188" i="2" a="1"/>
  <c r="P188" i="2" s="1"/>
  <c r="P195" i="2" a="1"/>
  <c r="P195" i="2" s="1"/>
  <c r="AF195" i="2" s="1"/>
  <c r="P200" i="2" a="1"/>
  <c r="P200" i="2" s="1"/>
  <c r="P210" i="2" a="1"/>
  <c r="P210" i="2" s="1"/>
  <c r="N210" i="2" s="1"/>
  <c r="U210" i="2" s="1"/>
  <c r="P228" i="2" a="1"/>
  <c r="P228" i="2" s="1"/>
  <c r="AF228" i="2" s="1"/>
  <c r="P239" i="2" a="1"/>
  <c r="P239" i="2" s="1"/>
  <c r="AF239" i="2" s="1"/>
  <c r="P245" i="2" a="1"/>
  <c r="P245" i="2" s="1"/>
  <c r="AE245" i="2" s="1"/>
  <c r="P16" i="2" a="1"/>
  <c r="P16" i="2" s="1"/>
  <c r="N16" i="2" s="1"/>
  <c r="U16" i="2" s="1"/>
  <c r="P22" i="2" a="1"/>
  <c r="P22" i="2" s="1"/>
  <c r="AE22" i="2" s="1"/>
  <c r="P28" i="2" a="1"/>
  <c r="P28" i="2" s="1"/>
  <c r="N28" i="2" s="1"/>
  <c r="U28" i="2" s="1"/>
  <c r="P33" i="2" a="1"/>
  <c r="P33" i="2" s="1"/>
  <c r="P44" i="2" a="1"/>
  <c r="P44" i="2" s="1"/>
  <c r="P49" i="2" a="1"/>
  <c r="P49" i="2" s="1"/>
  <c r="P54" i="2" a="1"/>
  <c r="P54" i="2" s="1"/>
  <c r="N54" i="2" s="1"/>
  <c r="U54" i="2" s="1"/>
  <c r="P64" i="2" a="1"/>
  <c r="P64" i="2" s="1"/>
  <c r="P70" i="2" a="1"/>
  <c r="P70" i="2" s="1"/>
  <c r="N70" i="2" s="1"/>
  <c r="U70" i="2" s="1"/>
  <c r="P76" i="2" a="1"/>
  <c r="P76" i="2" s="1"/>
  <c r="P82" i="2" a="1"/>
  <c r="P82" i="2" s="1"/>
  <c r="AF82" i="2" s="1"/>
  <c r="P94" i="2" a="1"/>
  <c r="P94" i="2" s="1"/>
  <c r="P105" i="2" a="1"/>
  <c r="P105" i="2" s="1"/>
  <c r="N105" i="2" s="1"/>
  <c r="U105" i="2" s="1"/>
  <c r="P125" i="2" a="1"/>
  <c r="P125" i="2" s="1"/>
  <c r="AF125" i="2" s="1"/>
  <c r="P130" i="2" a="1"/>
  <c r="P130" i="2" s="1"/>
  <c r="N130" i="2" s="1"/>
  <c r="U130" i="2" s="1"/>
  <c r="P135" i="2" a="1"/>
  <c r="P135" i="2" s="1"/>
  <c r="N135" i="2" s="1"/>
  <c r="U135" i="2" s="1"/>
  <c r="P141" i="2" a="1"/>
  <c r="P141" i="2" s="1"/>
  <c r="P146" i="2" a="1"/>
  <c r="P146" i="2" s="1"/>
  <c r="P156" i="2" a="1"/>
  <c r="P156" i="2" s="1"/>
  <c r="AF156" i="2" s="1"/>
  <c r="P164" i="2" a="1"/>
  <c r="P164" i="2" s="1"/>
  <c r="P170" i="2" a="1"/>
  <c r="P170" i="2" s="1"/>
  <c r="P179" i="2" a="1"/>
  <c r="P179" i="2" s="1"/>
  <c r="N179" i="2" s="1"/>
  <c r="U179" i="2" s="1"/>
  <c r="P184" i="2" a="1"/>
  <c r="P184" i="2" s="1"/>
  <c r="P189" i="2" a="1"/>
  <c r="P189" i="2" s="1"/>
  <c r="AE189" i="2" s="1"/>
  <c r="P196" i="2" a="1"/>
  <c r="P196" i="2" s="1"/>
  <c r="P211" i="2" a="1"/>
  <c r="P211" i="2" s="1"/>
  <c r="N211" i="2" s="1"/>
  <c r="U211" i="2" s="1"/>
  <c r="P217" i="2" a="1"/>
  <c r="P217" i="2" s="1"/>
  <c r="AF217" i="2" s="1"/>
  <c r="P222" i="2" a="1"/>
  <c r="P222" i="2" s="1"/>
  <c r="P229" i="2" a="1"/>
  <c r="P229" i="2" s="1"/>
  <c r="AE229" i="2" s="1"/>
  <c r="P233" i="2" a="1"/>
  <c r="P233" i="2" s="1"/>
  <c r="AF233" i="2" s="1"/>
  <c r="P240" i="2" a="1"/>
  <c r="P240" i="2" s="1"/>
  <c r="AE240" i="2" s="1"/>
  <c r="P246" i="2" a="1"/>
  <c r="P246" i="2" s="1"/>
  <c r="N246" i="2" s="1"/>
  <c r="U246" i="2" s="1"/>
  <c r="P253" i="2" a="1"/>
  <c r="P253" i="2" s="1"/>
  <c r="AF253" i="2" s="1"/>
  <c r="P10" i="2" a="1"/>
  <c r="P10" i="2" s="1"/>
  <c r="P17" i="2" a="1"/>
  <c r="P17" i="2" s="1"/>
  <c r="AE17" i="2" s="1"/>
  <c r="P23" i="2" a="1"/>
  <c r="P23" i="2" s="1"/>
  <c r="N23" i="2" s="1"/>
  <c r="U23" i="2" s="1"/>
  <c r="P29" i="2" a="1"/>
  <c r="P29" i="2" s="1"/>
  <c r="P37" i="2" a="1"/>
  <c r="P37" i="2" s="1"/>
  <c r="N37" i="2" s="1"/>
  <c r="U37" i="2" s="1"/>
  <c r="P45" i="2" a="1"/>
  <c r="P45" i="2" s="1"/>
  <c r="N45" i="2" s="1"/>
  <c r="U45" i="2" s="1"/>
  <c r="P50" i="2" a="1"/>
  <c r="P50" i="2" s="1"/>
  <c r="AF50" i="2" s="1"/>
  <c r="P59" i="2" a="1"/>
  <c r="P59" i="2" s="1"/>
  <c r="N59" i="2" s="1"/>
  <c r="U59" i="2" s="1"/>
  <c r="P71" i="2" a="1"/>
  <c r="P71" i="2" s="1"/>
  <c r="N71" i="2" s="1"/>
  <c r="U71" i="2" s="1"/>
  <c r="P77" i="2" a="1"/>
  <c r="P77" i="2" s="1"/>
  <c r="AF77" i="2" s="1"/>
  <c r="P83" i="2" a="1"/>
  <c r="P83" i="2" s="1"/>
  <c r="N83" i="2" s="1"/>
  <c r="U83" i="2" s="1"/>
  <c r="P89" i="2" a="1"/>
  <c r="P89" i="2" s="1"/>
  <c r="N89" i="2" s="1"/>
  <c r="U89" i="2" s="1"/>
  <c r="P95" i="2" a="1"/>
  <c r="P95" i="2" s="1"/>
  <c r="N95" i="2" s="1"/>
  <c r="U95" i="2" s="1"/>
  <c r="P100" i="2" a="1"/>
  <c r="P100" i="2" s="1"/>
  <c r="P110" i="2" a="1"/>
  <c r="P110" i="2" s="1"/>
  <c r="P115" i="2" a="1"/>
  <c r="P115" i="2" s="1"/>
  <c r="P121" i="2" a="1"/>
  <c r="P121" i="2" s="1"/>
  <c r="AF121" i="2" s="1"/>
  <c r="P131" i="2" a="1"/>
  <c r="P131" i="2" s="1"/>
  <c r="N131" i="2" s="1"/>
  <c r="U131" i="2" s="1"/>
  <c r="P136" i="2" a="1"/>
  <c r="P136" i="2" s="1"/>
  <c r="P151" i="2" a="1"/>
  <c r="P151" i="2" s="1"/>
  <c r="AE151" i="2" s="1"/>
  <c r="P157" i="2" a="1"/>
  <c r="P157" i="2" s="1"/>
  <c r="AF157" i="2" s="1"/>
  <c r="P175" i="2" a="1"/>
  <c r="P175" i="2" s="1"/>
  <c r="N175" i="2" s="1"/>
  <c r="U175" i="2" s="1"/>
  <c r="P180" i="2" a="1"/>
  <c r="P180" i="2" s="1"/>
  <c r="P201" i="2" a="1"/>
  <c r="P201" i="2" s="1"/>
  <c r="AF201" i="2" s="1"/>
  <c r="P206" i="2" a="1"/>
  <c r="P206" i="2" s="1"/>
  <c r="N206" i="2" s="1"/>
  <c r="P212" i="2" a="1"/>
  <c r="P212" i="2" s="1"/>
  <c r="P218" i="2" a="1"/>
  <c r="P218" i="2" s="1"/>
  <c r="P223" i="2" a="1"/>
  <c r="P223" i="2" s="1"/>
  <c r="AF223" i="2" s="1"/>
  <c r="P234" i="2" a="1"/>
  <c r="P234" i="2" s="1"/>
  <c r="N234" i="2" s="1"/>
  <c r="U234" i="2" s="1"/>
  <c r="P247" i="2" a="1"/>
  <c r="P247" i="2" s="1"/>
  <c r="AF247" i="2" s="1"/>
  <c r="AY52" i="2"/>
  <c r="AY97" i="2"/>
  <c r="AY73" i="2"/>
  <c r="AY91" i="2"/>
  <c r="AY75" i="2"/>
  <c r="AY67" i="2"/>
  <c r="AY51" i="2"/>
  <c r="AY35" i="2"/>
  <c r="AY27" i="2"/>
  <c r="AY11" i="2"/>
  <c r="AY36" i="2"/>
  <c r="AY9" i="2"/>
  <c r="AY50" i="2"/>
  <c r="AY18" i="2"/>
  <c r="AY84" i="2"/>
  <c r="AY44" i="2"/>
  <c r="AY49" i="2"/>
  <c r="AY17" i="2"/>
  <c r="AY92" i="2"/>
  <c r="AY13" i="2"/>
  <c r="AY58" i="2"/>
  <c r="AY26" i="2"/>
  <c r="AY5" i="2"/>
  <c r="AY4" i="2"/>
  <c r="AY98" i="2"/>
  <c r="AY10" i="2"/>
  <c r="AY76" i="2"/>
  <c r="AY28" i="2"/>
  <c r="AY90" i="2"/>
  <c r="AY57" i="2"/>
  <c r="AY25" i="2"/>
  <c r="AY74" i="2"/>
  <c r="AY68" i="2"/>
  <c r="AY12" i="2"/>
  <c r="AY89" i="2"/>
  <c r="AY66" i="2"/>
  <c r="AY34" i="2"/>
  <c r="AY94" i="2"/>
  <c r="AY86" i="2"/>
  <c r="AY96" i="2"/>
  <c r="AY88" i="2"/>
  <c r="AY72" i="2"/>
  <c r="AY64" i="2"/>
  <c r="AY56" i="2"/>
  <c r="AY48" i="2"/>
  <c r="AY32" i="2"/>
  <c r="AY24" i="2"/>
  <c r="AY16" i="2"/>
  <c r="AY8" i="2"/>
  <c r="AY95" i="2"/>
  <c r="AY87" i="2"/>
  <c r="AY71" i="2"/>
  <c r="AY55" i="2"/>
  <c r="AY47" i="2"/>
  <c r="AY31" i="2"/>
  <c r="AY15" i="2"/>
  <c r="AY7" i="2"/>
  <c r="AY78" i="2"/>
  <c r="AY70" i="2"/>
  <c r="AY54" i="2"/>
  <c r="AY46" i="2"/>
  <c r="AY38" i="2"/>
  <c r="AY30" i="2"/>
  <c r="AY14" i="2"/>
  <c r="AY6" i="2"/>
  <c r="AY93" i="2"/>
  <c r="AY85" i="2"/>
  <c r="AY77" i="2"/>
  <c r="AY69" i="2"/>
  <c r="AY53" i="2"/>
  <c r="AY45" i="2"/>
  <c r="AY37" i="2"/>
  <c r="AY29" i="2"/>
  <c r="AF235" i="2"/>
  <c r="N191" i="2"/>
  <c r="U191" i="2" s="1"/>
  <c r="AE191" i="2"/>
  <c r="AF191" i="2"/>
  <c r="N90" i="2"/>
  <c r="U90" i="2" s="1"/>
  <c r="AE90" i="2"/>
  <c r="AE66" i="2"/>
  <c r="N74" i="2"/>
  <c r="U74" i="2" s="1"/>
  <c r="H2" i="2"/>
  <c r="N153" i="2"/>
  <c r="U153" i="2" s="1"/>
  <c r="AE153" i="2"/>
  <c r="P5" i="2" a="1"/>
  <c r="P5" i="2" s="1"/>
  <c r="G2" i="2"/>
  <c r="L4" i="2" s="1"/>
  <c r="N235" i="2"/>
  <c r="U235" i="2" s="1"/>
  <c r="N193" i="2"/>
  <c r="U193" i="2" s="1"/>
  <c r="N251" i="2"/>
  <c r="AE251" i="2"/>
  <c r="N242" i="2"/>
  <c r="U242" i="2" s="1"/>
  <c r="AF242" i="2"/>
  <c r="AE241" i="2"/>
  <c r="N241" i="2"/>
  <c r="U241" i="2" s="1"/>
  <c r="AE208" i="2"/>
  <c r="N203" i="2"/>
  <c r="U203" i="2" s="1"/>
  <c r="AE192" i="2"/>
  <c r="N177" i="2"/>
  <c r="AE177" i="2"/>
  <c r="N186" i="2"/>
  <c r="U186" i="2" s="1"/>
  <c r="AE186" i="2"/>
  <c r="AE128" i="2"/>
  <c r="N128" i="2"/>
  <c r="U128" i="2" s="1"/>
  <c r="N139" i="2"/>
  <c r="U139" i="2" s="1"/>
  <c r="N126" i="2"/>
  <c r="U126" i="2" s="1"/>
  <c r="N119" i="2"/>
  <c r="U119" i="2" s="1"/>
  <c r="N91" i="2"/>
  <c r="U91" i="2" s="1"/>
  <c r="N79" i="2"/>
  <c r="U79" i="2" s="1"/>
  <c r="N57" i="2"/>
  <c r="U57" i="2" s="1"/>
  <c r="N49" i="2"/>
  <c r="U49" i="2" s="1"/>
  <c r="N65" i="2"/>
  <c r="U65" i="2" s="1"/>
  <c r="N51" i="2"/>
  <c r="U51" i="2" s="1"/>
  <c r="N53" i="2"/>
  <c r="U53" i="2" s="1"/>
  <c r="N20" i="2"/>
  <c r="U20" i="2" s="1"/>
  <c r="AE34" i="2" l="1"/>
  <c r="N34" i="2"/>
  <c r="U34" i="2" s="1"/>
  <c r="N111" i="2"/>
  <c r="U111" i="2" s="1"/>
  <c r="AF111" i="2"/>
  <c r="N11" i="2"/>
  <c r="AE182" i="2"/>
  <c r="O191" i="2" a="1"/>
  <c r="O191" i="2" s="1"/>
  <c r="N182" i="2"/>
  <c r="U182" i="2" s="1"/>
  <c r="N160" i="2"/>
  <c r="N159" i="2"/>
  <c r="U159" i="2" s="1"/>
  <c r="N42" i="2"/>
  <c r="O42" i="2" s="1" a="1"/>
  <c r="O42" i="2" s="1"/>
  <c r="U12" i="2"/>
  <c r="O12" i="2" a="1"/>
  <c r="O12" i="2" s="1"/>
  <c r="R12" i="2" s="1"/>
  <c r="AE199" i="2"/>
  <c r="AE160" i="2"/>
  <c r="N199" i="2"/>
  <c r="U199" i="2" s="1"/>
  <c r="AE144" i="2"/>
  <c r="AF159" i="2"/>
  <c r="N144" i="2"/>
  <c r="U144" i="2" s="1"/>
  <c r="AE42" i="2"/>
  <c r="AE244" i="2"/>
  <c r="N63" i="2"/>
  <c r="U63" i="2" s="1"/>
  <c r="N225" i="2"/>
  <c r="U225" i="2" s="1"/>
  <c r="N226" i="2"/>
  <c r="U226" i="2" s="1"/>
  <c r="AF238" i="2"/>
  <c r="AE253" i="2"/>
  <c r="AF226" i="2"/>
  <c r="N25" i="2"/>
  <c r="U25" i="2" s="1"/>
  <c r="AF25" i="2"/>
  <c r="AE214" i="2"/>
  <c r="O238" i="2" a="1"/>
  <c r="O238" i="2" s="1"/>
  <c r="Q238" i="2" s="1"/>
  <c r="S238" i="2" s="1"/>
  <c r="AE169" i="2"/>
  <c r="N214" i="2"/>
  <c r="AE238" i="2"/>
  <c r="N169" i="2"/>
  <c r="U169" i="2" s="1"/>
  <c r="AE239" i="2"/>
  <c r="N239" i="2"/>
  <c r="U239" i="2" s="1"/>
  <c r="N197" i="2"/>
  <c r="U197" i="2" s="1"/>
  <c r="AE41" i="2"/>
  <c r="AE225" i="2"/>
  <c r="N165" i="2"/>
  <c r="U165" i="2" s="1"/>
  <c r="AE92" i="2"/>
  <c r="AE165" i="2"/>
  <c r="AE98" i="2"/>
  <c r="N92" i="2"/>
  <c r="O92" i="2" s="1" a="1"/>
  <c r="O92" i="2" s="1"/>
  <c r="N98" i="2"/>
  <c r="U98" i="2" s="1"/>
  <c r="AE148" i="2"/>
  <c r="N148" i="2"/>
  <c r="U148" i="2" s="1"/>
  <c r="AE197" i="2"/>
  <c r="O241" i="2" a="1"/>
  <c r="O241" i="2" s="1"/>
  <c r="R241" i="2" s="1"/>
  <c r="N201" i="2"/>
  <c r="U201" i="2" s="1"/>
  <c r="O49" i="2" a="1"/>
  <c r="O49" i="2" s="1"/>
  <c r="Q49" i="2" s="1"/>
  <c r="S49" i="2" s="1"/>
  <c r="O187" i="2" a="1"/>
  <c r="O187" i="2" s="1"/>
  <c r="AK187" i="2" s="1"/>
  <c r="O26" i="2" a="1"/>
  <c r="O26" i="2" s="1"/>
  <c r="Q26" i="2" s="1"/>
  <c r="S26" i="2" s="1"/>
  <c r="AE209" i="2"/>
  <c r="AE85" i="2"/>
  <c r="N85" i="2"/>
  <c r="U85" i="2" s="1"/>
  <c r="N173" i="2"/>
  <c r="U173" i="2" s="1"/>
  <c r="AE201" i="2"/>
  <c r="N247" i="2"/>
  <c r="AE173" i="2"/>
  <c r="O11" i="2" a="1"/>
  <c r="O11" i="2" s="1"/>
  <c r="N253" i="2"/>
  <c r="U253" i="2" s="1"/>
  <c r="N151" i="2"/>
  <c r="U151" i="2" s="1"/>
  <c r="AE161" i="2"/>
  <c r="N161" i="2"/>
  <c r="U161" i="2" s="1"/>
  <c r="AF151" i="2"/>
  <c r="O24" i="2" a="1"/>
  <c r="O24" i="2" s="1"/>
  <c r="AE156" i="2"/>
  <c r="AE247" i="2"/>
  <c r="N14" i="2"/>
  <c r="U14" i="2" s="1"/>
  <c r="AE157" i="2"/>
  <c r="O16" i="2" a="1"/>
  <c r="O16" i="2" s="1"/>
  <c r="Q16" i="2" s="1"/>
  <c r="S16" i="2" s="1"/>
  <c r="AE213" i="2"/>
  <c r="N209" i="2"/>
  <c r="U209" i="2" s="1"/>
  <c r="K5" i="2"/>
  <c r="K6" i="2" s="1"/>
  <c r="AE61" i="2"/>
  <c r="O152" i="2" a="1"/>
  <c r="O152" i="2" s="1"/>
  <c r="Q152" i="2" s="1"/>
  <c r="S152" i="2" s="1"/>
  <c r="AE223" i="2"/>
  <c r="N244" i="2"/>
  <c r="O244" i="2" s="1" a="1"/>
  <c r="O244" i="2" s="1"/>
  <c r="AE63" i="2"/>
  <c r="N125" i="2"/>
  <c r="U125" i="2" s="1"/>
  <c r="N156" i="2"/>
  <c r="U156" i="2" s="1"/>
  <c r="N8" i="2"/>
  <c r="O8" i="2" s="1" a="1"/>
  <c r="O8" i="2" s="1"/>
  <c r="AG8" i="2" s="1"/>
  <c r="AE126" i="2"/>
  <c r="AE195" i="2"/>
  <c r="N233" i="2"/>
  <c r="U233" i="2" s="1"/>
  <c r="AF168" i="2"/>
  <c r="O119" i="2" a="1"/>
  <c r="O119" i="2" s="1"/>
  <c r="AG119" i="2" s="1"/>
  <c r="N195" i="2"/>
  <c r="U195" i="2" s="1"/>
  <c r="N217" i="2"/>
  <c r="U217" i="2" s="1"/>
  <c r="N213" i="2"/>
  <c r="U213" i="2" s="1"/>
  <c r="AE217" i="2"/>
  <c r="N17" i="2"/>
  <c r="U17" i="2" s="1"/>
  <c r="AE77" i="2"/>
  <c r="N181" i="2"/>
  <c r="U181" i="2" s="1"/>
  <c r="AF17" i="2"/>
  <c r="AE82" i="2"/>
  <c r="AE38" i="2"/>
  <c r="N61" i="2"/>
  <c r="U61" i="2" s="1"/>
  <c r="AE181" i="2"/>
  <c r="N82" i="2"/>
  <c r="U82" i="2" s="1"/>
  <c r="N38" i="2"/>
  <c r="U38" i="2" s="1"/>
  <c r="O89" i="2" a="1"/>
  <c r="O89" i="2" s="1"/>
  <c r="Q89" i="2" s="1"/>
  <c r="S89" i="2" s="1"/>
  <c r="O235" i="2" a="1"/>
  <c r="O235" i="2" s="1"/>
  <c r="Q235" i="2" s="1"/>
  <c r="S235" i="2" s="1"/>
  <c r="O231" i="2" a="1"/>
  <c r="O231" i="2" s="1"/>
  <c r="O242" i="2" a="1"/>
  <c r="O242" i="2" s="1"/>
  <c r="AK242" i="2" s="1"/>
  <c r="AF234" i="2"/>
  <c r="AE168" i="2"/>
  <c r="N76" i="2"/>
  <c r="U76" i="2" s="1"/>
  <c r="O69" i="2" a="1"/>
  <c r="O69" i="2" s="1"/>
  <c r="AK69" i="2" s="1"/>
  <c r="N157" i="2"/>
  <c r="U157" i="2" s="1"/>
  <c r="AE139" i="2"/>
  <c r="O43" i="2" a="1"/>
  <c r="O43" i="2" s="1"/>
  <c r="O186" i="2" a="1"/>
  <c r="O186" i="2" s="1"/>
  <c r="Q186" i="2" s="1"/>
  <c r="S186" i="2" s="1"/>
  <c r="AE125" i="2"/>
  <c r="U102" i="2"/>
  <c r="O102" i="2" a="1"/>
  <c r="O102" i="2" s="1"/>
  <c r="R102" i="2" s="1"/>
  <c r="U206" i="2"/>
  <c r="O206" i="2" a="1"/>
  <c r="O206" i="2" s="1"/>
  <c r="Q206" i="2" s="1"/>
  <c r="S206" i="2" s="1"/>
  <c r="O126" i="2" a="1"/>
  <c r="O126" i="2" s="1"/>
  <c r="AG126" i="2" s="1"/>
  <c r="O135" i="2" a="1"/>
  <c r="O135" i="2" s="1"/>
  <c r="Q135" i="2" s="1"/>
  <c r="S135" i="2" s="1"/>
  <c r="AF206" i="2"/>
  <c r="N77" i="2"/>
  <c r="O77" i="2" s="1" a="1"/>
  <c r="O77" i="2" s="1"/>
  <c r="N66" i="2"/>
  <c r="U66" i="2" s="1"/>
  <c r="AE198" i="2"/>
  <c r="O250" i="2" a="1"/>
  <c r="O250" i="2" s="1"/>
  <c r="Q250" i="2" s="1"/>
  <c r="S250" i="2" s="1"/>
  <c r="AE206" i="2"/>
  <c r="AF250" i="2"/>
  <c r="O74" i="2" a="1"/>
  <c r="O74" i="2" s="1"/>
  <c r="AG74" i="2" s="1"/>
  <c r="O79" i="2" a="1"/>
  <c r="O79" i="2" s="1"/>
  <c r="AG79" i="2" s="1"/>
  <c r="O139" i="2" a="1"/>
  <c r="O139" i="2" s="1"/>
  <c r="N219" i="2"/>
  <c r="U219" i="2" s="1"/>
  <c r="AE234" i="2"/>
  <c r="AE233" i="2"/>
  <c r="N223" i="2"/>
  <c r="O223" i="2" s="1" a="1"/>
  <c r="O223" i="2" s="1"/>
  <c r="AF22" i="2"/>
  <c r="AE250" i="2"/>
  <c r="N10" i="2"/>
  <c r="N22" i="2"/>
  <c r="U22" i="2" s="1"/>
  <c r="AE219" i="2"/>
  <c r="AE121" i="2"/>
  <c r="AF198" i="2"/>
  <c r="O97" i="2" a="1"/>
  <c r="O97" i="2" s="1"/>
  <c r="Q97" i="2" s="1"/>
  <c r="S97" i="2" s="1"/>
  <c r="AE134" i="2"/>
  <c r="N121" i="2"/>
  <c r="U121" i="2" s="1"/>
  <c r="N7" i="2"/>
  <c r="O7" i="2" s="1" a="1"/>
  <c r="O7" i="2" s="1"/>
  <c r="R7" i="2" s="1"/>
  <c r="O41" i="2" a="1"/>
  <c r="O41" i="2" s="1"/>
  <c r="R41" i="2" s="1"/>
  <c r="O57" i="2" a="1"/>
  <c r="O57" i="2" s="1"/>
  <c r="Q57" i="2" s="1"/>
  <c r="S57" i="2" s="1"/>
  <c r="O127" i="2" a="1"/>
  <c r="O127" i="2" s="1"/>
  <c r="R127" i="2" s="1"/>
  <c r="O203" i="2" a="1"/>
  <c r="O203" i="2" s="1"/>
  <c r="Q203" i="2" s="1"/>
  <c r="S203" i="2" s="1"/>
  <c r="N134" i="2"/>
  <c r="U134" i="2" s="1"/>
  <c r="AE218" i="2"/>
  <c r="AF218" i="2"/>
  <c r="AE136" i="2"/>
  <c r="AF136" i="2"/>
  <c r="AE83" i="2"/>
  <c r="AF83" i="2"/>
  <c r="AE23" i="2"/>
  <c r="AF23" i="2"/>
  <c r="N222" i="2"/>
  <c r="U222" i="2" s="1"/>
  <c r="AF222" i="2"/>
  <c r="N164" i="2"/>
  <c r="U164" i="2" s="1"/>
  <c r="AE164" i="2"/>
  <c r="AF164" i="2"/>
  <c r="N94" i="2"/>
  <c r="U94" i="2" s="1"/>
  <c r="AE94" i="2"/>
  <c r="AF94" i="2"/>
  <c r="AE33" i="2"/>
  <c r="N33" i="2"/>
  <c r="U33" i="2" s="1"/>
  <c r="N200" i="2"/>
  <c r="AF200" i="2"/>
  <c r="AE145" i="2"/>
  <c r="AF145" i="2"/>
  <c r="AE88" i="2"/>
  <c r="AF88" i="2"/>
  <c r="AF36" i="2"/>
  <c r="AE36" i="2"/>
  <c r="N221" i="2"/>
  <c r="AF221" i="2"/>
  <c r="AE162" i="2"/>
  <c r="AF162" i="2"/>
  <c r="AE103" i="2"/>
  <c r="AF103" i="2"/>
  <c r="N192" i="2"/>
  <c r="U192" i="2" s="1"/>
  <c r="AF192" i="2"/>
  <c r="N117" i="2"/>
  <c r="U117" i="2" s="1"/>
  <c r="AF117" i="2"/>
  <c r="AE67" i="2"/>
  <c r="AF67" i="2"/>
  <c r="AE137" i="2"/>
  <c r="AF137" i="2"/>
  <c r="N237" i="2"/>
  <c r="U237" i="2" s="1"/>
  <c r="AF237" i="2"/>
  <c r="N62" i="2"/>
  <c r="AE62" i="2"/>
  <c r="AF62" i="2"/>
  <c r="AE78" i="2"/>
  <c r="AF78" i="2"/>
  <c r="AE147" i="2"/>
  <c r="AF147" i="2"/>
  <c r="N132" i="2"/>
  <c r="U132" i="2" s="1"/>
  <c r="AE132" i="2"/>
  <c r="AF132" i="2"/>
  <c r="N215" i="2"/>
  <c r="U215" i="2" s="1"/>
  <c r="AF215" i="2"/>
  <c r="AE215" i="2"/>
  <c r="N230" i="2"/>
  <c r="U230" i="2" s="1"/>
  <c r="AF230" i="2"/>
  <c r="AF68" i="2"/>
  <c r="AE68" i="2"/>
  <c r="N50" i="2"/>
  <c r="U50" i="2" s="1"/>
  <c r="N228" i="2"/>
  <c r="AE212" i="2"/>
  <c r="AF212" i="2"/>
  <c r="N212" i="2"/>
  <c r="AE131" i="2"/>
  <c r="AF131" i="2"/>
  <c r="AF28" i="2"/>
  <c r="AE28" i="2"/>
  <c r="N140" i="2"/>
  <c r="AF140" i="2"/>
  <c r="AE140" i="2"/>
  <c r="AF81" i="2"/>
  <c r="AE81" i="2"/>
  <c r="AE32" i="2"/>
  <c r="AF32" i="2"/>
  <c r="N216" i="2"/>
  <c r="AE216" i="2"/>
  <c r="AF216" i="2"/>
  <c r="N154" i="2"/>
  <c r="AF154" i="2"/>
  <c r="AE154" i="2"/>
  <c r="AE93" i="2"/>
  <c r="AF93" i="2"/>
  <c r="AE14" i="2"/>
  <c r="AF14" i="2"/>
  <c r="N112" i="2"/>
  <c r="U112" i="2" s="1"/>
  <c r="AE112" i="2"/>
  <c r="AF112" i="2"/>
  <c r="AE97" i="2"/>
  <c r="AF97" i="2"/>
  <c r="N224" i="2"/>
  <c r="AE224" i="2"/>
  <c r="AE47" i="2"/>
  <c r="AF47" i="2"/>
  <c r="AF118" i="2"/>
  <c r="AE118" i="2"/>
  <c r="AE231" i="2"/>
  <c r="AF231" i="2"/>
  <c r="AE116" i="2"/>
  <c r="AF116" i="2"/>
  <c r="AE202" i="2"/>
  <c r="AF202" i="2"/>
  <c r="AE55" i="2"/>
  <c r="AF55" i="2"/>
  <c r="O253" i="2" a="1"/>
  <c r="O253" i="2" s="1"/>
  <c r="AG253" i="2" s="1"/>
  <c r="AE50" i="2"/>
  <c r="AE71" i="2"/>
  <c r="AF71" i="2"/>
  <c r="AE211" i="2"/>
  <c r="AF211" i="2"/>
  <c r="AE146" i="2"/>
  <c r="AF146" i="2"/>
  <c r="N146" i="2"/>
  <c r="AE76" i="2"/>
  <c r="AF76" i="2"/>
  <c r="N188" i="2"/>
  <c r="AE188" i="2"/>
  <c r="AF188" i="2"/>
  <c r="N75" i="2"/>
  <c r="AF75" i="2"/>
  <c r="AE75" i="2"/>
  <c r="N27" i="2"/>
  <c r="AE27" i="2"/>
  <c r="AF27" i="2"/>
  <c r="N205" i="2"/>
  <c r="AE205" i="2"/>
  <c r="AF205" i="2"/>
  <c r="N150" i="2"/>
  <c r="AE150" i="2"/>
  <c r="AF150" i="2"/>
  <c r="N48" i="2"/>
  <c r="U48" i="2" s="1"/>
  <c r="AE48" i="2"/>
  <c r="AF48" i="2"/>
  <c r="AE167" i="2"/>
  <c r="AF167" i="2"/>
  <c r="AE107" i="2"/>
  <c r="AF107" i="2"/>
  <c r="N52" i="2"/>
  <c r="U52" i="2" s="1"/>
  <c r="AF52" i="2"/>
  <c r="AE52" i="2"/>
  <c r="N84" i="2"/>
  <c r="AF84" i="2"/>
  <c r="AE84" i="2"/>
  <c r="N80" i="2"/>
  <c r="AE80" i="2"/>
  <c r="AF80" i="2"/>
  <c r="AF207" i="2"/>
  <c r="AE207" i="2"/>
  <c r="N236" i="2"/>
  <c r="U236" i="2" s="1"/>
  <c r="AE236" i="2"/>
  <c r="AF236" i="2"/>
  <c r="AF18" i="2"/>
  <c r="AE18" i="2"/>
  <c r="N106" i="2"/>
  <c r="AF106" i="2"/>
  <c r="AE106" i="2"/>
  <c r="AF102" i="2"/>
  <c r="AE102" i="2"/>
  <c r="AE185" i="2"/>
  <c r="AF185" i="2"/>
  <c r="O86" i="2" a="1"/>
  <c r="O86" i="2" s="1"/>
  <c r="AG86" i="2" s="1"/>
  <c r="AF33" i="2"/>
  <c r="N115" i="2"/>
  <c r="U115" i="2" s="1"/>
  <c r="AE115" i="2"/>
  <c r="AF115" i="2"/>
  <c r="AE59" i="2"/>
  <c r="AF59" i="2"/>
  <c r="AE196" i="2"/>
  <c r="N196" i="2"/>
  <c r="U196" i="2" s="1"/>
  <c r="AF196" i="2"/>
  <c r="AE141" i="2"/>
  <c r="N141" i="2"/>
  <c r="AF141" i="2"/>
  <c r="AE70" i="2"/>
  <c r="AF70" i="2"/>
  <c r="AE16" i="2"/>
  <c r="AF16" i="2"/>
  <c r="AE183" i="2"/>
  <c r="AF183" i="2"/>
  <c r="N120" i="2"/>
  <c r="AE120" i="2"/>
  <c r="AF120" i="2"/>
  <c r="AE69" i="2"/>
  <c r="AF69" i="2"/>
  <c r="AE252" i="2"/>
  <c r="N252" i="2"/>
  <c r="AE43" i="2"/>
  <c r="AF43" i="2"/>
  <c r="N243" i="2"/>
  <c r="U243" i="2" s="1"/>
  <c r="AE243" i="2"/>
  <c r="AF243" i="2"/>
  <c r="AF101" i="2"/>
  <c r="AE101" i="2"/>
  <c r="N21" i="2"/>
  <c r="AF21" i="2"/>
  <c r="AE171" i="2"/>
  <c r="AF171" i="2"/>
  <c r="AF65" i="2"/>
  <c r="AE65" i="2"/>
  <c r="AE193" i="2"/>
  <c r="AF193" i="2"/>
  <c r="AE91" i="2"/>
  <c r="AF91" i="2"/>
  <c r="AE203" i="2"/>
  <c r="AF203" i="2"/>
  <c r="N158" i="2"/>
  <c r="AE158" i="2"/>
  <c r="AF158" i="2"/>
  <c r="AF172" i="2"/>
  <c r="N172" i="2"/>
  <c r="AE172" i="2"/>
  <c r="O18" i="2" a="1"/>
  <c r="O18" i="2" s="1"/>
  <c r="AK18" i="2" s="1"/>
  <c r="O70" i="2" a="1"/>
  <c r="O70" i="2" s="1"/>
  <c r="AG70" i="2" s="1"/>
  <c r="N103" i="2"/>
  <c r="U103" i="2" s="1"/>
  <c r="N162" i="2"/>
  <c r="U162" i="2" s="1"/>
  <c r="N218" i="2"/>
  <c r="U218" i="2" s="1"/>
  <c r="N249" i="2"/>
  <c r="U249" i="2" s="1"/>
  <c r="AE117" i="2"/>
  <c r="AE180" i="2"/>
  <c r="AF180" i="2"/>
  <c r="N180" i="2"/>
  <c r="N110" i="2"/>
  <c r="U110" i="2" s="1"/>
  <c r="AE110" i="2"/>
  <c r="AF110" i="2"/>
  <c r="AE246" i="2"/>
  <c r="AF246" i="2"/>
  <c r="N189" i="2"/>
  <c r="AF189" i="2"/>
  <c r="AE135" i="2"/>
  <c r="AF135" i="2"/>
  <c r="N64" i="2"/>
  <c r="AF64" i="2"/>
  <c r="AE64" i="2"/>
  <c r="N245" i="2"/>
  <c r="AF245" i="2"/>
  <c r="N174" i="2"/>
  <c r="U174" i="2" s="1"/>
  <c r="AE174" i="2"/>
  <c r="AF174" i="2"/>
  <c r="N114" i="2"/>
  <c r="AF114" i="2"/>
  <c r="AE194" i="2"/>
  <c r="AF194" i="2"/>
  <c r="N129" i="2"/>
  <c r="U129" i="2" s="1"/>
  <c r="AE129" i="2"/>
  <c r="AF129" i="2"/>
  <c r="AE31" i="2"/>
  <c r="AF31" i="2"/>
  <c r="AE30" i="2"/>
  <c r="AF30" i="2"/>
  <c r="AF51" i="2"/>
  <c r="AE51" i="2"/>
  <c r="N166" i="2"/>
  <c r="AE166" i="2"/>
  <c r="AF166" i="2"/>
  <c r="AE74" i="2"/>
  <c r="AF74" i="2"/>
  <c r="AF57" i="2"/>
  <c r="AE57" i="2"/>
  <c r="N87" i="2"/>
  <c r="U87" i="2" s="1"/>
  <c r="AE87" i="2"/>
  <c r="AF87" i="2"/>
  <c r="O91" i="2" a="1"/>
  <c r="O91" i="2" s="1"/>
  <c r="AG91" i="2" s="1"/>
  <c r="O123" i="2" a="1"/>
  <c r="O123" i="2" s="1"/>
  <c r="AK123" i="2" s="1"/>
  <c r="N145" i="2"/>
  <c r="U145" i="2" s="1"/>
  <c r="AE230" i="2"/>
  <c r="AE222" i="2"/>
  <c r="O217" i="2" a="1"/>
  <c r="O217" i="2" s="1"/>
  <c r="AK217" i="2" s="1"/>
  <c r="AE249" i="2"/>
  <c r="O60" i="2" a="1"/>
  <c r="O60" i="2" s="1"/>
  <c r="R60" i="2" s="1"/>
  <c r="N36" i="2"/>
  <c r="U36" i="2" s="1"/>
  <c r="AE175" i="2"/>
  <c r="AF175" i="2"/>
  <c r="N100" i="2"/>
  <c r="U100" i="2" s="1"/>
  <c r="AE100" i="2"/>
  <c r="AF100" i="2"/>
  <c r="AE45" i="2"/>
  <c r="AF45" i="2"/>
  <c r="N240" i="2"/>
  <c r="AF240" i="2"/>
  <c r="AE184" i="2"/>
  <c r="N184" i="2"/>
  <c r="AF184" i="2"/>
  <c r="AF130" i="2"/>
  <c r="AE130" i="2"/>
  <c r="AE54" i="2"/>
  <c r="AF54" i="2"/>
  <c r="AE109" i="2"/>
  <c r="AF109" i="2"/>
  <c r="N109" i="2"/>
  <c r="N58" i="2"/>
  <c r="AF58" i="2"/>
  <c r="AE187" i="2"/>
  <c r="AF187" i="2"/>
  <c r="N124" i="2"/>
  <c r="AE124" i="2"/>
  <c r="AF124" i="2"/>
  <c r="AF26" i="2"/>
  <c r="AE26" i="2"/>
  <c r="AF138" i="2"/>
  <c r="AE138" i="2"/>
  <c r="AF86" i="2"/>
  <c r="AE86" i="2"/>
  <c r="AE39" i="2"/>
  <c r="AF39" i="2"/>
  <c r="N149" i="2"/>
  <c r="AF149" i="2"/>
  <c r="N220" i="2"/>
  <c r="U220" i="2" s="1"/>
  <c r="AE220" i="2"/>
  <c r="AF220" i="2"/>
  <c r="AF60" i="2"/>
  <c r="AE60" i="2"/>
  <c r="N176" i="2"/>
  <c r="AF176" i="2"/>
  <c r="AE176" i="2"/>
  <c r="AE72" i="2"/>
  <c r="N72" i="2"/>
  <c r="AF72" i="2"/>
  <c r="N142" i="2"/>
  <c r="AF142" i="2"/>
  <c r="AE95" i="2"/>
  <c r="AF95" i="2"/>
  <c r="AE37" i="2"/>
  <c r="AF37" i="2"/>
  <c r="AE179" i="2"/>
  <c r="AF179" i="2"/>
  <c r="AF49" i="2"/>
  <c r="AE49" i="2"/>
  <c r="AE163" i="2"/>
  <c r="AF163" i="2"/>
  <c r="N104" i="2"/>
  <c r="AE104" i="2"/>
  <c r="AF104" i="2"/>
  <c r="AE53" i="2"/>
  <c r="AF53" i="2"/>
  <c r="N232" i="2"/>
  <c r="AF232" i="2"/>
  <c r="N178" i="2"/>
  <c r="U178" i="2" s="1"/>
  <c r="AE178" i="2"/>
  <c r="AF178" i="2"/>
  <c r="AE119" i="2"/>
  <c r="AF119" i="2"/>
  <c r="AE20" i="2"/>
  <c r="AF20" i="2"/>
  <c r="N208" i="2"/>
  <c r="AF208" i="2"/>
  <c r="AE79" i="2"/>
  <c r="AF79" i="2"/>
  <c r="N19" i="2"/>
  <c r="AE19" i="2"/>
  <c r="AF19" i="2"/>
  <c r="AE24" i="2"/>
  <c r="AF24" i="2"/>
  <c r="N108" i="2"/>
  <c r="AE108" i="2"/>
  <c r="AF108" i="2"/>
  <c r="N133" i="2"/>
  <c r="AE133" i="2"/>
  <c r="AF133" i="2"/>
  <c r="N190" i="2"/>
  <c r="AF190" i="2"/>
  <c r="N46" i="2"/>
  <c r="U46" i="2" s="1"/>
  <c r="AE46" i="2"/>
  <c r="AF46" i="2"/>
  <c r="AF12" i="2"/>
  <c r="AE12" i="2"/>
  <c r="N56" i="2"/>
  <c r="AE56" i="2"/>
  <c r="AF56" i="2"/>
  <c r="AE127" i="2"/>
  <c r="AF127" i="2"/>
  <c r="O37" i="2" a="1"/>
  <c r="O37" i="2" s="1"/>
  <c r="Q37" i="2" s="1"/>
  <c r="S37" i="2" s="1"/>
  <c r="N67" i="2"/>
  <c r="U67" i="2" s="1"/>
  <c r="O47" i="2" a="1"/>
  <c r="O47" i="2" s="1"/>
  <c r="AG47" i="2" s="1"/>
  <c r="N136" i="2"/>
  <c r="U136" i="2" s="1"/>
  <c r="O83" i="2" a="1"/>
  <c r="O83" i="2" s="1"/>
  <c r="R83" i="2" s="1"/>
  <c r="AE200" i="2"/>
  <c r="N68" i="2"/>
  <c r="U68" i="2" s="1"/>
  <c r="O198" i="2" a="1"/>
  <c r="O198" i="2" s="1"/>
  <c r="AK198" i="2" s="1"/>
  <c r="AE228" i="2"/>
  <c r="AF89" i="2"/>
  <c r="AE89" i="2"/>
  <c r="AE29" i="2"/>
  <c r="N29" i="2"/>
  <c r="AF29" i="2"/>
  <c r="N229" i="2"/>
  <c r="AF229" i="2"/>
  <c r="N170" i="2"/>
  <c r="U170" i="2" s="1"/>
  <c r="AE170" i="2"/>
  <c r="AF170" i="2"/>
  <c r="AE105" i="2"/>
  <c r="AF105" i="2"/>
  <c r="N44" i="2"/>
  <c r="AE44" i="2"/>
  <c r="AF44" i="2"/>
  <c r="AE210" i="2"/>
  <c r="AF210" i="2"/>
  <c r="AF155" i="2"/>
  <c r="AE155" i="2"/>
  <c r="AE99" i="2"/>
  <c r="AF99" i="2"/>
  <c r="N40" i="2"/>
  <c r="U40" i="2" s="1"/>
  <c r="AF40" i="2"/>
  <c r="AE40" i="2"/>
  <c r="AE227" i="2"/>
  <c r="AF227" i="2"/>
  <c r="AE113" i="2"/>
  <c r="AF113" i="2"/>
  <c r="N15" i="2"/>
  <c r="AF15" i="2"/>
  <c r="N204" i="2"/>
  <c r="AE204" i="2"/>
  <c r="AF204" i="2"/>
  <c r="AE123" i="2"/>
  <c r="AF123" i="2"/>
  <c r="AF73" i="2"/>
  <c r="AE73" i="2"/>
  <c r="N13" i="2"/>
  <c r="AF13" i="2"/>
  <c r="N4" i="2"/>
  <c r="O4" i="2" s="1" a="1"/>
  <c r="O4" i="2" s="1"/>
  <c r="X3" i="2"/>
  <c r="N96" i="2"/>
  <c r="AE96" i="2"/>
  <c r="AF96" i="2"/>
  <c r="AE122" i="2"/>
  <c r="AF122" i="2"/>
  <c r="N122" i="2"/>
  <c r="N35" i="2"/>
  <c r="AE35" i="2"/>
  <c r="AF35" i="2"/>
  <c r="AE143" i="2"/>
  <c r="AF143" i="2"/>
  <c r="N248" i="2"/>
  <c r="AF248" i="2"/>
  <c r="AZ9" i="2"/>
  <c r="AZ17" i="2"/>
  <c r="AZ25" i="2"/>
  <c r="AZ33" i="2"/>
  <c r="AZ41" i="2"/>
  <c r="AZ49" i="2"/>
  <c r="AZ57" i="2"/>
  <c r="AZ65" i="2"/>
  <c r="AZ73" i="2"/>
  <c r="AZ81" i="2"/>
  <c r="AZ89" i="2"/>
  <c r="AZ97" i="2"/>
  <c r="AZ88" i="2"/>
  <c r="AZ10" i="2"/>
  <c r="AZ18" i="2"/>
  <c r="AZ26" i="2"/>
  <c r="AZ34" i="2"/>
  <c r="AZ42" i="2"/>
  <c r="AZ50" i="2"/>
  <c r="AZ58" i="2"/>
  <c r="AZ66" i="2"/>
  <c r="AZ74" i="2"/>
  <c r="AZ82" i="2"/>
  <c r="AZ90" i="2"/>
  <c r="AZ98" i="2"/>
  <c r="AZ24" i="2"/>
  <c r="AZ64" i="2"/>
  <c r="AZ11" i="2"/>
  <c r="AZ19" i="2"/>
  <c r="AZ27" i="2"/>
  <c r="AZ35" i="2"/>
  <c r="AZ43" i="2"/>
  <c r="AZ51" i="2"/>
  <c r="AZ59" i="2"/>
  <c r="AZ67" i="2"/>
  <c r="AZ75" i="2"/>
  <c r="AZ83" i="2"/>
  <c r="AZ91" i="2"/>
  <c r="AZ99" i="2"/>
  <c r="AZ15" i="2"/>
  <c r="AZ47" i="2"/>
  <c r="AZ71" i="2"/>
  <c r="AZ103" i="2"/>
  <c r="AZ16" i="2"/>
  <c r="AZ48" i="2"/>
  <c r="AZ72" i="2"/>
  <c r="AZ4" i="2"/>
  <c r="AZ12" i="2"/>
  <c r="AZ20" i="2"/>
  <c r="AZ28" i="2"/>
  <c r="AZ36" i="2"/>
  <c r="AZ44" i="2"/>
  <c r="AZ52" i="2"/>
  <c r="AZ60" i="2"/>
  <c r="AZ68" i="2"/>
  <c r="AZ76" i="2"/>
  <c r="AZ84" i="2"/>
  <c r="AZ92" i="2"/>
  <c r="AZ100" i="2"/>
  <c r="AZ31" i="2"/>
  <c r="AZ63" i="2"/>
  <c r="AZ95" i="2"/>
  <c r="AZ32" i="2"/>
  <c r="AZ56" i="2"/>
  <c r="AZ96" i="2"/>
  <c r="AZ5" i="2"/>
  <c r="AZ13" i="2"/>
  <c r="AZ21" i="2"/>
  <c r="AZ29" i="2"/>
  <c r="AZ37" i="2"/>
  <c r="AZ45" i="2"/>
  <c r="AZ53" i="2"/>
  <c r="AZ61" i="2"/>
  <c r="AZ69" i="2"/>
  <c r="AZ77" i="2"/>
  <c r="AZ85" i="2"/>
  <c r="AZ93" i="2"/>
  <c r="AZ101" i="2"/>
  <c r="AZ23" i="2"/>
  <c r="AZ55" i="2"/>
  <c r="AZ87" i="2"/>
  <c r="AZ6" i="2"/>
  <c r="AZ14" i="2"/>
  <c r="AZ22" i="2"/>
  <c r="AZ30" i="2"/>
  <c r="AZ38" i="2"/>
  <c r="AZ46" i="2"/>
  <c r="AZ54" i="2"/>
  <c r="AZ62" i="2"/>
  <c r="AZ70" i="2"/>
  <c r="AZ78" i="2"/>
  <c r="AZ86" i="2"/>
  <c r="AZ94" i="2"/>
  <c r="AZ102" i="2"/>
  <c r="AZ7" i="2"/>
  <c r="AZ39" i="2"/>
  <c r="AZ79" i="2"/>
  <c r="AZ8" i="2"/>
  <c r="AZ40" i="2"/>
  <c r="AZ80" i="2"/>
  <c r="O32" i="2" a="1"/>
  <c r="O32" i="2" s="1"/>
  <c r="AK32" i="2" s="1"/>
  <c r="O59" i="2" a="1"/>
  <c r="O59" i="2" s="1"/>
  <c r="Q59" i="2" s="1"/>
  <c r="S59" i="2" s="1"/>
  <c r="O138" i="2" a="1"/>
  <c r="O138" i="2" s="1"/>
  <c r="R138" i="2" s="1"/>
  <c r="O211" i="2" a="1"/>
  <c r="O211" i="2" s="1"/>
  <c r="Q211" i="2" s="1"/>
  <c r="S211" i="2" s="1"/>
  <c r="O227" i="2" a="1"/>
  <c r="O227" i="2" s="1"/>
  <c r="Q227" i="2" s="1"/>
  <c r="S227" i="2" s="1"/>
  <c r="O153" i="2" a="1"/>
  <c r="O153" i="2" s="1"/>
  <c r="O234" i="2" a="1"/>
  <c r="O234" i="2" s="1"/>
  <c r="AK234" i="2" s="1"/>
  <c r="O246" i="2" a="1"/>
  <c r="O246" i="2" s="1"/>
  <c r="O168" i="2" a="1"/>
  <c r="O168" i="2" s="1"/>
  <c r="O88" i="2" a="1"/>
  <c r="O88" i="2" s="1"/>
  <c r="Q88" i="2" s="1"/>
  <c r="S88" i="2" s="1"/>
  <c r="O78" i="2" a="1"/>
  <c r="O78" i="2" s="1"/>
  <c r="O130" i="2" a="1"/>
  <c r="O130" i="2" s="1"/>
  <c r="Q130" i="2" s="1"/>
  <c r="S130" i="2" s="1"/>
  <c r="O99" i="2" a="1"/>
  <c r="O99" i="2" s="1"/>
  <c r="AG99" i="2" s="1"/>
  <c r="Q7" i="2"/>
  <c r="S7" i="2" s="1"/>
  <c r="O207" i="2" a="1"/>
  <c r="O207" i="2" s="1"/>
  <c r="O54" i="2" a="1"/>
  <c r="O54" i="2" s="1"/>
  <c r="O165" i="2" a="1"/>
  <c r="O165" i="2" s="1"/>
  <c r="Q165" i="2" s="1"/>
  <c r="S165" i="2" s="1"/>
  <c r="O30" i="2" a="1"/>
  <c r="O30" i="2" s="1"/>
  <c r="AG30" i="2" s="1"/>
  <c r="O95" i="2" a="1"/>
  <c r="O95" i="2" s="1"/>
  <c r="Q95" i="2" s="1"/>
  <c r="S95" i="2" s="1"/>
  <c r="O143" i="2" a="1"/>
  <c r="O143" i="2" s="1"/>
  <c r="AK143" i="2" s="1"/>
  <c r="O131" i="2" a="1"/>
  <c r="O131" i="2" s="1"/>
  <c r="R131" i="2" s="1"/>
  <c r="O128" i="2" a="1"/>
  <c r="O128" i="2" s="1"/>
  <c r="AK128" i="2" s="1"/>
  <c r="O194" i="2" a="1"/>
  <c r="O194" i="2" s="1"/>
  <c r="R194" i="2" s="1"/>
  <c r="N5" i="2"/>
  <c r="N6" i="2" s="1"/>
  <c r="O6" i="2" s="1" a="1"/>
  <c r="O6" i="2" s="1"/>
  <c r="O197" i="2" a="1"/>
  <c r="O197" i="2" s="1"/>
  <c r="O68" i="2" a="1"/>
  <c r="O68" i="2" s="1"/>
  <c r="O10" i="2" a="1"/>
  <c r="O10" i="2" s="1"/>
  <c r="O116" i="2" a="1"/>
  <c r="O116" i="2" s="1"/>
  <c r="O90" i="2" a="1"/>
  <c r="O90" i="2" s="1"/>
  <c r="O160" i="2" a="1"/>
  <c r="O160" i="2" s="1"/>
  <c r="U160" i="2"/>
  <c r="O214" i="2" a="1"/>
  <c r="O214" i="2" s="1"/>
  <c r="U214" i="2"/>
  <c r="O98" i="2" a="1"/>
  <c r="O98" i="2" s="1"/>
  <c r="AK79" i="2"/>
  <c r="AK126" i="2"/>
  <c r="O199" i="2" a="1"/>
  <c r="O199" i="2" s="1"/>
  <c r="O45" i="2" a="1"/>
  <c r="O45" i="2" s="1"/>
  <c r="O93" i="2" a="1"/>
  <c r="O93" i="2" s="1"/>
  <c r="O81" i="2" a="1"/>
  <c r="O81" i="2" s="1"/>
  <c r="O155" i="2" a="1"/>
  <c r="O155" i="2" s="1"/>
  <c r="O105" i="2" a="1"/>
  <c r="O105" i="2" s="1"/>
  <c r="O137" i="2" a="1"/>
  <c r="O137" i="2" s="1"/>
  <c r="O107" i="2" a="1"/>
  <c r="O107" i="2" s="1"/>
  <c r="O163" i="2" a="1"/>
  <c r="O163" i="2" s="1"/>
  <c r="Q191" i="2"/>
  <c r="S191" i="2" s="1"/>
  <c r="AK191" i="2"/>
  <c r="R191" i="2"/>
  <c r="AG191" i="2"/>
  <c r="O28" i="2" a="1"/>
  <c r="O28" i="2" s="1"/>
  <c r="AK86" i="2"/>
  <c r="Q41" i="2"/>
  <c r="S41" i="2" s="1"/>
  <c r="AK41" i="2"/>
  <c r="AG41" i="2"/>
  <c r="O118" i="2" a="1"/>
  <c r="O118" i="2" s="1"/>
  <c r="O179" i="2" a="1"/>
  <c r="O179" i="2" s="1"/>
  <c r="O249" i="2" a="1"/>
  <c r="O249" i="2" s="1"/>
  <c r="O34" i="2" a="1"/>
  <c r="O34" i="2" s="1"/>
  <c r="O53" i="2" a="1"/>
  <c r="O53" i="2" s="1"/>
  <c r="O23" i="2" a="1"/>
  <c r="O23" i="2" s="1"/>
  <c r="O39" i="2" a="1"/>
  <c r="O39" i="2" s="1"/>
  <c r="O111" i="2" a="1"/>
  <c r="O111" i="2" s="1"/>
  <c r="O73" i="2" a="1"/>
  <c r="O73" i="2" s="1"/>
  <c r="O147" i="2" a="1"/>
  <c r="O147" i="2" s="1"/>
  <c r="O167" i="2" a="1"/>
  <c r="O167" i="2" s="1"/>
  <c r="O175" i="2" a="1"/>
  <c r="O175" i="2" s="1"/>
  <c r="Q231" i="2"/>
  <c r="S231" i="2" s="1"/>
  <c r="AK231" i="2"/>
  <c r="R231" i="2"/>
  <c r="AG231" i="2"/>
  <c r="AG242" i="2"/>
  <c r="Q24" i="2"/>
  <c r="S24" i="2" s="1"/>
  <c r="AK24" i="2"/>
  <c r="AG24" i="2"/>
  <c r="R24" i="2"/>
  <c r="O202" i="2" a="1"/>
  <c r="O202" i="2" s="1"/>
  <c r="O171" i="2" a="1"/>
  <c r="O171" i="2" s="1"/>
  <c r="O185" i="2" a="1"/>
  <c r="O185" i="2" s="1"/>
  <c r="AG217" i="2"/>
  <c r="AK253" i="2"/>
  <c r="AK8" i="2"/>
  <c r="Q43" i="2"/>
  <c r="S43" i="2" s="1"/>
  <c r="AK43" i="2"/>
  <c r="R43" i="2"/>
  <c r="AG43" i="2"/>
  <c r="R88" i="2"/>
  <c r="Q139" i="2"/>
  <c r="S139" i="2" s="1"/>
  <c r="AK139" i="2"/>
  <c r="R139" i="2"/>
  <c r="AG139" i="2"/>
  <c r="AK211" i="2"/>
  <c r="R211" i="2"/>
  <c r="AG211" i="2"/>
  <c r="Q11" i="2"/>
  <c r="S11" i="2" s="1"/>
  <c r="AK11" i="2"/>
  <c r="AG11" i="2"/>
  <c r="R11" i="2"/>
  <c r="O20" i="2" a="1"/>
  <c r="O20" i="2" s="1"/>
  <c r="O51" i="2" a="1"/>
  <c r="O51" i="2" s="1"/>
  <c r="O65" i="2" a="1"/>
  <c r="O65" i="2" s="1"/>
  <c r="O31" i="2" a="1"/>
  <c r="O31" i="2" s="1"/>
  <c r="O113" i="2" a="1"/>
  <c r="O113" i="2" s="1"/>
  <c r="O71" i="2" a="1"/>
  <c r="O71" i="2" s="1"/>
  <c r="O101" i="2" a="1"/>
  <c r="O101" i="2" s="1"/>
  <c r="O55" i="2" a="1"/>
  <c r="O55" i="2" s="1"/>
  <c r="O209" i="2" a="1"/>
  <c r="O209" i="2" s="1"/>
  <c r="U251" i="2"/>
  <c r="O251" i="2" a="1"/>
  <c r="O251" i="2" s="1"/>
  <c r="Q123" i="2"/>
  <c r="S123" i="2" s="1"/>
  <c r="Q78" i="2"/>
  <c r="S78" i="2" s="1"/>
  <c r="AK78" i="2"/>
  <c r="R78" i="2"/>
  <c r="AG78" i="2"/>
  <c r="O183" i="2" a="1"/>
  <c r="O183" i="2" s="1"/>
  <c r="O177" i="2" a="1"/>
  <c r="O177" i="2" s="1"/>
  <c r="U177" i="2"/>
  <c r="O210" i="2" a="1"/>
  <c r="O210" i="2" s="1"/>
  <c r="O193" i="2" a="1"/>
  <c r="O193" i="2" s="1"/>
  <c r="O148" i="2" l="1" a="1"/>
  <c r="O148" i="2" s="1"/>
  <c r="Q148" i="2" s="1"/>
  <c r="S148" i="2" s="1"/>
  <c r="O226" i="2" a="1"/>
  <c r="O226" i="2" s="1"/>
  <c r="AK226" i="2" s="1"/>
  <c r="O182" i="2" a="1"/>
  <c r="O182" i="2" s="1"/>
  <c r="Q182" i="2" s="1"/>
  <c r="S182" i="2" s="1"/>
  <c r="Q86" i="2"/>
  <c r="S86" i="2" s="1"/>
  <c r="O66" i="2" a="1"/>
  <c r="O66" i="2" s="1"/>
  <c r="Q66" i="2" s="1"/>
  <c r="S66" i="2" s="1"/>
  <c r="L5" i="2"/>
  <c r="R86" i="2"/>
  <c r="O159" i="2" a="1"/>
  <c r="O159" i="2" s="1"/>
  <c r="R91" i="2"/>
  <c r="AG241" i="2"/>
  <c r="AK241" i="2"/>
  <c r="AK7" i="2"/>
  <c r="AK130" i="2"/>
  <c r="U42" i="2"/>
  <c r="R217" i="2"/>
  <c r="Q217" i="2"/>
  <c r="S217" i="2" s="1"/>
  <c r="Q126" i="2"/>
  <c r="S126" i="2" s="1"/>
  <c r="U223" i="2"/>
  <c r="O195" i="2" a="1"/>
  <c r="O195" i="2" s="1"/>
  <c r="AG195" i="2" s="1"/>
  <c r="AG235" i="2"/>
  <c r="R235" i="2"/>
  <c r="AK235" i="2"/>
  <c r="AL235" i="2" s="1"/>
  <c r="AG97" i="2"/>
  <c r="O125" i="2" a="1"/>
  <c r="O125" i="2" s="1"/>
  <c r="AG125" i="2" s="1"/>
  <c r="AG123" i="2"/>
  <c r="R123" i="2"/>
  <c r="R126" i="2"/>
  <c r="AK102" i="2"/>
  <c r="Q241" i="2"/>
  <c r="S241" i="2" s="1"/>
  <c r="T241" i="2" s="1"/>
  <c r="Q102" i="2"/>
  <c r="S102" i="2" s="1"/>
  <c r="T102" i="2" s="1"/>
  <c r="R16" i="2"/>
  <c r="U244" i="2"/>
  <c r="AG16" i="2"/>
  <c r="AK16" i="2"/>
  <c r="O173" i="2" a="1"/>
  <c r="O173" i="2" s="1"/>
  <c r="Q173" i="2" s="1"/>
  <c r="S173" i="2" s="1"/>
  <c r="AG102" i="2"/>
  <c r="O169" i="2" a="1"/>
  <c r="O169" i="2" s="1"/>
  <c r="AK169" i="2" s="1"/>
  <c r="O144" i="2" a="1"/>
  <c r="O144" i="2" s="1"/>
  <c r="AK144" i="2" s="1"/>
  <c r="AK91" i="2"/>
  <c r="O136" i="2" a="1"/>
  <c r="O136" i="2" s="1"/>
  <c r="AG136" i="2" s="1"/>
  <c r="Q91" i="2"/>
  <c r="S91" i="2" s="1"/>
  <c r="AK12" i="2"/>
  <c r="Q12" i="2"/>
  <c r="S12" i="2" s="1"/>
  <c r="AJ12" i="2" s="1"/>
  <c r="Q69" i="2"/>
  <c r="S69" i="2" s="1"/>
  <c r="O103" i="2" a="1"/>
  <c r="O103" i="2" s="1"/>
  <c r="O156" i="2" a="1"/>
  <c r="O156" i="2" s="1"/>
  <c r="AG18" i="2"/>
  <c r="AG12" i="2"/>
  <c r="Q83" i="2"/>
  <c r="S83" i="2" s="1"/>
  <c r="O239" i="2" a="1"/>
  <c r="O239" i="2" s="1"/>
  <c r="AG239" i="2" s="1"/>
  <c r="AG83" i="2"/>
  <c r="AG49" i="2"/>
  <c r="AK47" i="2"/>
  <c r="R49" i="2"/>
  <c r="AK49" i="2"/>
  <c r="R206" i="2"/>
  <c r="U92" i="2"/>
  <c r="Q32" i="2"/>
  <c r="S32" i="2" s="1"/>
  <c r="T32" i="2" s="1"/>
  <c r="AG250" i="2"/>
  <c r="AG187" i="2"/>
  <c r="O63" i="2" a="1"/>
  <c r="O63" i="2" s="1"/>
  <c r="Q63" i="2" s="1"/>
  <c r="S63" i="2" s="1"/>
  <c r="Q187" i="2"/>
  <c r="S187" i="2" s="1"/>
  <c r="AJ187" i="2" s="1"/>
  <c r="O67" i="2" a="1"/>
  <c r="O67" i="2" s="1"/>
  <c r="AK67" i="2" s="1"/>
  <c r="AL67" i="2" s="1"/>
  <c r="AG57" i="2"/>
  <c r="AG69" i="2"/>
  <c r="AK127" i="2"/>
  <c r="AM127" i="2" s="1"/>
  <c r="Q47" i="2"/>
  <c r="S47" i="2" s="1"/>
  <c r="AK119" i="2"/>
  <c r="R47" i="2"/>
  <c r="Q127" i="2"/>
  <c r="S127" i="2" s="1"/>
  <c r="AJ127" i="2" s="1"/>
  <c r="AK138" i="2"/>
  <c r="Q119" i="2"/>
  <c r="S119" i="2" s="1"/>
  <c r="AK206" i="2"/>
  <c r="AM206" i="2" s="1"/>
  <c r="AG206" i="2"/>
  <c r="AG182" i="2"/>
  <c r="R26" i="2"/>
  <c r="R238" i="2"/>
  <c r="AG89" i="2"/>
  <c r="R182" i="2"/>
  <c r="O225" i="2" a="1"/>
  <c r="O225" i="2" s="1"/>
  <c r="AG26" i="2"/>
  <c r="AG238" i="2"/>
  <c r="R89" i="2"/>
  <c r="O181" i="2" a="1"/>
  <c r="O181" i="2" s="1"/>
  <c r="AG127" i="2"/>
  <c r="AK26" i="2"/>
  <c r="AL26" i="2" s="1"/>
  <c r="AK238" i="2"/>
  <c r="AM238" i="2" s="1"/>
  <c r="AK89" i="2"/>
  <c r="AL89" i="2" s="1"/>
  <c r="R119" i="2"/>
  <c r="AK250" i="2"/>
  <c r="AM250" i="2" s="1"/>
  <c r="R69" i="2"/>
  <c r="R250" i="2"/>
  <c r="O215" i="2" a="1"/>
  <c r="O215" i="2" s="1"/>
  <c r="R57" i="2"/>
  <c r="R187" i="2"/>
  <c r="O94" i="2" a="1"/>
  <c r="O94" i="2" s="1"/>
  <c r="Q94" i="2" s="1"/>
  <c r="S94" i="2" s="1"/>
  <c r="T94" i="2" s="1"/>
  <c r="AK57" i="2"/>
  <c r="AM57" i="2" s="1"/>
  <c r="O38" i="2" a="1"/>
  <c r="O38" i="2" s="1"/>
  <c r="R38" i="2" s="1"/>
  <c r="R97" i="2"/>
  <c r="Q8" i="2"/>
  <c r="S8" i="2" s="1"/>
  <c r="AH8" i="2" s="1"/>
  <c r="R242" i="2"/>
  <c r="AG186" i="2"/>
  <c r="Q242" i="2"/>
  <c r="S242" i="2" s="1"/>
  <c r="AJ242" i="2" s="1"/>
  <c r="AK97" i="2"/>
  <c r="AM97" i="2" s="1"/>
  <c r="AK186" i="2"/>
  <c r="AM186" i="2" s="1"/>
  <c r="R186" i="2"/>
  <c r="R135" i="2"/>
  <c r="O85" i="2" a="1"/>
  <c r="O85" i="2" s="1"/>
  <c r="Q85" i="2" s="1"/>
  <c r="S85" i="2" s="1"/>
  <c r="AG135" i="2"/>
  <c r="O151" i="2" a="1"/>
  <c r="O151" i="2" s="1"/>
  <c r="AK135" i="2"/>
  <c r="AL135" i="2" s="1"/>
  <c r="R8" i="2"/>
  <c r="N9" i="2"/>
  <c r="O9" i="2" s="1" a="1"/>
  <c r="O9" i="2" s="1"/>
  <c r="O14" i="2" a="1"/>
  <c r="O14" i="2" s="1"/>
  <c r="O25" i="2" a="1"/>
  <c r="O25" i="2" s="1"/>
  <c r="AK25" i="2" s="1"/>
  <c r="O157" i="2" a="1"/>
  <c r="O157" i="2" s="1"/>
  <c r="O201" i="2" a="1"/>
  <c r="O201" i="2" s="1"/>
  <c r="AK201" i="2" s="1"/>
  <c r="AK152" i="2"/>
  <c r="AG152" i="2"/>
  <c r="O161" i="2" a="1"/>
  <c r="O161" i="2" s="1"/>
  <c r="R152" i="2"/>
  <c r="AK99" i="2"/>
  <c r="AL99" i="2" s="1"/>
  <c r="R74" i="2"/>
  <c r="AG226" i="2"/>
  <c r="R70" i="2"/>
  <c r="AG59" i="2"/>
  <c r="AK74" i="2"/>
  <c r="AM74" i="2" s="1"/>
  <c r="R226" i="2"/>
  <c r="AK70" i="2"/>
  <c r="AM70" i="2" s="1"/>
  <c r="R99" i="2"/>
  <c r="Q74" i="2"/>
  <c r="S74" i="2" s="1"/>
  <c r="T74" i="2" s="1"/>
  <c r="Q226" i="2"/>
  <c r="S226" i="2" s="1"/>
  <c r="T226" i="2" s="1"/>
  <c r="Q99" i="2"/>
  <c r="S99" i="2" s="1"/>
  <c r="AJ99" i="2" s="1"/>
  <c r="R59" i="2"/>
  <c r="AK59" i="2"/>
  <c r="AM59" i="2" s="1"/>
  <c r="AK60" i="2"/>
  <c r="AL60" i="2" s="1"/>
  <c r="R148" i="2"/>
  <c r="AG148" i="2"/>
  <c r="AG95" i="2"/>
  <c r="AK95" i="2"/>
  <c r="AL95" i="2" s="1"/>
  <c r="AK148" i="2"/>
  <c r="AL148" i="2" s="1"/>
  <c r="O17" i="2" a="1"/>
  <c r="O17" i="2" s="1"/>
  <c r="O196" i="2" a="1"/>
  <c r="O196" i="2" s="1"/>
  <c r="R196" i="2" s="1"/>
  <c r="Q18" i="2"/>
  <c r="S18" i="2" s="1"/>
  <c r="Y18" i="2" s="1"/>
  <c r="O115" i="2" a="1"/>
  <c r="O115" i="2" s="1"/>
  <c r="Q115" i="2" s="1"/>
  <c r="S115" i="2" s="1"/>
  <c r="Q194" i="2"/>
  <c r="S194" i="2" s="1"/>
  <c r="T194" i="2" s="1"/>
  <c r="AK83" i="2"/>
  <c r="AM83" i="2" s="1"/>
  <c r="O36" i="2" a="1"/>
  <c r="O36" i="2" s="1"/>
  <c r="AG36" i="2" s="1"/>
  <c r="AG7" i="2"/>
  <c r="R227" i="2"/>
  <c r="Q70" i="2"/>
  <c r="S70" i="2" s="1"/>
  <c r="T70" i="2" s="1"/>
  <c r="R128" i="2"/>
  <c r="R95" i="2"/>
  <c r="AG227" i="2"/>
  <c r="Q128" i="2"/>
  <c r="S128" i="2" s="1"/>
  <c r="AG60" i="2"/>
  <c r="O219" i="2" a="1"/>
  <c r="O219" i="2" s="1"/>
  <c r="U247" i="2"/>
  <c r="O247" i="2" a="1"/>
  <c r="O247" i="2" s="1"/>
  <c r="AK227" i="2"/>
  <c r="AM227" i="2" s="1"/>
  <c r="O192" i="2" a="1"/>
  <c r="O192" i="2" s="1"/>
  <c r="AK192" i="2" s="1"/>
  <c r="O117" i="2" a="1"/>
  <c r="O117" i="2" s="1"/>
  <c r="Q198" i="2"/>
  <c r="S198" i="2" s="1"/>
  <c r="Y198" i="2" s="1"/>
  <c r="AH198" i="2" s="1"/>
  <c r="AI198" i="2" s="1"/>
  <c r="O110" i="2" a="1"/>
  <c r="O110" i="2" s="1"/>
  <c r="Q110" i="2" s="1"/>
  <c r="S110" i="2" s="1"/>
  <c r="O213" i="2" a="1"/>
  <c r="O213" i="2" s="1"/>
  <c r="Q143" i="2"/>
  <c r="S143" i="2" s="1"/>
  <c r="Y143" i="2" s="1"/>
  <c r="AH143" i="2" s="1"/>
  <c r="AI143" i="2" s="1"/>
  <c r="O164" i="2" a="1"/>
  <c r="O164" i="2" s="1"/>
  <c r="R164" i="2" s="1"/>
  <c r="R18" i="2"/>
  <c r="Q60" i="2"/>
  <c r="S60" i="2" s="1"/>
  <c r="T60" i="2" s="1"/>
  <c r="O33" i="2" a="1"/>
  <c r="O33" i="2" s="1"/>
  <c r="O61" i="2" a="1"/>
  <c r="O61" i="2" s="1"/>
  <c r="AK66" i="2"/>
  <c r="AL66" i="2" s="1"/>
  <c r="O82" i="2" a="1"/>
  <c r="O82" i="2" s="1"/>
  <c r="AG66" i="2"/>
  <c r="R30" i="2"/>
  <c r="AK30" i="2"/>
  <c r="R32" i="2"/>
  <c r="R66" i="2"/>
  <c r="O178" i="2" a="1"/>
  <c r="O178" i="2" s="1"/>
  <c r="Q178" i="2" s="1"/>
  <c r="S178" i="2" s="1"/>
  <c r="Q30" i="2"/>
  <c r="S30" i="2" s="1"/>
  <c r="T30" i="2" s="1"/>
  <c r="O48" i="2" a="1"/>
  <c r="O48" i="2" s="1"/>
  <c r="Q48" i="2" s="1"/>
  <c r="S48" i="2" s="1"/>
  <c r="AG32" i="2"/>
  <c r="R130" i="2"/>
  <c r="R143" i="2"/>
  <c r="O134" i="2" a="1"/>
  <c r="O134" i="2" s="1"/>
  <c r="Q134" i="2" s="1"/>
  <c r="S134" i="2" s="1"/>
  <c r="AJ134" i="2" s="1"/>
  <c r="O233" i="2" a="1"/>
  <c r="O233" i="2" s="1"/>
  <c r="AG37" i="2"/>
  <c r="AG138" i="2"/>
  <c r="R253" i="2"/>
  <c r="Q131" i="2"/>
  <c r="S131" i="2" s="1"/>
  <c r="T131" i="2" s="1"/>
  <c r="R37" i="2"/>
  <c r="AG143" i="2"/>
  <c r="R79" i="2"/>
  <c r="O174" i="2" a="1"/>
  <c r="O174" i="2" s="1"/>
  <c r="AG174" i="2" s="1"/>
  <c r="Q138" i="2"/>
  <c r="S138" i="2" s="1"/>
  <c r="T138" i="2" s="1"/>
  <c r="AK37" i="2"/>
  <c r="AM37" i="2" s="1"/>
  <c r="AG203" i="2"/>
  <c r="Q79" i="2"/>
  <c r="S79" i="2" s="1"/>
  <c r="Y79" i="2" s="1"/>
  <c r="AH79" i="2" s="1"/>
  <c r="AI79" i="2" s="1"/>
  <c r="U77" i="2"/>
  <c r="O76" i="2" a="1"/>
  <c r="O76" i="2" s="1"/>
  <c r="R165" i="2"/>
  <c r="Q253" i="2"/>
  <c r="S253" i="2" s="1"/>
  <c r="T253" i="2" s="1"/>
  <c r="AG165" i="2"/>
  <c r="R234" i="2"/>
  <c r="R203" i="2"/>
  <c r="O236" i="2" a="1"/>
  <c r="O236" i="2" s="1"/>
  <c r="Q236" i="2" s="1"/>
  <c r="S236" i="2" s="1"/>
  <c r="O112" i="2" a="1"/>
  <c r="O112" i="2" s="1"/>
  <c r="R112" i="2" s="1"/>
  <c r="O243" i="2" a="1"/>
  <c r="O243" i="2" s="1"/>
  <c r="Q243" i="2" s="1"/>
  <c r="S243" i="2" s="1"/>
  <c r="AK165" i="2"/>
  <c r="AM165" i="2" s="1"/>
  <c r="AG234" i="2"/>
  <c r="AK203" i="2"/>
  <c r="AL203" i="2" s="1"/>
  <c r="O237" i="2" a="1"/>
  <c r="O237" i="2" s="1"/>
  <c r="AG131" i="2"/>
  <c r="O218" i="2" a="1"/>
  <c r="O218" i="2" s="1"/>
  <c r="AK131" i="2"/>
  <c r="AL131" i="2" s="1"/>
  <c r="O129" i="2" a="1"/>
  <c r="O129" i="2" s="1"/>
  <c r="Q129" i="2" s="1"/>
  <c r="S129" i="2" s="1"/>
  <c r="O222" i="2" a="1"/>
  <c r="O222" i="2" s="1"/>
  <c r="O50" i="2" a="1"/>
  <c r="O50" i="2" s="1"/>
  <c r="O87" i="2" a="1"/>
  <c r="O87" i="2" s="1"/>
  <c r="AG87" i="2" s="1"/>
  <c r="O230" i="2" a="1"/>
  <c r="O230" i="2" s="1"/>
  <c r="AK230" i="2" s="1"/>
  <c r="O121" i="2" a="1"/>
  <c r="O121" i="2" s="1"/>
  <c r="R198" i="2"/>
  <c r="O22" i="2" a="1"/>
  <c r="O22" i="2" s="1"/>
  <c r="AG128" i="2"/>
  <c r="O145" i="2" a="1"/>
  <c r="O145" i="2" s="1"/>
  <c r="O170" i="2" a="1"/>
  <c r="O170" i="2" s="1"/>
  <c r="Q170" i="2" s="1"/>
  <c r="S170" i="2" s="1"/>
  <c r="O132" i="2" a="1"/>
  <c r="O132" i="2" s="1"/>
  <c r="Q234" i="2"/>
  <c r="S234" i="2" s="1"/>
  <c r="T234" i="2" s="1"/>
  <c r="AG198" i="2"/>
  <c r="U13" i="2"/>
  <c r="O13" i="2" a="1"/>
  <c r="O13" i="2" s="1"/>
  <c r="U56" i="2"/>
  <c r="O56" i="2" a="1"/>
  <c r="O56" i="2" s="1"/>
  <c r="U190" i="2"/>
  <c r="O190" i="2" a="1"/>
  <c r="O190" i="2" s="1"/>
  <c r="U142" i="2"/>
  <c r="O142" i="2" a="1"/>
  <c r="O142" i="2" s="1"/>
  <c r="U84" i="2"/>
  <c r="O84" i="2" a="1"/>
  <c r="O84" i="2" s="1"/>
  <c r="U75" i="2"/>
  <c r="O75" i="2" a="1"/>
  <c r="O75" i="2" s="1"/>
  <c r="U248" i="2"/>
  <c r="O248" i="2" a="1"/>
  <c r="O248" i="2" s="1"/>
  <c r="U15" i="2"/>
  <c r="O15" i="2" a="1"/>
  <c r="O15" i="2" s="1"/>
  <c r="O124" i="2" a="1"/>
  <c r="O124" i="2" s="1"/>
  <c r="U124" i="2"/>
  <c r="U240" i="2"/>
  <c r="O240" i="2" a="1"/>
  <c r="O240" i="2" s="1"/>
  <c r="U120" i="2"/>
  <c r="O120" i="2" a="1"/>
  <c r="O120" i="2" s="1"/>
  <c r="U141" i="2"/>
  <c r="O141" i="2" a="1"/>
  <c r="O141" i="2" s="1"/>
  <c r="U212" i="2"/>
  <c r="O212" i="2" a="1"/>
  <c r="O212" i="2" s="1"/>
  <c r="U62" i="2"/>
  <c r="O62" i="2" a="1"/>
  <c r="O62" i="2" s="1"/>
  <c r="AG88" i="2"/>
  <c r="AG130" i="2"/>
  <c r="U44" i="2"/>
  <c r="O44" i="2" a="1"/>
  <c r="O44" i="2" s="1"/>
  <c r="U229" i="2"/>
  <c r="O229" i="2" a="1"/>
  <c r="O229" i="2" s="1"/>
  <c r="U104" i="2"/>
  <c r="O104" i="2" a="1"/>
  <c r="O104" i="2" s="1"/>
  <c r="O72" i="2" a="1"/>
  <c r="O72" i="2" s="1"/>
  <c r="U72" i="2"/>
  <c r="O220" i="2" a="1"/>
  <c r="O220" i="2" s="1"/>
  <c r="U180" i="2"/>
  <c r="O180" i="2" a="1"/>
  <c r="O180" i="2" s="1"/>
  <c r="U172" i="2"/>
  <c r="O172" i="2" a="1"/>
  <c r="O172" i="2" s="1"/>
  <c r="U21" i="2"/>
  <c r="O21" i="2" a="1"/>
  <c r="O21" i="2" s="1"/>
  <c r="O162" i="2" a="1"/>
  <c r="O162" i="2" s="1"/>
  <c r="U106" i="2"/>
  <c r="O106" i="2" a="1"/>
  <c r="O106" i="2" s="1"/>
  <c r="U205" i="2"/>
  <c r="O205" i="2" a="1"/>
  <c r="O205" i="2" s="1"/>
  <c r="U154" i="2"/>
  <c r="O154" i="2" a="1"/>
  <c r="O154" i="2" s="1"/>
  <c r="O133" i="2" a="1"/>
  <c r="O133" i="2" s="1"/>
  <c r="U133" i="2"/>
  <c r="U208" i="2"/>
  <c r="O208" i="2" a="1"/>
  <c r="O208" i="2" s="1"/>
  <c r="U189" i="2"/>
  <c r="O189" i="2" a="1"/>
  <c r="O189" i="2" s="1"/>
  <c r="U252" i="2"/>
  <c r="O252" i="2" a="1"/>
  <c r="O252" i="2" s="1"/>
  <c r="U188" i="2"/>
  <c r="O188" i="2" a="1"/>
  <c r="O188" i="2" s="1"/>
  <c r="U221" i="2"/>
  <c r="O221" i="2" a="1"/>
  <c r="O221" i="2" s="1"/>
  <c r="U200" i="2"/>
  <c r="O200" i="2" a="1"/>
  <c r="O200" i="2" s="1"/>
  <c r="AK88" i="2"/>
  <c r="AL88" i="2" s="1"/>
  <c r="AK194" i="2"/>
  <c r="AM194" i="2" s="1"/>
  <c r="O96" i="2" a="1"/>
  <c r="O96" i="2" s="1"/>
  <c r="U96" i="2"/>
  <c r="O29" i="2" a="1"/>
  <c r="O29" i="2" s="1"/>
  <c r="U29" i="2"/>
  <c r="AJ182" i="2"/>
  <c r="Y182" i="2"/>
  <c r="AH182" i="2" s="1"/>
  <c r="AI182" i="2" s="1"/>
  <c r="T182" i="2"/>
  <c r="O100" i="2" a="1"/>
  <c r="O100" i="2" s="1"/>
  <c r="U245" i="2"/>
  <c r="O245" i="2" a="1"/>
  <c r="O245" i="2" s="1"/>
  <c r="O52" i="2" a="1"/>
  <c r="O52" i="2" s="1"/>
  <c r="O140" i="2" a="1"/>
  <c r="O140" i="2" s="1"/>
  <c r="U140" i="2"/>
  <c r="U228" i="2"/>
  <c r="O228" i="2" a="1"/>
  <c r="O228" i="2" s="1"/>
  <c r="AG194" i="2"/>
  <c r="O5" i="2" a="1"/>
  <c r="O5" i="2" s="1"/>
  <c r="Q5" i="2" s="1"/>
  <c r="S5" i="2" s="1"/>
  <c r="O46" i="2" a="1"/>
  <c r="O46" i="2" s="1"/>
  <c r="U232" i="2"/>
  <c r="O232" i="2" a="1"/>
  <c r="O232" i="2" s="1"/>
  <c r="U58" i="2"/>
  <c r="O58" i="2" a="1"/>
  <c r="O58" i="2" s="1"/>
  <c r="U80" i="2"/>
  <c r="O80" i="2" a="1"/>
  <c r="O80" i="2" s="1"/>
  <c r="U27" i="2"/>
  <c r="O27" i="2" a="1"/>
  <c r="O27" i="2" s="1"/>
  <c r="U224" i="2"/>
  <c r="O224" i="2" a="1"/>
  <c r="O224" i="2" s="1"/>
  <c r="U216" i="2"/>
  <c r="O216" i="2" a="1"/>
  <c r="O216" i="2" s="1"/>
  <c r="U35" i="2"/>
  <c r="O35" i="2" a="1"/>
  <c r="O35" i="2" s="1"/>
  <c r="Q4" i="2"/>
  <c r="S4" i="2" s="1"/>
  <c r="AK4" i="2"/>
  <c r="AM4" i="2" s="1"/>
  <c r="AL4" i="2" s="1"/>
  <c r="AG4" i="2"/>
  <c r="R4" i="2"/>
  <c r="U108" i="2"/>
  <c r="O108" i="2" a="1"/>
  <c r="O108" i="2" s="1"/>
  <c r="U176" i="2"/>
  <c r="O176" i="2" a="1"/>
  <c r="O176" i="2" s="1"/>
  <c r="U149" i="2"/>
  <c r="O149" i="2" a="1"/>
  <c r="O149" i="2" s="1"/>
  <c r="U109" i="2"/>
  <c r="O109" i="2" a="1"/>
  <c r="O109" i="2" s="1"/>
  <c r="U184" i="2"/>
  <c r="O184" i="2" a="1"/>
  <c r="O184" i="2" s="1"/>
  <c r="U114" i="2"/>
  <c r="O114" i="2" a="1"/>
  <c r="O114" i="2" s="1"/>
  <c r="U158" i="2"/>
  <c r="O158" i="2" a="1"/>
  <c r="O158" i="2" s="1"/>
  <c r="U146" i="2"/>
  <c r="O146" i="2" a="1"/>
  <c r="O146" i="2" s="1"/>
  <c r="U122" i="2"/>
  <c r="O122" i="2" a="1"/>
  <c r="O122" i="2" s="1"/>
  <c r="U204" i="2"/>
  <c r="O204" i="2" a="1"/>
  <c r="O204" i="2" s="1"/>
  <c r="O40" i="2" a="1"/>
  <c r="O40" i="2" s="1"/>
  <c r="U19" i="2"/>
  <c r="O19" i="2" a="1"/>
  <c r="O19" i="2" s="1"/>
  <c r="U166" i="2"/>
  <c r="O166" i="2" a="1"/>
  <c r="O166" i="2" s="1"/>
  <c r="O64" i="2" a="1"/>
  <c r="O64" i="2" s="1"/>
  <c r="U64" i="2"/>
  <c r="U150" i="2"/>
  <c r="O150" i="2" a="1"/>
  <c r="O150" i="2" s="1"/>
  <c r="AZ2" i="2"/>
  <c r="Q239" i="2"/>
  <c r="S239" i="2" s="1"/>
  <c r="AK239" i="2"/>
  <c r="R239" i="2"/>
  <c r="Q42" i="2"/>
  <c r="S42" i="2" s="1"/>
  <c r="AK42" i="2"/>
  <c r="R42" i="2"/>
  <c r="AG42" i="2"/>
  <c r="Q246" i="2"/>
  <c r="S246" i="2" s="1"/>
  <c r="AK246" i="2"/>
  <c r="AG246" i="2"/>
  <c r="R246" i="2"/>
  <c r="Q92" i="2"/>
  <c r="S92" i="2" s="1"/>
  <c r="R92" i="2"/>
  <c r="AK92" i="2"/>
  <c r="AG92" i="2"/>
  <c r="Q244" i="2"/>
  <c r="S244" i="2" s="1"/>
  <c r="AK244" i="2"/>
  <c r="R244" i="2"/>
  <c r="AG244" i="2"/>
  <c r="Q207" i="2"/>
  <c r="S207" i="2" s="1"/>
  <c r="AG207" i="2"/>
  <c r="AK207" i="2"/>
  <c r="R207" i="2"/>
  <c r="T148" i="2"/>
  <c r="Y148" i="2"/>
  <c r="AH148" i="2" s="1"/>
  <c r="AI148" i="2" s="1"/>
  <c r="AJ148" i="2"/>
  <c r="Q153" i="2"/>
  <c r="S153" i="2" s="1"/>
  <c r="AK153" i="2"/>
  <c r="AG153" i="2"/>
  <c r="R153" i="2"/>
  <c r="Q160" i="2"/>
  <c r="S160" i="2" s="1"/>
  <c r="R160" i="2"/>
  <c r="AK160" i="2"/>
  <c r="AG160" i="2"/>
  <c r="Q10" i="2"/>
  <c r="S10" i="2" s="1"/>
  <c r="AG10" i="2"/>
  <c r="AK10" i="2"/>
  <c r="R10" i="2"/>
  <c r="Q125" i="2"/>
  <c r="S125" i="2" s="1"/>
  <c r="AK125" i="2"/>
  <c r="R125" i="2"/>
  <c r="AG85" i="2"/>
  <c r="AK85" i="2"/>
  <c r="R85" i="2"/>
  <c r="Q223" i="2"/>
  <c r="S223" i="2" s="1"/>
  <c r="AK223" i="2"/>
  <c r="AG223" i="2"/>
  <c r="R223" i="2"/>
  <c r="Q116" i="2"/>
  <c r="S116" i="2" s="1"/>
  <c r="R116" i="2"/>
  <c r="AG116" i="2"/>
  <c r="AK116" i="2"/>
  <c r="AJ250" i="2"/>
  <c r="Y250" i="2"/>
  <c r="AH250" i="2" s="1"/>
  <c r="AI250" i="2" s="1"/>
  <c r="T250" i="2"/>
  <c r="Q90" i="2"/>
  <c r="S90" i="2" s="1"/>
  <c r="AK90" i="2"/>
  <c r="R90" i="2"/>
  <c r="AG90" i="2"/>
  <c r="Q36" i="2"/>
  <c r="S36" i="2" s="1"/>
  <c r="Q54" i="2"/>
  <c r="S54" i="2" s="1"/>
  <c r="R54" i="2"/>
  <c r="AG54" i="2"/>
  <c r="AK54" i="2"/>
  <c r="AL198" i="2"/>
  <c r="AM198" i="2"/>
  <c r="AL7" i="2"/>
  <c r="AM7" i="2"/>
  <c r="Q68" i="2"/>
  <c r="S68" i="2" s="1"/>
  <c r="R68" i="2"/>
  <c r="AK68" i="2"/>
  <c r="AG68" i="2"/>
  <c r="AH7" i="2"/>
  <c r="Q77" i="2"/>
  <c r="S77" i="2" s="1"/>
  <c r="R77" i="2"/>
  <c r="AG77" i="2"/>
  <c r="AK77" i="2"/>
  <c r="Q98" i="2"/>
  <c r="S98" i="2" s="1"/>
  <c r="AK98" i="2"/>
  <c r="R98" i="2"/>
  <c r="AG98" i="2"/>
  <c r="Q214" i="2"/>
  <c r="S214" i="2" s="1"/>
  <c r="R214" i="2"/>
  <c r="AG214" i="2"/>
  <c r="AK214" i="2"/>
  <c r="Q197" i="2"/>
  <c r="S197" i="2" s="1"/>
  <c r="AK197" i="2"/>
  <c r="R197" i="2"/>
  <c r="AG197" i="2"/>
  <c r="T66" i="2"/>
  <c r="AJ66" i="2"/>
  <c r="Y66" i="2"/>
  <c r="AH66" i="2" s="1"/>
  <c r="AI66" i="2" s="1"/>
  <c r="Q168" i="2"/>
  <c r="S168" i="2" s="1"/>
  <c r="R168" i="2"/>
  <c r="AG168" i="2"/>
  <c r="AK168" i="2"/>
  <c r="Q65" i="2"/>
  <c r="S65" i="2" s="1"/>
  <c r="AK65" i="2"/>
  <c r="R65" i="2"/>
  <c r="AG65" i="2"/>
  <c r="AH11" i="2"/>
  <c r="AJ11" i="2"/>
  <c r="T12" i="2"/>
  <c r="Y12" i="2"/>
  <c r="AH12" i="2"/>
  <c r="AI12" i="2" s="1"/>
  <c r="T57" i="2"/>
  <c r="AJ57" i="2"/>
  <c r="Y57" i="2"/>
  <c r="AH57" i="2" s="1"/>
  <c r="AI57" i="2" s="1"/>
  <c r="AL241" i="2"/>
  <c r="AM241" i="2"/>
  <c r="T186" i="2"/>
  <c r="AJ186" i="2"/>
  <c r="Y186" i="2"/>
  <c r="AH186" i="2" s="1"/>
  <c r="AI186" i="2" s="1"/>
  <c r="AL47" i="2"/>
  <c r="AM47" i="2"/>
  <c r="T217" i="2"/>
  <c r="AJ217" i="2"/>
  <c r="Y217" i="2"/>
  <c r="AH217" i="2" s="1"/>
  <c r="AI217" i="2" s="1"/>
  <c r="T242" i="2"/>
  <c r="Y242" i="2"/>
  <c r="AH242" i="2" s="1"/>
  <c r="AI242" i="2" s="1"/>
  <c r="T187" i="2"/>
  <c r="Q118" i="2"/>
  <c r="S118" i="2" s="1"/>
  <c r="AK118" i="2"/>
  <c r="AG118" i="2"/>
  <c r="R118" i="2"/>
  <c r="T41" i="2"/>
  <c r="AJ41" i="2"/>
  <c r="Y41" i="2"/>
  <c r="AH41" i="2" s="1"/>
  <c r="AI41" i="2" s="1"/>
  <c r="AL37" i="2"/>
  <c r="Q137" i="2"/>
  <c r="S137" i="2" s="1"/>
  <c r="AK137" i="2"/>
  <c r="AG137" i="2"/>
  <c r="R137" i="2"/>
  <c r="Q81" i="2"/>
  <c r="S81" i="2" s="1"/>
  <c r="AK81" i="2"/>
  <c r="AG81" i="2"/>
  <c r="R81" i="2"/>
  <c r="AL234" i="2"/>
  <c r="AM234" i="2"/>
  <c r="Q51" i="2"/>
  <c r="S51" i="2" s="1"/>
  <c r="AK51" i="2"/>
  <c r="R51" i="2"/>
  <c r="AG51" i="2"/>
  <c r="AL211" i="2"/>
  <c r="AM211" i="2"/>
  <c r="T88" i="2"/>
  <c r="AJ88" i="2"/>
  <c r="Y88" i="2"/>
  <c r="AH88" i="2" s="1"/>
  <c r="AI88" i="2" s="1"/>
  <c r="T47" i="2"/>
  <c r="AJ47" i="2"/>
  <c r="Y47" i="2"/>
  <c r="AH47" i="2" s="1"/>
  <c r="AI47" i="2" s="1"/>
  <c r="AL43" i="2"/>
  <c r="AM43" i="2"/>
  <c r="Q167" i="2"/>
  <c r="S167" i="2" s="1"/>
  <c r="AK167" i="2"/>
  <c r="R167" i="2"/>
  <c r="AG167" i="2"/>
  <c r="Q179" i="2"/>
  <c r="S179" i="2" s="1"/>
  <c r="AK179" i="2"/>
  <c r="R179" i="2"/>
  <c r="AG179" i="2"/>
  <c r="AL226" i="2"/>
  <c r="AM226" i="2"/>
  <c r="Q28" i="2"/>
  <c r="S28" i="2" s="1"/>
  <c r="AK28" i="2"/>
  <c r="R28" i="2"/>
  <c r="AG28" i="2"/>
  <c r="T37" i="2"/>
  <c r="AJ37" i="2"/>
  <c r="Y37" i="2"/>
  <c r="AH37" i="2" s="1"/>
  <c r="AI37" i="2" s="1"/>
  <c r="Q105" i="2"/>
  <c r="S105" i="2" s="1"/>
  <c r="AK105" i="2"/>
  <c r="R105" i="2"/>
  <c r="AG105" i="2"/>
  <c r="Q93" i="2"/>
  <c r="S93" i="2" s="1"/>
  <c r="AK93" i="2"/>
  <c r="R93" i="2"/>
  <c r="AG93" i="2"/>
  <c r="Q6" i="2"/>
  <c r="S6" i="2" s="1"/>
  <c r="AK6" i="2"/>
  <c r="AG6" i="2"/>
  <c r="R6" i="2"/>
  <c r="AL227" i="2"/>
  <c r="AL238" i="2"/>
  <c r="AL16" i="2"/>
  <c r="AM16" i="2"/>
  <c r="Q210" i="2"/>
  <c r="S210" i="2" s="1"/>
  <c r="AK210" i="2"/>
  <c r="R210" i="2"/>
  <c r="AG210" i="2"/>
  <c r="T123" i="2"/>
  <c r="Y123" i="2"/>
  <c r="AH123" i="2" s="1"/>
  <c r="AI123" i="2" s="1"/>
  <c r="AJ123" i="2"/>
  <c r="Q209" i="2"/>
  <c r="S209" i="2" s="1"/>
  <c r="AK209" i="2"/>
  <c r="AG209" i="2"/>
  <c r="R209" i="2"/>
  <c r="Q101" i="2"/>
  <c r="S101" i="2" s="1"/>
  <c r="AK101" i="2"/>
  <c r="R101" i="2"/>
  <c r="AG101" i="2"/>
  <c r="T165" i="2"/>
  <c r="AJ165" i="2"/>
  <c r="Y165" i="2"/>
  <c r="AH165" i="2" s="1"/>
  <c r="AI165" i="2" s="1"/>
  <c r="T211" i="2"/>
  <c r="AJ211" i="2"/>
  <c r="Y211" i="2"/>
  <c r="AH211" i="2" s="1"/>
  <c r="AI211" i="2" s="1"/>
  <c r="T43" i="2"/>
  <c r="Y43" i="2"/>
  <c r="AH43" i="2" s="1"/>
  <c r="AI43" i="2" s="1"/>
  <c r="AJ43" i="2"/>
  <c r="AL253" i="2"/>
  <c r="AM253" i="2"/>
  <c r="Q202" i="2"/>
  <c r="S202" i="2" s="1"/>
  <c r="AK202" i="2"/>
  <c r="R202" i="2"/>
  <c r="AG202" i="2"/>
  <c r="AL32" i="2"/>
  <c r="AM32" i="2"/>
  <c r="Q249" i="2"/>
  <c r="S249" i="2" s="1"/>
  <c r="AK249" i="2"/>
  <c r="R249" i="2"/>
  <c r="AG249" i="2"/>
  <c r="AL191" i="2"/>
  <c r="AM191" i="2"/>
  <c r="Q155" i="2"/>
  <c r="S155" i="2" s="1"/>
  <c r="AK155" i="2"/>
  <c r="R155" i="2"/>
  <c r="AG155" i="2"/>
  <c r="T227" i="2"/>
  <c r="AJ227" i="2"/>
  <c r="Y227" i="2"/>
  <c r="AH227" i="2" s="1"/>
  <c r="AI227" i="2" s="1"/>
  <c r="T238" i="2"/>
  <c r="AJ238" i="2"/>
  <c r="Y238" i="2"/>
  <c r="AH238" i="2" s="1"/>
  <c r="AI238" i="2" s="1"/>
  <c r="T83" i="2"/>
  <c r="AJ83" i="2"/>
  <c r="Y83" i="2"/>
  <c r="AH83" i="2" s="1"/>
  <c r="AI83" i="2" s="1"/>
  <c r="T16" i="2"/>
  <c r="AH16" i="2"/>
  <c r="AI16" i="2" s="1"/>
  <c r="AJ16" i="2"/>
  <c r="Y16" i="2"/>
  <c r="Q171" i="2"/>
  <c r="S171" i="2" s="1"/>
  <c r="AK171" i="2"/>
  <c r="R171" i="2"/>
  <c r="AG171" i="2"/>
  <c r="T135" i="2"/>
  <c r="Y135" i="2"/>
  <c r="AH135" i="2" s="1"/>
  <c r="AI135" i="2" s="1"/>
  <c r="AJ135" i="2"/>
  <c r="AL119" i="2"/>
  <c r="AM119" i="2"/>
  <c r="AL30" i="2"/>
  <c r="AM30" i="2"/>
  <c r="Q181" i="2"/>
  <c r="S181" i="2" s="1"/>
  <c r="AK181" i="2"/>
  <c r="R181" i="2"/>
  <c r="AG181" i="2"/>
  <c r="AG173" i="2"/>
  <c r="R173" i="2"/>
  <c r="Q103" i="2"/>
  <c r="S103" i="2" s="1"/>
  <c r="AK103" i="2"/>
  <c r="R103" i="2"/>
  <c r="AG103" i="2"/>
  <c r="Y74" i="2"/>
  <c r="AH74" i="2" s="1"/>
  <c r="AI74" i="2" s="1"/>
  <c r="Q34" i="2"/>
  <c r="S34" i="2" s="1"/>
  <c r="AK34" i="2"/>
  <c r="R34" i="2"/>
  <c r="AG34" i="2"/>
  <c r="AJ32" i="2"/>
  <c r="AM69" i="2"/>
  <c r="AL69" i="2"/>
  <c r="AM86" i="2"/>
  <c r="AL86" i="2"/>
  <c r="T191" i="2"/>
  <c r="AJ191" i="2"/>
  <c r="Y191" i="2"/>
  <c r="AH191" i="2" s="1"/>
  <c r="AI191" i="2" s="1"/>
  <c r="L6" i="2"/>
  <c r="K7" i="2"/>
  <c r="AL152" i="2"/>
  <c r="AM152" i="2"/>
  <c r="Q71" i="2"/>
  <c r="S71" i="2" s="1"/>
  <c r="AK71" i="2"/>
  <c r="R71" i="2"/>
  <c r="AG71" i="2"/>
  <c r="Q20" i="2"/>
  <c r="S20" i="2" s="1"/>
  <c r="AK20" i="2"/>
  <c r="R20" i="2"/>
  <c r="AG20" i="2"/>
  <c r="T235" i="2"/>
  <c r="AJ235" i="2"/>
  <c r="Y235" i="2"/>
  <c r="AH235" i="2" s="1"/>
  <c r="AI235" i="2" s="1"/>
  <c r="AL127" i="2"/>
  <c r="AL139" i="2"/>
  <c r="AM139" i="2"/>
  <c r="AL231" i="2"/>
  <c r="AM231" i="2"/>
  <c r="AK136" i="2"/>
  <c r="R136" i="2"/>
  <c r="Q39" i="2"/>
  <c r="S39" i="2" s="1"/>
  <c r="AK39" i="2"/>
  <c r="AG39" i="2"/>
  <c r="R39" i="2"/>
  <c r="T69" i="2"/>
  <c r="AJ69" i="2"/>
  <c r="Y69" i="2"/>
  <c r="AH69" i="2" s="1"/>
  <c r="AI69" i="2" s="1"/>
  <c r="T86" i="2"/>
  <c r="Y86" i="2"/>
  <c r="AH86" i="2" s="1"/>
  <c r="AI86" i="2" s="1"/>
  <c r="AJ86" i="2"/>
  <c r="Q163" i="2"/>
  <c r="S163" i="2" s="1"/>
  <c r="AK163" i="2"/>
  <c r="R163" i="2"/>
  <c r="AG163" i="2"/>
  <c r="AM102" i="2"/>
  <c r="AL102" i="2"/>
  <c r="Q193" i="2"/>
  <c r="S193" i="2" s="1"/>
  <c r="AK193" i="2"/>
  <c r="R193" i="2"/>
  <c r="AG193" i="2"/>
  <c r="Q183" i="2"/>
  <c r="S183" i="2" s="1"/>
  <c r="AK183" i="2"/>
  <c r="R183" i="2"/>
  <c r="AG183" i="2"/>
  <c r="T206" i="2"/>
  <c r="AJ206" i="2"/>
  <c r="Y206" i="2"/>
  <c r="AH206" i="2" s="1"/>
  <c r="AI206" i="2" s="1"/>
  <c r="Q113" i="2"/>
  <c r="S113" i="2" s="1"/>
  <c r="AK113" i="2"/>
  <c r="R113" i="2"/>
  <c r="AG113" i="2"/>
  <c r="T127" i="2"/>
  <c r="Y127" i="2"/>
  <c r="AH127" i="2" s="1"/>
  <c r="AI127" i="2" s="1"/>
  <c r="T139" i="2"/>
  <c r="AJ139" i="2"/>
  <c r="Y139" i="2"/>
  <c r="AH139" i="2" s="1"/>
  <c r="AI139" i="2" s="1"/>
  <c r="T95" i="2"/>
  <c r="Y95" i="2"/>
  <c r="AH95" i="2" s="1"/>
  <c r="AI95" i="2" s="1"/>
  <c r="AJ95" i="2"/>
  <c r="AL8" i="2"/>
  <c r="AM8" i="2"/>
  <c r="Q185" i="2"/>
  <c r="S185" i="2" s="1"/>
  <c r="AK185" i="2"/>
  <c r="R185" i="2"/>
  <c r="AG185" i="2"/>
  <c r="AL242" i="2"/>
  <c r="AM242" i="2"/>
  <c r="T231" i="2"/>
  <c r="AJ231" i="2"/>
  <c r="Y231" i="2"/>
  <c r="AH231" i="2" s="1"/>
  <c r="AI231" i="2" s="1"/>
  <c r="Q23" i="2"/>
  <c r="S23" i="2" s="1"/>
  <c r="AK23" i="2"/>
  <c r="R23" i="2"/>
  <c r="AG23" i="2"/>
  <c r="Q199" i="2"/>
  <c r="S199" i="2" s="1"/>
  <c r="AK199" i="2"/>
  <c r="AG199" i="2"/>
  <c r="R199" i="2"/>
  <c r="AM203" i="2"/>
  <c r="AL128" i="2"/>
  <c r="AM128" i="2"/>
  <c r="AL143" i="2"/>
  <c r="AM143" i="2"/>
  <c r="AM126" i="2"/>
  <c r="AL126" i="2"/>
  <c r="AM89" i="2"/>
  <c r="AL79" i="2"/>
  <c r="AM79" i="2"/>
  <c r="Q55" i="2"/>
  <c r="S55" i="2" s="1"/>
  <c r="AK55" i="2"/>
  <c r="R55" i="2"/>
  <c r="AG55" i="2"/>
  <c r="AM169" i="2"/>
  <c r="AL169" i="2"/>
  <c r="T119" i="2"/>
  <c r="Y119" i="2"/>
  <c r="AH119" i="2" s="1"/>
  <c r="AI119" i="2" s="1"/>
  <c r="AJ119" i="2"/>
  <c r="AM130" i="2"/>
  <c r="AL130" i="2"/>
  <c r="AL49" i="2"/>
  <c r="AM49" i="2"/>
  <c r="AL24" i="2"/>
  <c r="AM24" i="2"/>
  <c r="Q175" i="2"/>
  <c r="S175" i="2" s="1"/>
  <c r="AK175" i="2"/>
  <c r="R175" i="2"/>
  <c r="AG175" i="2"/>
  <c r="Q147" i="2"/>
  <c r="S147" i="2" s="1"/>
  <c r="AK147" i="2"/>
  <c r="AG147" i="2"/>
  <c r="R147" i="2"/>
  <c r="Q73" i="2"/>
  <c r="S73" i="2" s="1"/>
  <c r="AK73" i="2"/>
  <c r="R73" i="2"/>
  <c r="AG73" i="2"/>
  <c r="Q53" i="2"/>
  <c r="S53" i="2" s="1"/>
  <c r="AK53" i="2"/>
  <c r="R53" i="2"/>
  <c r="AG53" i="2"/>
  <c r="AL18" i="2"/>
  <c r="AM18" i="2"/>
  <c r="Q45" i="2"/>
  <c r="S45" i="2" s="1"/>
  <c r="AK45" i="2"/>
  <c r="R45" i="2"/>
  <c r="AG45" i="2"/>
  <c r="T26" i="2"/>
  <c r="Y26" i="2"/>
  <c r="AH26" i="2" s="1"/>
  <c r="AI26" i="2" s="1"/>
  <c r="AJ26" i="2"/>
  <c r="AL97" i="2"/>
  <c r="T203" i="2"/>
  <c r="AJ203" i="2"/>
  <c r="Y203" i="2"/>
  <c r="AH203" i="2" s="1"/>
  <c r="AI203" i="2" s="1"/>
  <c r="T128" i="2"/>
  <c r="AJ128" i="2"/>
  <c r="Y128" i="2"/>
  <c r="AH128" i="2" s="1"/>
  <c r="AI128" i="2" s="1"/>
  <c r="AJ143" i="2"/>
  <c r="T126" i="2"/>
  <c r="AJ126" i="2"/>
  <c r="Y126" i="2"/>
  <c r="AH126" i="2" s="1"/>
  <c r="AI126" i="2" s="1"/>
  <c r="T89" i="2"/>
  <c r="Y89" i="2"/>
  <c r="AH89" i="2" s="1"/>
  <c r="AI89" i="2" s="1"/>
  <c r="AJ89" i="2"/>
  <c r="T152" i="2"/>
  <c r="AJ152" i="2"/>
  <c r="Y152" i="2"/>
  <c r="AH152" i="2" s="1"/>
  <c r="AI152" i="2" s="1"/>
  <c r="T59" i="2"/>
  <c r="Y59" i="2"/>
  <c r="AH59" i="2" s="1"/>
  <c r="AI59" i="2" s="1"/>
  <c r="AJ59" i="2"/>
  <c r="AM138" i="2"/>
  <c r="AL138" i="2"/>
  <c r="T78" i="2"/>
  <c r="Y78" i="2"/>
  <c r="AH78" i="2" s="1"/>
  <c r="AI78" i="2" s="1"/>
  <c r="AJ78" i="2"/>
  <c r="T91" i="2"/>
  <c r="AJ91" i="2"/>
  <c r="Y91" i="2"/>
  <c r="AH91" i="2" s="1"/>
  <c r="AI91" i="2" s="1"/>
  <c r="Q177" i="2"/>
  <c r="S177" i="2" s="1"/>
  <c r="AK177" i="2"/>
  <c r="AG177" i="2"/>
  <c r="R177" i="2"/>
  <c r="AM78" i="2"/>
  <c r="AL78" i="2"/>
  <c r="AL123" i="2"/>
  <c r="AM123" i="2"/>
  <c r="AL91" i="2"/>
  <c r="AM91" i="2"/>
  <c r="Q251" i="2"/>
  <c r="S251" i="2" s="1"/>
  <c r="AK251" i="2"/>
  <c r="R251" i="2"/>
  <c r="AG251" i="2"/>
  <c r="Q31" i="2"/>
  <c r="S31" i="2" s="1"/>
  <c r="AK31" i="2"/>
  <c r="AG31" i="2"/>
  <c r="R31" i="2"/>
  <c r="AL11" i="2"/>
  <c r="AM11" i="2"/>
  <c r="AL12" i="2"/>
  <c r="AM12" i="2"/>
  <c r="AL57" i="2"/>
  <c r="AL217" i="2"/>
  <c r="AM217" i="2"/>
  <c r="T130" i="2"/>
  <c r="AJ130" i="2"/>
  <c r="Y130" i="2"/>
  <c r="AH130" i="2" s="1"/>
  <c r="AI130" i="2" s="1"/>
  <c r="T49" i="2"/>
  <c r="AJ49" i="2"/>
  <c r="Y49" i="2"/>
  <c r="AH49" i="2" s="1"/>
  <c r="AI49" i="2" s="1"/>
  <c r="T24" i="2"/>
  <c r="Y24" i="2"/>
  <c r="AH24" i="2" s="1"/>
  <c r="AI24" i="2" s="1"/>
  <c r="AJ24" i="2"/>
  <c r="Q111" i="2"/>
  <c r="S111" i="2" s="1"/>
  <c r="AK111" i="2"/>
  <c r="R111" i="2"/>
  <c r="AG111" i="2"/>
  <c r="AL187" i="2"/>
  <c r="AM187" i="2"/>
  <c r="AL41" i="2"/>
  <c r="AM41" i="2"/>
  <c r="Q107" i="2"/>
  <c r="S107" i="2" s="1"/>
  <c r="AK107" i="2"/>
  <c r="AG107" i="2"/>
  <c r="R107" i="2"/>
  <c r="T97" i="2"/>
  <c r="AJ97" i="2"/>
  <c r="Y97" i="2"/>
  <c r="AH97" i="2" s="1"/>
  <c r="AI97" i="2" s="1"/>
  <c r="AK182" i="2" l="1"/>
  <c r="AM182" i="2" s="1"/>
  <c r="AJ8" i="2"/>
  <c r="Y226" i="2"/>
  <c r="AH226" i="2" s="1"/>
  <c r="AI226" i="2" s="1"/>
  <c r="AJ226" i="2"/>
  <c r="Y241" i="2"/>
  <c r="AH241" i="2" s="1"/>
  <c r="AI241" i="2" s="1"/>
  <c r="AJ241" i="2"/>
  <c r="Y187" i="2"/>
  <c r="AH187" i="2" s="1"/>
  <c r="AI187" i="2" s="1"/>
  <c r="AJ94" i="2"/>
  <c r="AK159" i="2"/>
  <c r="AG159" i="2"/>
  <c r="R159" i="2"/>
  <c r="Q159" i="2"/>
  <c r="S159" i="2" s="1"/>
  <c r="Q136" i="2"/>
  <c r="S136" i="2" s="1"/>
  <c r="Y32" i="2"/>
  <c r="AH32" i="2" s="1"/>
  <c r="AI32" i="2" s="1"/>
  <c r="Y134" i="2"/>
  <c r="AH134" i="2" s="1"/>
  <c r="AI134" i="2" s="1"/>
  <c r="AJ60" i="2"/>
  <c r="T134" i="2"/>
  <c r="Q195" i="2"/>
  <c r="S195" i="2" s="1"/>
  <c r="T195" i="2" s="1"/>
  <c r="AK173" i="2"/>
  <c r="R243" i="2"/>
  <c r="AK243" i="2"/>
  <c r="AG243" i="2"/>
  <c r="R195" i="2"/>
  <c r="AM235" i="2"/>
  <c r="AJ194" i="2"/>
  <c r="Y194" i="2"/>
  <c r="AH194" i="2" s="1"/>
  <c r="AI194" i="2" s="1"/>
  <c r="AL250" i="2"/>
  <c r="AJ102" i="2"/>
  <c r="Y102" i="2"/>
  <c r="AH102" i="2" s="1"/>
  <c r="AI102" i="2" s="1"/>
  <c r="AG63" i="2"/>
  <c r="AG144" i="2"/>
  <c r="R63" i="2"/>
  <c r="AM99" i="2"/>
  <c r="AK63" i="2"/>
  <c r="AK38" i="2"/>
  <c r="R87" i="2"/>
  <c r="AG25" i="2"/>
  <c r="Q87" i="2"/>
  <c r="S87" i="2" s="1"/>
  <c r="Y138" i="2"/>
  <c r="AH138" i="2" s="1"/>
  <c r="AI138" i="2" s="1"/>
  <c r="AL182" i="2"/>
  <c r="AJ198" i="2"/>
  <c r="Q25" i="2"/>
  <c r="S25" i="2" s="1"/>
  <c r="T25" i="2" s="1"/>
  <c r="AJ138" i="2"/>
  <c r="R25" i="2"/>
  <c r="AJ74" i="2"/>
  <c r="AL83" i="2"/>
  <c r="AK195" i="2"/>
  <c r="AM195" i="2" s="1"/>
  <c r="AM144" i="2"/>
  <c r="AL144" i="2"/>
  <c r="R169" i="2"/>
  <c r="AG169" i="2"/>
  <c r="Q169" i="2"/>
  <c r="S169" i="2" s="1"/>
  <c r="T169" i="2" s="1"/>
  <c r="R144" i="2"/>
  <c r="Q144" i="2"/>
  <c r="S144" i="2" s="1"/>
  <c r="R36" i="2"/>
  <c r="Y30" i="2"/>
  <c r="AH30" i="2" s="1"/>
  <c r="AI30" i="2" s="1"/>
  <c r="AG156" i="2"/>
  <c r="R156" i="2"/>
  <c r="Q156" i="2"/>
  <c r="S156" i="2" s="1"/>
  <c r="AK156" i="2"/>
  <c r="Y60" i="2"/>
  <c r="AH60" i="2" s="1"/>
  <c r="AI60" i="2" s="1"/>
  <c r="AM26" i="2"/>
  <c r="AG48" i="2"/>
  <c r="AL206" i="2"/>
  <c r="Q201" i="2"/>
  <c r="S201" i="2" s="1"/>
  <c r="T201" i="2" s="1"/>
  <c r="AG201" i="2"/>
  <c r="T99" i="2"/>
  <c r="Q67" i="2"/>
  <c r="S67" i="2" s="1"/>
  <c r="Y67" i="2" s="1"/>
  <c r="AH67" i="2" s="1"/>
  <c r="AI67" i="2" s="1"/>
  <c r="AG67" i="2"/>
  <c r="R110" i="2"/>
  <c r="AL59" i="2"/>
  <c r="AM67" i="2"/>
  <c r="AL74" i="2"/>
  <c r="AM135" i="2"/>
  <c r="AM66" i="2"/>
  <c r="AK110" i="2"/>
  <c r="AM110" i="2" s="1"/>
  <c r="R67" i="2"/>
  <c r="AG110" i="2"/>
  <c r="AJ30" i="2"/>
  <c r="AJ234" i="2"/>
  <c r="Y70" i="2"/>
  <c r="AH70" i="2" s="1"/>
  <c r="AI70" i="2" s="1"/>
  <c r="AG38" i="2"/>
  <c r="Q38" i="2"/>
  <c r="S38" i="2" s="1"/>
  <c r="AL195" i="2"/>
  <c r="AM131" i="2"/>
  <c r="Q196" i="2"/>
  <c r="S196" i="2" s="1"/>
  <c r="AG225" i="2"/>
  <c r="R225" i="2"/>
  <c r="AK225" i="2"/>
  <c r="Q225" i="2"/>
  <c r="S225" i="2" s="1"/>
  <c r="Y94" i="2"/>
  <c r="AH94" i="2" s="1"/>
  <c r="AI94" i="2" s="1"/>
  <c r="Y234" i="2"/>
  <c r="AH234" i="2" s="1"/>
  <c r="AI234" i="2" s="1"/>
  <c r="AG94" i="2"/>
  <c r="AK196" i="2"/>
  <c r="AL196" i="2" s="1"/>
  <c r="Y99" i="2"/>
  <c r="AH99" i="2" s="1"/>
  <c r="AI99" i="2" s="1"/>
  <c r="R201" i="2"/>
  <c r="AK48" i="2"/>
  <c r="AL48" i="2" s="1"/>
  <c r="R48" i="2"/>
  <c r="AK215" i="2"/>
  <c r="R215" i="2"/>
  <c r="AG215" i="2"/>
  <c r="Q215" i="2"/>
  <c r="S215" i="2" s="1"/>
  <c r="AM95" i="2"/>
  <c r="Y253" i="2"/>
  <c r="AH253" i="2" s="1"/>
  <c r="AI253" i="2" s="1"/>
  <c r="AJ253" i="2"/>
  <c r="AK94" i="2"/>
  <c r="AM94" i="2" s="1"/>
  <c r="AG196" i="2"/>
  <c r="R94" i="2"/>
  <c r="R230" i="2"/>
  <c r="AJ18" i="2"/>
  <c r="AL186" i="2"/>
  <c r="AM60" i="2"/>
  <c r="T18" i="2"/>
  <c r="Q230" i="2"/>
  <c r="S230" i="2" s="1"/>
  <c r="T230" i="2" s="1"/>
  <c r="AL70" i="2"/>
  <c r="T143" i="2"/>
  <c r="T79" i="2"/>
  <c r="Q151" i="2"/>
  <c r="S151" i="2" s="1"/>
  <c r="AK151" i="2"/>
  <c r="AG151" i="2"/>
  <c r="R151" i="2"/>
  <c r="AH18" i="2"/>
  <c r="AI18" i="2" s="1"/>
  <c r="AG230" i="2"/>
  <c r="AK161" i="2"/>
  <c r="Q161" i="2"/>
  <c r="S161" i="2" s="1"/>
  <c r="AG161" i="2"/>
  <c r="R161" i="2"/>
  <c r="AK157" i="2"/>
  <c r="Q157" i="2"/>
  <c r="S157" i="2" s="1"/>
  <c r="AG157" i="2"/>
  <c r="R157" i="2"/>
  <c r="Q14" i="2"/>
  <c r="S14" i="2" s="1"/>
  <c r="AK14" i="2"/>
  <c r="R14" i="2"/>
  <c r="AG14" i="2"/>
  <c r="AG115" i="2"/>
  <c r="AK115" i="2"/>
  <c r="AL115" i="2" s="1"/>
  <c r="R115" i="2"/>
  <c r="AJ131" i="2"/>
  <c r="Y131" i="2"/>
  <c r="AH131" i="2" s="1"/>
  <c r="AI131" i="2" s="1"/>
  <c r="AG236" i="2"/>
  <c r="AG192" i="2"/>
  <c r="R236" i="2"/>
  <c r="AJ79" i="2"/>
  <c r="AJ70" i="2"/>
  <c r="AG178" i="2"/>
  <c r="AL165" i="2"/>
  <c r="AM148" i="2"/>
  <c r="R178" i="2"/>
  <c r="AK178" i="2"/>
  <c r="AM178" i="2" s="1"/>
  <c r="AK87" i="2"/>
  <c r="AL87" i="2" s="1"/>
  <c r="AK236" i="2"/>
  <c r="AM236" i="2" s="1"/>
  <c r="AL194" i="2"/>
  <c r="AK174" i="2"/>
  <c r="T198" i="2"/>
  <c r="AK36" i="2"/>
  <c r="AM36" i="2" s="1"/>
  <c r="R174" i="2"/>
  <c r="Q17" i="2"/>
  <c r="S17" i="2" s="1"/>
  <c r="AG17" i="2"/>
  <c r="AK17" i="2"/>
  <c r="R17" i="2"/>
  <c r="Q174" i="2"/>
  <c r="S174" i="2" s="1"/>
  <c r="T174" i="2" s="1"/>
  <c r="Q164" i="2"/>
  <c r="S164" i="2" s="1"/>
  <c r="AK164" i="2"/>
  <c r="AL192" i="2"/>
  <c r="AM192" i="2"/>
  <c r="Q219" i="2"/>
  <c r="S219" i="2" s="1"/>
  <c r="AK219" i="2"/>
  <c r="AG219" i="2"/>
  <c r="R219" i="2"/>
  <c r="AK129" i="2"/>
  <c r="AL129" i="2" s="1"/>
  <c r="Q117" i="2"/>
  <c r="S117" i="2" s="1"/>
  <c r="AG117" i="2"/>
  <c r="AK117" i="2"/>
  <c r="R117" i="2"/>
  <c r="R192" i="2"/>
  <c r="Q192" i="2"/>
  <c r="S192" i="2" s="1"/>
  <c r="Q247" i="2"/>
  <c r="S247" i="2" s="1"/>
  <c r="R247" i="2"/>
  <c r="AG247" i="2"/>
  <c r="AK247" i="2"/>
  <c r="AG164" i="2"/>
  <c r="R129" i="2"/>
  <c r="AK134" i="2"/>
  <c r="AG129" i="2"/>
  <c r="Q213" i="2"/>
  <c r="S213" i="2" s="1"/>
  <c r="AK213" i="2"/>
  <c r="R213" i="2"/>
  <c r="AG213" i="2"/>
  <c r="AG134" i="2"/>
  <c r="R82" i="2"/>
  <c r="AG82" i="2"/>
  <c r="Q82" i="2"/>
  <c r="S82" i="2" s="1"/>
  <c r="AK82" i="2"/>
  <c r="R134" i="2"/>
  <c r="Q233" i="2"/>
  <c r="S233" i="2" s="1"/>
  <c r="AK233" i="2"/>
  <c r="R233" i="2"/>
  <c r="AG233" i="2"/>
  <c r="AK5" i="2"/>
  <c r="AM5" i="2" s="1"/>
  <c r="AL5" i="2" s="1"/>
  <c r="R61" i="2"/>
  <c r="AG61" i="2"/>
  <c r="AK61" i="2"/>
  <c r="Q61" i="2"/>
  <c r="S61" i="2" s="1"/>
  <c r="AK33" i="2"/>
  <c r="R33" i="2"/>
  <c r="AG33" i="2"/>
  <c r="Q33" i="2"/>
  <c r="S33" i="2" s="1"/>
  <c r="AK112" i="2"/>
  <c r="AL112" i="2" s="1"/>
  <c r="Q237" i="2"/>
  <c r="S237" i="2" s="1"/>
  <c r="AK237" i="2"/>
  <c r="AG237" i="2"/>
  <c r="R237" i="2"/>
  <c r="Q112" i="2"/>
  <c r="S112" i="2" s="1"/>
  <c r="T112" i="2" s="1"/>
  <c r="R222" i="2"/>
  <c r="AK222" i="2"/>
  <c r="AG222" i="2"/>
  <c r="Q222" i="2"/>
  <c r="S222" i="2" s="1"/>
  <c r="AM88" i="2"/>
  <c r="AG76" i="2"/>
  <c r="R76" i="2"/>
  <c r="Q76" i="2"/>
  <c r="S76" i="2" s="1"/>
  <c r="AK76" i="2"/>
  <c r="R5" i="2"/>
  <c r="R218" i="2"/>
  <c r="AG218" i="2"/>
  <c r="Q218" i="2"/>
  <c r="S218" i="2" s="1"/>
  <c r="AK218" i="2"/>
  <c r="AG112" i="2"/>
  <c r="Q50" i="2"/>
  <c r="S50" i="2" s="1"/>
  <c r="AK50" i="2"/>
  <c r="R50" i="2"/>
  <c r="AG50" i="2"/>
  <c r="AG145" i="2"/>
  <c r="R145" i="2"/>
  <c r="Q145" i="2"/>
  <c r="S145" i="2" s="1"/>
  <c r="AK145" i="2"/>
  <c r="AK170" i="2"/>
  <c r="AM170" i="2" s="1"/>
  <c r="Q22" i="2"/>
  <c r="S22" i="2" s="1"/>
  <c r="AK22" i="2"/>
  <c r="R22" i="2"/>
  <c r="AG22" i="2"/>
  <c r="AG170" i="2"/>
  <c r="R170" i="2"/>
  <c r="Q121" i="2"/>
  <c r="S121" i="2" s="1"/>
  <c r="AK121" i="2"/>
  <c r="AG121" i="2"/>
  <c r="R121" i="2"/>
  <c r="AG5" i="2"/>
  <c r="Q132" i="2"/>
  <c r="S132" i="2" s="1"/>
  <c r="AG132" i="2"/>
  <c r="AK132" i="2"/>
  <c r="R132" i="2"/>
  <c r="Q166" i="2"/>
  <c r="S166" i="2" s="1"/>
  <c r="AK166" i="2"/>
  <c r="R166" i="2"/>
  <c r="AG166" i="2"/>
  <c r="AH4" i="2"/>
  <c r="AJ4" i="2"/>
  <c r="W4" i="2"/>
  <c r="X4" i="2" s="1"/>
  <c r="Q140" i="2"/>
  <c r="S140" i="2" s="1"/>
  <c r="AG140" i="2"/>
  <c r="AK140" i="2"/>
  <c r="R140" i="2"/>
  <c r="Q188" i="2"/>
  <c r="S188" i="2" s="1"/>
  <c r="AK188" i="2"/>
  <c r="R188" i="2"/>
  <c r="AG188" i="2"/>
  <c r="AG189" i="2"/>
  <c r="Q189" i="2"/>
  <c r="S189" i="2" s="1"/>
  <c r="R189" i="2"/>
  <c r="AK189" i="2"/>
  <c r="AK205" i="2"/>
  <c r="Q205" i="2"/>
  <c r="S205" i="2" s="1"/>
  <c r="R205" i="2"/>
  <c r="AG205" i="2"/>
  <c r="Q62" i="2"/>
  <c r="S62" i="2" s="1"/>
  <c r="AK62" i="2"/>
  <c r="R62" i="2"/>
  <c r="AG62" i="2"/>
  <c r="AJ178" i="2"/>
  <c r="Y178" i="2"/>
  <c r="AH178" i="2" s="1"/>
  <c r="AI178" i="2" s="1"/>
  <c r="T178" i="2"/>
  <c r="R190" i="2"/>
  <c r="AK190" i="2"/>
  <c r="AG190" i="2"/>
  <c r="Q190" i="2"/>
  <c r="S190" i="2" s="1"/>
  <c r="AJ236" i="2"/>
  <c r="Y236" i="2"/>
  <c r="AH236" i="2" s="1"/>
  <c r="AI236" i="2" s="1"/>
  <c r="T236" i="2"/>
  <c r="Q114" i="2"/>
  <c r="S114" i="2" s="1"/>
  <c r="AK114" i="2"/>
  <c r="AG114" i="2"/>
  <c r="R114" i="2"/>
  <c r="Q176" i="2"/>
  <c r="S176" i="2" s="1"/>
  <c r="AG176" i="2"/>
  <c r="R176" i="2"/>
  <c r="AK176" i="2"/>
  <c r="R27" i="2"/>
  <c r="AG27" i="2"/>
  <c r="AK27" i="2"/>
  <c r="Q27" i="2"/>
  <c r="S27" i="2" s="1"/>
  <c r="Q46" i="2"/>
  <c r="S46" i="2" s="1"/>
  <c r="R46" i="2"/>
  <c r="AG46" i="2"/>
  <c r="AK46" i="2"/>
  <c r="Q52" i="2"/>
  <c r="S52" i="2" s="1"/>
  <c r="AK52" i="2"/>
  <c r="AG52" i="2"/>
  <c r="R52" i="2"/>
  <c r="Q29" i="2"/>
  <c r="S29" i="2" s="1"/>
  <c r="AK29" i="2"/>
  <c r="R29" i="2"/>
  <c r="AG29" i="2"/>
  <c r="Q221" i="2"/>
  <c r="S221" i="2" s="1"/>
  <c r="AK221" i="2"/>
  <c r="AG221" i="2"/>
  <c r="R221" i="2"/>
  <c r="T115" i="2"/>
  <c r="Y115" i="2"/>
  <c r="AH115" i="2" s="1"/>
  <c r="AI115" i="2" s="1"/>
  <c r="AJ115" i="2"/>
  <c r="R180" i="2"/>
  <c r="Q180" i="2"/>
  <c r="S180" i="2" s="1"/>
  <c r="AG180" i="2"/>
  <c r="AK180" i="2"/>
  <c r="Q141" i="2"/>
  <c r="S141" i="2" s="1"/>
  <c r="AG141" i="2"/>
  <c r="AK141" i="2"/>
  <c r="R141" i="2"/>
  <c r="Q240" i="2"/>
  <c r="S240" i="2" s="1"/>
  <c r="AG240" i="2"/>
  <c r="AK240" i="2"/>
  <c r="R240" i="2"/>
  <c r="AG15" i="2"/>
  <c r="R15" i="2"/>
  <c r="AK15" i="2"/>
  <c r="Q15" i="2"/>
  <c r="S15" i="2" s="1"/>
  <c r="AG146" i="2"/>
  <c r="R146" i="2"/>
  <c r="AK146" i="2"/>
  <c r="Q146" i="2"/>
  <c r="S146" i="2" s="1"/>
  <c r="AG35" i="2"/>
  <c r="Q35" i="2"/>
  <c r="S35" i="2" s="1"/>
  <c r="AK35" i="2"/>
  <c r="R35" i="2"/>
  <c r="Q245" i="2"/>
  <c r="S245" i="2" s="1"/>
  <c r="AK245" i="2"/>
  <c r="R245" i="2"/>
  <c r="AG245" i="2"/>
  <c r="Q208" i="2"/>
  <c r="S208" i="2" s="1"/>
  <c r="AG208" i="2"/>
  <c r="R208" i="2"/>
  <c r="AK208" i="2"/>
  <c r="Q106" i="2"/>
  <c r="S106" i="2" s="1"/>
  <c r="AK106" i="2"/>
  <c r="R106" i="2"/>
  <c r="AG106" i="2"/>
  <c r="Q229" i="2"/>
  <c r="S229" i="2" s="1"/>
  <c r="AK229" i="2"/>
  <c r="R229" i="2"/>
  <c r="AG229" i="2"/>
  <c r="AG212" i="2"/>
  <c r="Q212" i="2"/>
  <c r="S212" i="2" s="1"/>
  <c r="AK212" i="2"/>
  <c r="R212" i="2"/>
  <c r="Q56" i="2"/>
  <c r="S56" i="2" s="1"/>
  <c r="AK56" i="2"/>
  <c r="AG56" i="2"/>
  <c r="R56" i="2"/>
  <c r="T170" i="2"/>
  <c r="Y170" i="2"/>
  <c r="AH170" i="2" s="1"/>
  <c r="AI170" i="2" s="1"/>
  <c r="AJ170" i="2"/>
  <c r="AG184" i="2"/>
  <c r="Q184" i="2"/>
  <c r="S184" i="2" s="1"/>
  <c r="R184" i="2"/>
  <c r="AK184" i="2"/>
  <c r="R108" i="2"/>
  <c r="AG108" i="2"/>
  <c r="Q108" i="2"/>
  <c r="S108" i="2" s="1"/>
  <c r="AK108" i="2"/>
  <c r="Q9" i="2"/>
  <c r="S9" i="2" s="1"/>
  <c r="R9" i="2"/>
  <c r="AK9" i="2"/>
  <c r="AG9" i="2"/>
  <c r="Q80" i="2"/>
  <c r="S80" i="2" s="1"/>
  <c r="AK80" i="2"/>
  <c r="R80" i="2"/>
  <c r="AG80" i="2"/>
  <c r="Q96" i="2"/>
  <c r="S96" i="2" s="1"/>
  <c r="R96" i="2"/>
  <c r="AG96" i="2"/>
  <c r="AK96" i="2"/>
  <c r="Q220" i="2"/>
  <c r="S220" i="2" s="1"/>
  <c r="AK220" i="2"/>
  <c r="AG220" i="2"/>
  <c r="R220" i="2"/>
  <c r="Q120" i="2"/>
  <c r="S120" i="2" s="1"/>
  <c r="AK120" i="2"/>
  <c r="AG120" i="2"/>
  <c r="R120" i="2"/>
  <c r="Q248" i="2"/>
  <c r="S248" i="2" s="1"/>
  <c r="R248" i="2"/>
  <c r="AK248" i="2"/>
  <c r="AG248" i="2"/>
  <c r="AG150" i="2"/>
  <c r="R150" i="2"/>
  <c r="AK150" i="2"/>
  <c r="Q150" i="2"/>
  <c r="S150" i="2" s="1"/>
  <c r="AL110" i="2"/>
  <c r="Q40" i="2"/>
  <c r="S40" i="2" s="1"/>
  <c r="AK40" i="2"/>
  <c r="R40" i="2"/>
  <c r="AG40" i="2"/>
  <c r="AL243" i="2"/>
  <c r="AM243" i="2"/>
  <c r="Q100" i="2"/>
  <c r="S100" i="2" s="1"/>
  <c r="R100" i="2"/>
  <c r="AK100" i="2"/>
  <c r="AG100" i="2"/>
  <c r="AM230" i="2"/>
  <c r="AL230" i="2"/>
  <c r="Q162" i="2"/>
  <c r="S162" i="2" s="1"/>
  <c r="AK162" i="2"/>
  <c r="R162" i="2"/>
  <c r="AG162" i="2"/>
  <c r="Q44" i="2"/>
  <c r="S44" i="2" s="1"/>
  <c r="AK44" i="2"/>
  <c r="R44" i="2"/>
  <c r="AG44" i="2"/>
  <c r="Q124" i="2"/>
  <c r="S124" i="2" s="1"/>
  <c r="R124" i="2"/>
  <c r="AK124" i="2"/>
  <c r="AG124" i="2"/>
  <c r="Y129" i="2"/>
  <c r="AH129" i="2" s="1"/>
  <c r="AI129" i="2" s="1"/>
  <c r="AJ129" i="2"/>
  <c r="T129" i="2"/>
  <c r="Q13" i="2"/>
  <c r="S13" i="2" s="1"/>
  <c r="AG13" i="2"/>
  <c r="AK13" i="2"/>
  <c r="R13" i="2"/>
  <c r="Q204" i="2"/>
  <c r="S204" i="2" s="1"/>
  <c r="AK204" i="2"/>
  <c r="R204" i="2"/>
  <c r="AG204" i="2"/>
  <c r="AG216" i="2"/>
  <c r="R216" i="2"/>
  <c r="AK216" i="2"/>
  <c r="Q216" i="2"/>
  <c r="S216" i="2" s="1"/>
  <c r="Q58" i="2"/>
  <c r="S58" i="2" s="1"/>
  <c r="AK58" i="2"/>
  <c r="R58" i="2"/>
  <c r="AG58" i="2"/>
  <c r="R228" i="2"/>
  <c r="AG228" i="2"/>
  <c r="AK228" i="2"/>
  <c r="Q228" i="2"/>
  <c r="S228" i="2" s="1"/>
  <c r="T48" i="2"/>
  <c r="AJ48" i="2"/>
  <c r="Y48" i="2"/>
  <c r="AH48" i="2" s="1"/>
  <c r="AI48" i="2" s="1"/>
  <c r="AJ196" i="2"/>
  <c r="Y196" i="2"/>
  <c r="AH196" i="2" s="1"/>
  <c r="AI196" i="2" s="1"/>
  <c r="T196" i="2"/>
  <c r="Q133" i="2"/>
  <c r="S133" i="2" s="1"/>
  <c r="AK133" i="2"/>
  <c r="R133" i="2"/>
  <c r="AG133" i="2"/>
  <c r="Q21" i="2"/>
  <c r="S21" i="2" s="1"/>
  <c r="AK21" i="2"/>
  <c r="R21" i="2"/>
  <c r="AG21" i="2"/>
  <c r="R72" i="2"/>
  <c r="Q72" i="2"/>
  <c r="S72" i="2" s="1"/>
  <c r="AK72" i="2"/>
  <c r="AG72" i="2"/>
  <c r="AM174" i="2"/>
  <c r="AL174" i="2"/>
  <c r="Q75" i="2"/>
  <c r="S75" i="2" s="1"/>
  <c r="AK75" i="2"/>
  <c r="AG75" i="2"/>
  <c r="R75" i="2"/>
  <c r="R142" i="2"/>
  <c r="AK142" i="2"/>
  <c r="AG142" i="2"/>
  <c r="Q142" i="2"/>
  <c r="S142" i="2" s="1"/>
  <c r="T110" i="2"/>
  <c r="AJ110" i="2"/>
  <c r="Y110" i="2"/>
  <c r="AH110" i="2" s="1"/>
  <c r="AI110" i="2" s="1"/>
  <c r="T87" i="2"/>
  <c r="AJ87" i="2"/>
  <c r="Y87" i="2"/>
  <c r="AH87" i="2" s="1"/>
  <c r="AI87" i="2" s="1"/>
  <c r="Q109" i="2"/>
  <c r="S109" i="2" s="1"/>
  <c r="AK109" i="2"/>
  <c r="R109" i="2"/>
  <c r="AG109" i="2"/>
  <c r="Q19" i="2"/>
  <c r="S19" i="2" s="1"/>
  <c r="AK19" i="2"/>
  <c r="R19" i="2"/>
  <c r="AG19" i="2"/>
  <c r="T243" i="2"/>
  <c r="Y243" i="2"/>
  <c r="AH243" i="2" s="1"/>
  <c r="AI243" i="2" s="1"/>
  <c r="AJ243" i="2"/>
  <c r="Q252" i="2"/>
  <c r="S252" i="2" s="1"/>
  <c r="R252" i="2"/>
  <c r="AK252" i="2"/>
  <c r="AG252" i="2"/>
  <c r="AG154" i="2"/>
  <c r="Q154" i="2"/>
  <c r="S154" i="2" s="1"/>
  <c r="AK154" i="2"/>
  <c r="R154" i="2"/>
  <c r="AK104" i="2"/>
  <c r="R104" i="2"/>
  <c r="AG104" i="2"/>
  <c r="Q104" i="2"/>
  <c r="S104" i="2" s="1"/>
  <c r="AG64" i="2"/>
  <c r="Q64" i="2"/>
  <c r="S64" i="2" s="1"/>
  <c r="R64" i="2"/>
  <c r="AK64" i="2"/>
  <c r="Q122" i="2"/>
  <c r="S122" i="2" s="1"/>
  <c r="AK122" i="2"/>
  <c r="R122" i="2"/>
  <c r="AG122" i="2"/>
  <c r="Q158" i="2"/>
  <c r="S158" i="2" s="1"/>
  <c r="AK158" i="2"/>
  <c r="R158" i="2"/>
  <c r="AG158" i="2"/>
  <c r="Q149" i="2"/>
  <c r="S149" i="2" s="1"/>
  <c r="AK149" i="2"/>
  <c r="AG149" i="2"/>
  <c r="R149" i="2"/>
  <c r="Q224" i="2"/>
  <c r="S224" i="2" s="1"/>
  <c r="R224" i="2"/>
  <c r="AK224" i="2"/>
  <c r="AG224" i="2"/>
  <c r="Q232" i="2"/>
  <c r="S232" i="2" s="1"/>
  <c r="R232" i="2"/>
  <c r="AG232" i="2"/>
  <c r="AK232" i="2"/>
  <c r="AK200" i="2"/>
  <c r="AG200" i="2"/>
  <c r="Q200" i="2"/>
  <c r="S200" i="2" s="1"/>
  <c r="R200" i="2"/>
  <c r="Q172" i="2"/>
  <c r="S172" i="2" s="1"/>
  <c r="AK172" i="2"/>
  <c r="R172" i="2"/>
  <c r="AG172" i="2"/>
  <c r="Y112" i="2"/>
  <c r="AH112" i="2" s="1"/>
  <c r="AI112" i="2" s="1"/>
  <c r="AG84" i="2"/>
  <c r="Q84" i="2"/>
  <c r="S84" i="2" s="1"/>
  <c r="AK84" i="2"/>
  <c r="R84" i="2"/>
  <c r="T197" i="2"/>
  <c r="AJ197" i="2"/>
  <c r="Y197" i="2"/>
  <c r="AH197" i="2" s="1"/>
  <c r="AI197" i="2" s="1"/>
  <c r="AL68" i="2"/>
  <c r="AM68" i="2"/>
  <c r="T38" i="2"/>
  <c r="AJ38" i="2"/>
  <c r="Y38" i="2"/>
  <c r="AH38" i="2" s="1"/>
  <c r="AI38" i="2" s="1"/>
  <c r="AM90" i="2"/>
  <c r="AL90" i="2"/>
  <c r="T116" i="2"/>
  <c r="Y116" i="2"/>
  <c r="AH116" i="2" s="1"/>
  <c r="AI116" i="2" s="1"/>
  <c r="AJ116" i="2"/>
  <c r="AL85" i="2"/>
  <c r="AM85" i="2"/>
  <c r="AJ244" i="2"/>
  <c r="Y244" i="2"/>
  <c r="AH244" i="2" s="1"/>
  <c r="AI244" i="2" s="1"/>
  <c r="T244" i="2"/>
  <c r="Y92" i="2"/>
  <c r="AH92" i="2" s="1"/>
  <c r="AI92" i="2" s="1"/>
  <c r="T92" i="2"/>
  <c r="AJ92" i="2"/>
  <c r="AJ246" i="2"/>
  <c r="Y246" i="2"/>
  <c r="AH246" i="2" s="1"/>
  <c r="AI246" i="2" s="1"/>
  <c r="T246" i="2"/>
  <c r="AH5" i="2"/>
  <c r="AJ5" i="2"/>
  <c r="AJ214" i="2"/>
  <c r="Y214" i="2"/>
  <c r="AH214" i="2" s="1"/>
  <c r="AI214" i="2" s="1"/>
  <c r="T214" i="2"/>
  <c r="T90" i="2"/>
  <c r="Y90" i="2"/>
  <c r="AH90" i="2" s="1"/>
  <c r="AI90" i="2" s="1"/>
  <c r="AJ90" i="2"/>
  <c r="AL125" i="2"/>
  <c r="AM125" i="2"/>
  <c r="AL160" i="2"/>
  <c r="AM160" i="2"/>
  <c r="AL207" i="2"/>
  <c r="AM207" i="2"/>
  <c r="AL63" i="2"/>
  <c r="AM63" i="2"/>
  <c r="Y168" i="2"/>
  <c r="AH168" i="2" s="1"/>
  <c r="AI168" i="2" s="1"/>
  <c r="AJ168" i="2"/>
  <c r="T168" i="2"/>
  <c r="AL77" i="2"/>
  <c r="AM77" i="2"/>
  <c r="T68" i="2"/>
  <c r="AJ68" i="2"/>
  <c r="Y68" i="2"/>
  <c r="AH68" i="2" s="1"/>
  <c r="AI68" i="2" s="1"/>
  <c r="T54" i="2"/>
  <c r="AJ54" i="2"/>
  <c r="Y54" i="2"/>
  <c r="AH54" i="2" s="1"/>
  <c r="AI54" i="2" s="1"/>
  <c r="AL36" i="2"/>
  <c r="Y85" i="2"/>
  <c r="AH85" i="2" s="1"/>
  <c r="AI85" i="2" s="1"/>
  <c r="T85" i="2"/>
  <c r="AJ85" i="2"/>
  <c r="T125" i="2"/>
  <c r="Y125" i="2"/>
  <c r="AH125" i="2" s="1"/>
  <c r="AI125" i="2" s="1"/>
  <c r="AJ125" i="2"/>
  <c r="T63" i="2"/>
  <c r="Y63" i="2"/>
  <c r="AH63" i="2" s="1"/>
  <c r="AI63" i="2" s="1"/>
  <c r="AJ63" i="2"/>
  <c r="T160" i="2"/>
  <c r="AJ160" i="2"/>
  <c r="Y160" i="2"/>
  <c r="AH160" i="2" s="1"/>
  <c r="AI160" i="2" s="1"/>
  <c r="T207" i="2"/>
  <c r="AJ207" i="2"/>
  <c r="Y207" i="2"/>
  <c r="AH207" i="2" s="1"/>
  <c r="AI207" i="2" s="1"/>
  <c r="AL42" i="2"/>
  <c r="AM42" i="2"/>
  <c r="AL239" i="2"/>
  <c r="AM239" i="2"/>
  <c r="AM25" i="2"/>
  <c r="AL25" i="2"/>
  <c r="Y42" i="2"/>
  <c r="AH42" i="2" s="1"/>
  <c r="AI42" i="2" s="1"/>
  <c r="AJ42" i="2"/>
  <c r="T42" i="2"/>
  <c r="T239" i="2"/>
  <c r="Y239" i="2"/>
  <c r="AH239" i="2" s="1"/>
  <c r="AI239" i="2" s="1"/>
  <c r="AJ239" i="2"/>
  <c r="T77" i="2"/>
  <c r="AJ77" i="2"/>
  <c r="Y77" i="2"/>
  <c r="AH77" i="2" s="1"/>
  <c r="AI77" i="2" s="1"/>
  <c r="T36" i="2"/>
  <c r="AJ36" i="2"/>
  <c r="Y36" i="2"/>
  <c r="AH36" i="2" s="1"/>
  <c r="AI36" i="2" s="1"/>
  <c r="AL116" i="2"/>
  <c r="AM116" i="2"/>
  <c r="AL223" i="2"/>
  <c r="AM223" i="2"/>
  <c r="AL10" i="2"/>
  <c r="AM10" i="2"/>
  <c r="AL214" i="2"/>
  <c r="AM214" i="2"/>
  <c r="AL98" i="2"/>
  <c r="AM98" i="2"/>
  <c r="AL38" i="2"/>
  <c r="AM38" i="2"/>
  <c r="AJ223" i="2"/>
  <c r="Y223" i="2"/>
  <c r="AH223" i="2" s="1"/>
  <c r="AI223" i="2" s="1"/>
  <c r="T223" i="2"/>
  <c r="AL153" i="2"/>
  <c r="AM153" i="2"/>
  <c r="AL92" i="2"/>
  <c r="AM92" i="2"/>
  <c r="AL168" i="2"/>
  <c r="AM168" i="2"/>
  <c r="AL197" i="2"/>
  <c r="AM197" i="2"/>
  <c r="T98" i="2"/>
  <c r="Y98" i="2"/>
  <c r="AH98" i="2" s="1"/>
  <c r="AI98" i="2" s="1"/>
  <c r="AJ98" i="2"/>
  <c r="AM54" i="2"/>
  <c r="AL54" i="2"/>
  <c r="AH10" i="2"/>
  <c r="AJ10" i="2"/>
  <c r="AJ153" i="2"/>
  <c r="Y153" i="2"/>
  <c r="AH153" i="2" s="1"/>
  <c r="AI153" i="2" s="1"/>
  <c r="T153" i="2"/>
  <c r="AL244" i="2"/>
  <c r="AM244" i="2"/>
  <c r="AL246" i="2"/>
  <c r="AM246" i="2"/>
  <c r="AL107" i="2"/>
  <c r="AM107" i="2"/>
  <c r="AL111" i="2"/>
  <c r="AM111" i="2"/>
  <c r="AL31" i="2"/>
  <c r="AM31" i="2"/>
  <c r="AL73" i="2"/>
  <c r="AM73" i="2"/>
  <c r="AL175" i="2"/>
  <c r="AM175" i="2"/>
  <c r="T23" i="2"/>
  <c r="AJ23" i="2"/>
  <c r="Y23" i="2"/>
  <c r="AH23" i="2" s="1"/>
  <c r="AI23" i="2" s="1"/>
  <c r="T185" i="2"/>
  <c r="AJ185" i="2"/>
  <c r="Y185" i="2"/>
  <c r="AH185" i="2" s="1"/>
  <c r="AI185" i="2" s="1"/>
  <c r="T163" i="2"/>
  <c r="AJ163" i="2"/>
  <c r="Y163" i="2"/>
  <c r="AH163" i="2" s="1"/>
  <c r="AI163" i="2" s="1"/>
  <c r="L7" i="2"/>
  <c r="K8" i="2"/>
  <c r="T155" i="2"/>
  <c r="AJ155" i="2"/>
  <c r="Y155" i="2"/>
  <c r="AH155" i="2" s="1"/>
  <c r="AI155" i="2" s="1"/>
  <c r="T249" i="2"/>
  <c r="AJ249" i="2"/>
  <c r="Y249" i="2"/>
  <c r="AH249" i="2" s="1"/>
  <c r="AI249" i="2" s="1"/>
  <c r="T210" i="2"/>
  <c r="AJ210" i="2"/>
  <c r="Y210" i="2"/>
  <c r="AH210" i="2" s="1"/>
  <c r="AI210" i="2" s="1"/>
  <c r="T93" i="2"/>
  <c r="Y93" i="2"/>
  <c r="AH93" i="2" s="1"/>
  <c r="AI93" i="2" s="1"/>
  <c r="AJ93" i="2"/>
  <c r="AL179" i="2"/>
  <c r="AM179" i="2"/>
  <c r="AL167" i="2"/>
  <c r="AM167" i="2"/>
  <c r="T118" i="2"/>
  <c r="AJ118" i="2"/>
  <c r="Y118" i="2"/>
  <c r="AH118" i="2" s="1"/>
  <c r="AI118" i="2" s="1"/>
  <c r="T147" i="2"/>
  <c r="Y147" i="2"/>
  <c r="AH147" i="2" s="1"/>
  <c r="AI147" i="2" s="1"/>
  <c r="AJ147" i="2"/>
  <c r="T31" i="2"/>
  <c r="AJ31" i="2"/>
  <c r="Y31" i="2"/>
  <c r="AH31" i="2" s="1"/>
  <c r="AI31" i="2" s="1"/>
  <c r="AM177" i="2"/>
  <c r="AL177" i="2"/>
  <c r="T73" i="2"/>
  <c r="Y73" i="2"/>
  <c r="AH73" i="2" s="1"/>
  <c r="AI73" i="2" s="1"/>
  <c r="AJ73" i="2"/>
  <c r="T175" i="2"/>
  <c r="AJ175" i="2"/>
  <c r="Y175" i="2"/>
  <c r="AH175" i="2" s="1"/>
  <c r="AI175" i="2" s="1"/>
  <c r="AL55" i="2"/>
  <c r="AM55" i="2"/>
  <c r="AM201" i="2"/>
  <c r="AL201" i="2"/>
  <c r="AL34" i="2"/>
  <c r="AM34" i="2"/>
  <c r="AL173" i="2"/>
  <c r="AM173" i="2"/>
  <c r="AL209" i="2"/>
  <c r="AM209" i="2"/>
  <c r="AL6" i="2"/>
  <c r="AM6" i="2"/>
  <c r="T179" i="2"/>
  <c r="AJ179" i="2"/>
  <c r="Y179" i="2"/>
  <c r="AH179" i="2" s="1"/>
  <c r="AI179" i="2" s="1"/>
  <c r="T167" i="2"/>
  <c r="AJ167" i="2"/>
  <c r="Y167" i="2"/>
  <c r="AH167" i="2" s="1"/>
  <c r="AI167" i="2" s="1"/>
  <c r="T111" i="2"/>
  <c r="AJ111" i="2"/>
  <c r="Y111" i="2"/>
  <c r="AH111" i="2" s="1"/>
  <c r="AI111" i="2" s="1"/>
  <c r="T177" i="2"/>
  <c r="AJ177" i="2"/>
  <c r="Y177" i="2"/>
  <c r="AH177" i="2" s="1"/>
  <c r="AI177" i="2" s="1"/>
  <c r="T55" i="2"/>
  <c r="Y55" i="2"/>
  <c r="AH55" i="2" s="1"/>
  <c r="AI55" i="2" s="1"/>
  <c r="AJ55" i="2"/>
  <c r="AL20" i="2"/>
  <c r="AM20" i="2"/>
  <c r="T34" i="2"/>
  <c r="Y34" i="2"/>
  <c r="AH34" i="2" s="1"/>
  <c r="AI34" i="2" s="1"/>
  <c r="AJ34" i="2"/>
  <c r="T173" i="2"/>
  <c r="AJ173" i="2"/>
  <c r="Y173" i="2"/>
  <c r="AH173" i="2" s="1"/>
  <c r="AI173" i="2" s="1"/>
  <c r="AL202" i="2"/>
  <c r="AM202" i="2"/>
  <c r="T209" i="2"/>
  <c r="AJ209" i="2"/>
  <c r="Y209" i="2"/>
  <c r="AH209" i="2" s="1"/>
  <c r="AI209" i="2" s="1"/>
  <c r="AH6" i="2"/>
  <c r="AL51" i="2"/>
  <c r="AM51" i="2"/>
  <c r="AM81" i="2"/>
  <c r="AL81" i="2"/>
  <c r="T107" i="2"/>
  <c r="AJ107" i="2"/>
  <c r="Y107" i="2"/>
  <c r="AH107" i="2" s="1"/>
  <c r="AI107" i="2" s="1"/>
  <c r="AL251" i="2"/>
  <c r="AM251" i="2"/>
  <c r="AL199" i="2"/>
  <c r="AM199" i="2"/>
  <c r="AL136" i="2"/>
  <c r="AM136" i="2"/>
  <c r="T20" i="2"/>
  <c r="Y20" i="2"/>
  <c r="AH20" i="2" s="1"/>
  <c r="AI20" i="2" s="1"/>
  <c r="AJ20" i="2"/>
  <c r="T202" i="2"/>
  <c r="AJ202" i="2"/>
  <c r="Y202" i="2"/>
  <c r="AH202" i="2" s="1"/>
  <c r="AI202" i="2" s="1"/>
  <c r="AM101" i="2"/>
  <c r="AL101" i="2"/>
  <c r="AM105" i="2"/>
  <c r="AL105" i="2"/>
  <c r="T51" i="2"/>
  <c r="AJ51" i="2"/>
  <c r="Y51" i="2"/>
  <c r="AH51" i="2" s="1"/>
  <c r="AI51" i="2" s="1"/>
  <c r="T81" i="2"/>
  <c r="AJ81" i="2"/>
  <c r="Y81" i="2"/>
  <c r="AH81" i="2" s="1"/>
  <c r="AI81" i="2" s="1"/>
  <c r="T251" i="2"/>
  <c r="AJ251" i="2"/>
  <c r="Y251" i="2"/>
  <c r="AH251" i="2" s="1"/>
  <c r="AI251" i="2" s="1"/>
  <c r="AL45" i="2"/>
  <c r="AM45" i="2"/>
  <c r="AL53" i="2"/>
  <c r="AM53" i="2"/>
  <c r="AL147" i="2"/>
  <c r="AM147" i="2"/>
  <c r="T199" i="2"/>
  <c r="AJ199" i="2"/>
  <c r="Y199" i="2"/>
  <c r="AH199" i="2" s="1"/>
  <c r="AI199" i="2" s="1"/>
  <c r="AM113" i="2"/>
  <c r="AL113" i="2"/>
  <c r="T136" i="2"/>
  <c r="AJ136" i="2"/>
  <c r="Y136" i="2"/>
  <c r="AH136" i="2" s="1"/>
  <c r="AI136" i="2" s="1"/>
  <c r="AL103" i="2"/>
  <c r="AM103" i="2"/>
  <c r="T101" i="2"/>
  <c r="Y101" i="2"/>
  <c r="AH101" i="2" s="1"/>
  <c r="AI101" i="2" s="1"/>
  <c r="AJ101" i="2"/>
  <c r="T105" i="2"/>
  <c r="AJ105" i="2"/>
  <c r="Y105" i="2"/>
  <c r="AH105" i="2" s="1"/>
  <c r="AI105" i="2" s="1"/>
  <c r="AL65" i="2"/>
  <c r="AM65" i="2"/>
  <c r="T45" i="2"/>
  <c r="AJ45" i="2"/>
  <c r="Y45" i="2"/>
  <c r="AH45" i="2" s="1"/>
  <c r="AI45" i="2" s="1"/>
  <c r="AL39" i="2"/>
  <c r="AM39" i="2"/>
  <c r="AL181" i="2"/>
  <c r="AM181" i="2"/>
  <c r="AL183" i="2"/>
  <c r="AM183" i="2"/>
  <c r="AL193" i="2"/>
  <c r="AM193" i="2"/>
  <c r="T39" i="2"/>
  <c r="Y39" i="2"/>
  <c r="AH39" i="2" s="1"/>
  <c r="AI39" i="2" s="1"/>
  <c r="AJ39" i="2"/>
  <c r="AL71" i="2"/>
  <c r="AM71" i="2"/>
  <c r="T181" i="2"/>
  <c r="AJ181" i="2"/>
  <c r="Y181" i="2"/>
  <c r="AH181" i="2" s="1"/>
  <c r="AI181" i="2" s="1"/>
  <c r="T171" i="2"/>
  <c r="Y171" i="2"/>
  <c r="AH171" i="2" s="1"/>
  <c r="AI171" i="2" s="1"/>
  <c r="AJ171" i="2"/>
  <c r="AL28" i="2"/>
  <c r="AM28" i="2"/>
  <c r="AM137" i="2"/>
  <c r="AL137" i="2"/>
  <c r="T65" i="2"/>
  <c r="AJ65" i="2"/>
  <c r="Y65" i="2"/>
  <c r="AH65" i="2" s="1"/>
  <c r="AI65" i="2" s="1"/>
  <c r="T53" i="2"/>
  <c r="AJ53" i="2"/>
  <c r="Y53" i="2"/>
  <c r="AH53" i="2" s="1"/>
  <c r="AI53" i="2" s="1"/>
  <c r="T113" i="2"/>
  <c r="AJ113" i="2"/>
  <c r="Y113" i="2"/>
  <c r="AH113" i="2" s="1"/>
  <c r="AI113" i="2" s="1"/>
  <c r="T103" i="2"/>
  <c r="Y103" i="2"/>
  <c r="AH103" i="2" s="1"/>
  <c r="AI103" i="2" s="1"/>
  <c r="AJ103" i="2"/>
  <c r="AL171" i="2"/>
  <c r="AM171" i="2"/>
  <c r="AL23" i="2"/>
  <c r="AM23" i="2"/>
  <c r="AL185" i="2"/>
  <c r="AM185" i="2"/>
  <c r="T183" i="2"/>
  <c r="AJ183" i="2"/>
  <c r="Y183" i="2"/>
  <c r="AH183" i="2" s="1"/>
  <c r="AI183" i="2" s="1"/>
  <c r="T193" i="2"/>
  <c r="AJ193" i="2"/>
  <c r="Y193" i="2"/>
  <c r="AH193" i="2" s="1"/>
  <c r="AI193" i="2" s="1"/>
  <c r="AL163" i="2"/>
  <c r="AM163" i="2"/>
  <c r="T71" i="2"/>
  <c r="Y71" i="2"/>
  <c r="AH71" i="2" s="1"/>
  <c r="AI71" i="2" s="1"/>
  <c r="AJ71" i="2"/>
  <c r="AL155" i="2"/>
  <c r="AM155" i="2"/>
  <c r="AL249" i="2"/>
  <c r="AM249" i="2"/>
  <c r="AL210" i="2"/>
  <c r="AM210" i="2"/>
  <c r="AM93" i="2"/>
  <c r="AL93" i="2"/>
  <c r="T28" i="2"/>
  <c r="AJ28" i="2"/>
  <c r="Y28" i="2"/>
  <c r="AH28" i="2" s="1"/>
  <c r="AI28" i="2" s="1"/>
  <c r="T137" i="2"/>
  <c r="AJ137" i="2"/>
  <c r="Y137" i="2"/>
  <c r="AH137" i="2" s="1"/>
  <c r="AI137" i="2" s="1"/>
  <c r="AM118" i="2"/>
  <c r="AL118" i="2"/>
  <c r="Y230" i="2" l="1"/>
  <c r="AH230" i="2" s="1"/>
  <c r="AI230" i="2" s="1"/>
  <c r="Y201" i="2"/>
  <c r="AH201" i="2" s="1"/>
  <c r="AI201" i="2" s="1"/>
  <c r="AJ230" i="2"/>
  <c r="AJ201" i="2"/>
  <c r="T159" i="2"/>
  <c r="AJ159" i="2"/>
  <c r="Y159" i="2"/>
  <c r="AH159" i="2" s="1"/>
  <c r="AI159" i="2" s="1"/>
  <c r="AM159" i="2"/>
  <c r="AL159" i="2"/>
  <c r="Y195" i="2"/>
  <c r="AH195" i="2" s="1"/>
  <c r="AI195" i="2" s="1"/>
  <c r="AJ195" i="2"/>
  <c r="AJ25" i="2"/>
  <c r="AM87" i="2"/>
  <c r="Y25" i="2"/>
  <c r="AH25" i="2" s="1"/>
  <c r="AI25" i="2" s="1"/>
  <c r="T144" i="2"/>
  <c r="AJ144" i="2"/>
  <c r="Y144" i="2"/>
  <c r="AH144" i="2" s="1"/>
  <c r="AI144" i="2" s="1"/>
  <c r="AJ169" i="2"/>
  <c r="Y169" i="2"/>
  <c r="AH169" i="2" s="1"/>
  <c r="AI169" i="2" s="1"/>
  <c r="AL156" i="2"/>
  <c r="AM156" i="2"/>
  <c r="AJ156" i="2"/>
  <c r="Y156" i="2"/>
  <c r="AH156" i="2" s="1"/>
  <c r="AI156" i="2" s="1"/>
  <c r="T156" i="2"/>
  <c r="AM115" i="2"/>
  <c r="AM48" i="2"/>
  <c r="T67" i="2"/>
  <c r="AJ67" i="2"/>
  <c r="AL178" i="2"/>
  <c r="AM196" i="2"/>
  <c r="T225" i="2"/>
  <c r="AJ225" i="2"/>
  <c r="Y225" i="2"/>
  <c r="AH225" i="2" s="1"/>
  <c r="AI225" i="2" s="1"/>
  <c r="AM225" i="2"/>
  <c r="AL225" i="2"/>
  <c r="AL94" i="2"/>
  <c r="AL236" i="2"/>
  <c r="AJ215" i="2"/>
  <c r="T215" i="2"/>
  <c r="Y215" i="2"/>
  <c r="AH215" i="2" s="1"/>
  <c r="AI215" i="2" s="1"/>
  <c r="AL215" i="2"/>
  <c r="AM215" i="2"/>
  <c r="AM151" i="2"/>
  <c r="AL151" i="2"/>
  <c r="Y151" i="2"/>
  <c r="AH151" i="2" s="1"/>
  <c r="AI151" i="2" s="1"/>
  <c r="T151" i="2"/>
  <c r="AJ151" i="2"/>
  <c r="T157" i="2"/>
  <c r="AJ157" i="2"/>
  <c r="Y157" i="2"/>
  <c r="AH157" i="2" s="1"/>
  <c r="AI157" i="2" s="1"/>
  <c r="AL157" i="2"/>
  <c r="AM157" i="2"/>
  <c r="AL14" i="2"/>
  <c r="AM14" i="2"/>
  <c r="Y161" i="2"/>
  <c r="AH161" i="2" s="1"/>
  <c r="AI161" i="2" s="1"/>
  <c r="T161" i="2"/>
  <c r="AJ161" i="2"/>
  <c r="AJ14" i="2"/>
  <c r="T14" i="2"/>
  <c r="Y14" i="2"/>
  <c r="AH14" i="2"/>
  <c r="AI14" i="2" s="1"/>
  <c r="AM161" i="2"/>
  <c r="AL161" i="2"/>
  <c r="AJ112" i="2"/>
  <c r="AM129" i="2"/>
  <c r="W5" i="2"/>
  <c r="X5" i="2" s="1"/>
  <c r="AM17" i="2"/>
  <c r="AL17" i="2"/>
  <c r="Y17" i="2"/>
  <c r="T17" i="2"/>
  <c r="AH17" i="2"/>
  <c r="AI17" i="2" s="1"/>
  <c r="AJ17" i="2"/>
  <c r="AM112" i="2"/>
  <c r="AJ174" i="2"/>
  <c r="Y174" i="2"/>
  <c r="AH174" i="2" s="1"/>
  <c r="AI174" i="2" s="1"/>
  <c r="AL164" i="2"/>
  <c r="AM164" i="2"/>
  <c r="T164" i="2"/>
  <c r="AJ164" i="2"/>
  <c r="Y164" i="2"/>
  <c r="AH164" i="2" s="1"/>
  <c r="AI164" i="2" s="1"/>
  <c r="T117" i="2"/>
  <c r="AJ117" i="2"/>
  <c r="Y117" i="2"/>
  <c r="AH117" i="2" s="1"/>
  <c r="AI117" i="2" s="1"/>
  <c r="AJ247" i="2"/>
  <c r="T247" i="2"/>
  <c r="Y247" i="2"/>
  <c r="AH247" i="2" s="1"/>
  <c r="AI247" i="2" s="1"/>
  <c r="AJ192" i="2"/>
  <c r="T192" i="2"/>
  <c r="Y192" i="2"/>
  <c r="AH192" i="2" s="1"/>
  <c r="AI192" i="2" s="1"/>
  <c r="AL219" i="2"/>
  <c r="AM219" i="2"/>
  <c r="Y219" i="2"/>
  <c r="AH219" i="2" s="1"/>
  <c r="AI219" i="2" s="1"/>
  <c r="T219" i="2"/>
  <c r="AJ219" i="2"/>
  <c r="AM117" i="2"/>
  <c r="AL117" i="2"/>
  <c r="AL247" i="2"/>
  <c r="AM247" i="2"/>
  <c r="AL170" i="2"/>
  <c r="AM213" i="2"/>
  <c r="AL213" i="2"/>
  <c r="AJ213" i="2"/>
  <c r="Y213" i="2"/>
  <c r="AH213" i="2" s="1"/>
  <c r="AI213" i="2" s="1"/>
  <c r="T213" i="2"/>
  <c r="AM134" i="2"/>
  <c r="AL134" i="2"/>
  <c r="AM33" i="2"/>
  <c r="AL33" i="2"/>
  <c r="AL233" i="2"/>
  <c r="AM233" i="2"/>
  <c r="T61" i="2"/>
  <c r="AJ61" i="2"/>
  <c r="Y61" i="2"/>
  <c r="AH61" i="2" s="1"/>
  <c r="AI61" i="2" s="1"/>
  <c r="Y233" i="2"/>
  <c r="AH233" i="2" s="1"/>
  <c r="AI233" i="2" s="1"/>
  <c r="T233" i="2"/>
  <c r="AJ233" i="2"/>
  <c r="AM61" i="2"/>
  <c r="AL61" i="2"/>
  <c r="AM82" i="2"/>
  <c r="AL82" i="2"/>
  <c r="T82" i="2"/>
  <c r="AJ82" i="2"/>
  <c r="Y82" i="2"/>
  <c r="AH82" i="2" s="1"/>
  <c r="AI82" i="2" s="1"/>
  <c r="T33" i="2"/>
  <c r="AJ33" i="2"/>
  <c r="Y33" i="2"/>
  <c r="AH33" i="2" s="1"/>
  <c r="AI33" i="2" s="1"/>
  <c r="AM50" i="2"/>
  <c r="AL50" i="2"/>
  <c r="AM76" i="2"/>
  <c r="AL76" i="2"/>
  <c r="AM222" i="2"/>
  <c r="AL222" i="2"/>
  <c r="T50" i="2"/>
  <c r="Y50" i="2"/>
  <c r="AH50" i="2" s="1"/>
  <c r="AI50" i="2" s="1"/>
  <c r="AJ50" i="2"/>
  <c r="T76" i="2"/>
  <c r="AJ76" i="2"/>
  <c r="Y76" i="2"/>
  <c r="AH76" i="2" s="1"/>
  <c r="AI76" i="2" s="1"/>
  <c r="AL218" i="2"/>
  <c r="AM218" i="2"/>
  <c r="T218" i="2"/>
  <c r="AJ218" i="2"/>
  <c r="Y218" i="2"/>
  <c r="AH218" i="2" s="1"/>
  <c r="AI218" i="2" s="1"/>
  <c r="AM237" i="2"/>
  <c r="AL237" i="2"/>
  <c r="T222" i="2"/>
  <c r="AJ222" i="2"/>
  <c r="Y222" i="2"/>
  <c r="AH222" i="2" s="1"/>
  <c r="AI222" i="2" s="1"/>
  <c r="T237" i="2"/>
  <c r="AJ237" i="2"/>
  <c r="Y237" i="2"/>
  <c r="AH237" i="2" s="1"/>
  <c r="AI237" i="2" s="1"/>
  <c r="AL22" i="2"/>
  <c r="AM22" i="2"/>
  <c r="AJ22" i="2"/>
  <c r="Y22" i="2"/>
  <c r="AH22" i="2" s="1"/>
  <c r="AI22" i="2" s="1"/>
  <c r="T22" i="2"/>
  <c r="AM121" i="2"/>
  <c r="AL121" i="2"/>
  <c r="T121" i="2"/>
  <c r="Y121" i="2"/>
  <c r="AH121" i="2" s="1"/>
  <c r="AI121" i="2" s="1"/>
  <c r="AJ121" i="2"/>
  <c r="AL145" i="2"/>
  <c r="AM145" i="2"/>
  <c r="AL132" i="2"/>
  <c r="AM132" i="2"/>
  <c r="T145" i="2"/>
  <c r="AJ145" i="2"/>
  <c r="Y145" i="2"/>
  <c r="AH145" i="2" s="1"/>
  <c r="AI145" i="2" s="1"/>
  <c r="AJ132" i="2"/>
  <c r="Y132" i="2"/>
  <c r="AH132" i="2" s="1"/>
  <c r="AI132" i="2" s="1"/>
  <c r="T132" i="2"/>
  <c r="Y172" i="2"/>
  <c r="AH172" i="2" s="1"/>
  <c r="AI172" i="2" s="1"/>
  <c r="T172" i="2"/>
  <c r="AJ172" i="2"/>
  <c r="AL75" i="2"/>
  <c r="AM75" i="2"/>
  <c r="T228" i="2"/>
  <c r="AJ228" i="2"/>
  <c r="Y228" i="2"/>
  <c r="AH228" i="2" s="1"/>
  <c r="AI228" i="2" s="1"/>
  <c r="Y216" i="2"/>
  <c r="AH216" i="2" s="1"/>
  <c r="AI216" i="2" s="1"/>
  <c r="T216" i="2"/>
  <c r="AJ216" i="2"/>
  <c r="AL40" i="2"/>
  <c r="AM40" i="2"/>
  <c r="AL120" i="2"/>
  <c r="AM120" i="2"/>
  <c r="T184" i="2"/>
  <c r="AJ184" i="2"/>
  <c r="Y184" i="2"/>
  <c r="AH184" i="2" s="1"/>
  <c r="AI184" i="2" s="1"/>
  <c r="AL56" i="2"/>
  <c r="AM56" i="2"/>
  <c r="AL208" i="2"/>
  <c r="AM208" i="2"/>
  <c r="AL245" i="2"/>
  <c r="AM245" i="2"/>
  <c r="Y180" i="2"/>
  <c r="AH180" i="2" s="1"/>
  <c r="AI180" i="2" s="1"/>
  <c r="T180" i="2"/>
  <c r="AJ180" i="2"/>
  <c r="AJ221" i="2"/>
  <c r="Y221" i="2"/>
  <c r="AH221" i="2" s="1"/>
  <c r="AI221" i="2" s="1"/>
  <c r="T221" i="2"/>
  <c r="T52" i="2"/>
  <c r="AJ52" i="2"/>
  <c r="Y52" i="2"/>
  <c r="AH52" i="2" s="1"/>
  <c r="AI52" i="2" s="1"/>
  <c r="T114" i="2"/>
  <c r="AJ114" i="2"/>
  <c r="Y114" i="2"/>
  <c r="AH114" i="2" s="1"/>
  <c r="AI114" i="2" s="1"/>
  <c r="AL140" i="2"/>
  <c r="AM140" i="2"/>
  <c r="AL149" i="2"/>
  <c r="AM149" i="2"/>
  <c r="AL122" i="2"/>
  <c r="AM122" i="2"/>
  <c r="T104" i="2"/>
  <c r="AJ104" i="2"/>
  <c r="Y104" i="2"/>
  <c r="AH104" i="2" s="1"/>
  <c r="AI104" i="2" s="1"/>
  <c r="AL109" i="2"/>
  <c r="AM109" i="2"/>
  <c r="T75" i="2"/>
  <c r="AJ75" i="2"/>
  <c r="Y75" i="2"/>
  <c r="AH75" i="2" s="1"/>
  <c r="AI75" i="2" s="1"/>
  <c r="AM228" i="2"/>
  <c r="AL228" i="2"/>
  <c r="AL216" i="2"/>
  <c r="AM216" i="2"/>
  <c r="AL13" i="2"/>
  <c r="AM13" i="2"/>
  <c r="AL124" i="2"/>
  <c r="AM124" i="2"/>
  <c r="AL100" i="2"/>
  <c r="AM100" i="2"/>
  <c r="T40" i="2"/>
  <c r="Y40" i="2"/>
  <c r="AH40" i="2" s="1"/>
  <c r="AI40" i="2" s="1"/>
  <c r="AJ40" i="2"/>
  <c r="AJ120" i="2"/>
  <c r="Y120" i="2"/>
  <c r="AH120" i="2" s="1"/>
  <c r="AI120" i="2" s="1"/>
  <c r="T120" i="2"/>
  <c r="T96" i="2"/>
  <c r="AJ96" i="2"/>
  <c r="Y96" i="2"/>
  <c r="AH96" i="2" s="1"/>
  <c r="AI96" i="2" s="1"/>
  <c r="AH9" i="2"/>
  <c r="T9" i="2"/>
  <c r="Y9" i="2"/>
  <c r="U9" i="2" s="1"/>
  <c r="Y56" i="2"/>
  <c r="AH56" i="2" s="1"/>
  <c r="AI56" i="2" s="1"/>
  <c r="T56" i="2"/>
  <c r="AJ56" i="2"/>
  <c r="Y245" i="2"/>
  <c r="AH245" i="2" s="1"/>
  <c r="AI245" i="2" s="1"/>
  <c r="T245" i="2"/>
  <c r="AJ245" i="2"/>
  <c r="AJ240" i="2"/>
  <c r="Y240" i="2"/>
  <c r="AH240" i="2" s="1"/>
  <c r="AI240" i="2" s="1"/>
  <c r="T240" i="2"/>
  <c r="AM46" i="2"/>
  <c r="AL46" i="2"/>
  <c r="AL176" i="2"/>
  <c r="AM176" i="2"/>
  <c r="AM62" i="2"/>
  <c r="AL62" i="2"/>
  <c r="AJ189" i="2"/>
  <c r="Y189" i="2"/>
  <c r="AH189" i="2" s="1"/>
  <c r="AI189" i="2" s="1"/>
  <c r="T189" i="2"/>
  <c r="Y232" i="2"/>
  <c r="AH232" i="2" s="1"/>
  <c r="AI232" i="2" s="1"/>
  <c r="T232" i="2"/>
  <c r="AJ232" i="2"/>
  <c r="T149" i="2"/>
  <c r="AJ149" i="2"/>
  <c r="Y149" i="2"/>
  <c r="AH149" i="2" s="1"/>
  <c r="AI149" i="2" s="1"/>
  <c r="AJ122" i="2"/>
  <c r="T122" i="2"/>
  <c r="Y122" i="2"/>
  <c r="AH122" i="2" s="1"/>
  <c r="AI122" i="2" s="1"/>
  <c r="AL252" i="2"/>
  <c r="AM252" i="2"/>
  <c r="T109" i="2"/>
  <c r="Y109" i="2"/>
  <c r="AH109" i="2" s="1"/>
  <c r="AI109" i="2" s="1"/>
  <c r="AJ109" i="2"/>
  <c r="T142" i="2"/>
  <c r="AJ142" i="2"/>
  <c r="Y142" i="2"/>
  <c r="AH142" i="2" s="1"/>
  <c r="AI142" i="2" s="1"/>
  <c r="AL21" i="2"/>
  <c r="AM21" i="2"/>
  <c r="AL162" i="2"/>
  <c r="AM162" i="2"/>
  <c r="AM108" i="2"/>
  <c r="AL108" i="2"/>
  <c r="AL229" i="2"/>
  <c r="AM229" i="2"/>
  <c r="T15" i="2"/>
  <c r="AJ15" i="2"/>
  <c r="Y15" i="2"/>
  <c r="AH15" i="2"/>
  <c r="AI15" i="2" s="1"/>
  <c r="AJ62" i="2"/>
  <c r="T62" i="2"/>
  <c r="Y62" i="2"/>
  <c r="AH62" i="2" s="1"/>
  <c r="AI62" i="2" s="1"/>
  <c r="T140" i="2"/>
  <c r="AJ140" i="2"/>
  <c r="Y140" i="2"/>
  <c r="AH140" i="2" s="1"/>
  <c r="AI140" i="2" s="1"/>
  <c r="AL64" i="2"/>
  <c r="AM64" i="2"/>
  <c r="Y21" i="2"/>
  <c r="AH21" i="2" s="1"/>
  <c r="AI21" i="2" s="1"/>
  <c r="AJ21" i="2"/>
  <c r="T21" i="2"/>
  <c r="T13" i="2"/>
  <c r="AJ13" i="2"/>
  <c r="Y13" i="2"/>
  <c r="AH13" i="2"/>
  <c r="AI13" i="2" s="1"/>
  <c r="T124" i="2"/>
  <c r="AJ124" i="2"/>
  <c r="Y124" i="2"/>
  <c r="AH124" i="2" s="1"/>
  <c r="AI124" i="2" s="1"/>
  <c r="T162" i="2"/>
  <c r="AJ162" i="2"/>
  <c r="Y162" i="2"/>
  <c r="AH162" i="2" s="1"/>
  <c r="AI162" i="2" s="1"/>
  <c r="T100" i="2"/>
  <c r="Y100" i="2"/>
  <c r="AH100" i="2" s="1"/>
  <c r="AI100" i="2" s="1"/>
  <c r="AJ100" i="2"/>
  <c r="AM248" i="2"/>
  <c r="AL248" i="2"/>
  <c r="AJ108" i="2"/>
  <c r="Y108" i="2"/>
  <c r="AH108" i="2" s="1"/>
  <c r="AI108" i="2" s="1"/>
  <c r="T108" i="2"/>
  <c r="T229" i="2"/>
  <c r="AJ229" i="2"/>
  <c r="Y229" i="2"/>
  <c r="AH229" i="2" s="1"/>
  <c r="AI229" i="2" s="1"/>
  <c r="AJ208" i="2"/>
  <c r="Y208" i="2"/>
  <c r="AH208" i="2" s="1"/>
  <c r="AI208" i="2" s="1"/>
  <c r="T208" i="2"/>
  <c r="AL35" i="2"/>
  <c r="AM35" i="2"/>
  <c r="AM15" i="2"/>
  <c r="AL15" i="2"/>
  <c r="AM141" i="2"/>
  <c r="AL141" i="2"/>
  <c r="AM29" i="2"/>
  <c r="AL29" i="2"/>
  <c r="V4" i="2"/>
  <c r="AM166" i="2"/>
  <c r="AL166" i="2"/>
  <c r="T200" i="2"/>
  <c r="Y200" i="2"/>
  <c r="AH200" i="2" s="1"/>
  <c r="AI200" i="2" s="1"/>
  <c r="AJ200" i="2"/>
  <c r="AL224" i="2"/>
  <c r="AM224" i="2"/>
  <c r="AL104" i="2"/>
  <c r="AM104" i="2"/>
  <c r="Y252" i="2"/>
  <c r="AH252" i="2" s="1"/>
  <c r="AI252" i="2" s="1"/>
  <c r="AJ252" i="2"/>
  <c r="T252" i="2"/>
  <c r="AL142" i="2"/>
  <c r="AM142" i="2"/>
  <c r="AM220" i="2"/>
  <c r="AL220" i="2"/>
  <c r="AL80" i="2"/>
  <c r="AM80" i="2"/>
  <c r="AJ35" i="2"/>
  <c r="Y35" i="2"/>
  <c r="AH35" i="2" s="1"/>
  <c r="AI35" i="2" s="1"/>
  <c r="T35" i="2"/>
  <c r="T29" i="2"/>
  <c r="AJ29" i="2"/>
  <c r="Y29" i="2"/>
  <c r="AH29" i="2" s="1"/>
  <c r="AI29" i="2" s="1"/>
  <c r="T46" i="2"/>
  <c r="Y46" i="2"/>
  <c r="AH46" i="2" s="1"/>
  <c r="AI46" i="2" s="1"/>
  <c r="AJ46" i="2"/>
  <c r="T176" i="2"/>
  <c r="Y176" i="2"/>
  <c r="AH176" i="2" s="1"/>
  <c r="AI176" i="2" s="1"/>
  <c r="AJ176" i="2"/>
  <c r="T166" i="2"/>
  <c r="AJ166" i="2"/>
  <c r="Y166" i="2"/>
  <c r="AH166" i="2" s="1"/>
  <c r="AI166" i="2" s="1"/>
  <c r="AM84" i="2"/>
  <c r="AL84" i="2"/>
  <c r="AM158" i="2"/>
  <c r="AL158" i="2"/>
  <c r="T64" i="2"/>
  <c r="Y64" i="2"/>
  <c r="AH64" i="2" s="1"/>
  <c r="AI64" i="2" s="1"/>
  <c r="AJ64" i="2"/>
  <c r="AL19" i="2"/>
  <c r="AM19" i="2"/>
  <c r="AL72" i="2"/>
  <c r="AM72" i="2"/>
  <c r="Y248" i="2"/>
  <c r="AH248" i="2" s="1"/>
  <c r="AI248" i="2" s="1"/>
  <c r="T248" i="2"/>
  <c r="AJ248" i="2"/>
  <c r="Y220" i="2"/>
  <c r="AH220" i="2" s="1"/>
  <c r="AI220" i="2" s="1"/>
  <c r="T220" i="2"/>
  <c r="AJ220" i="2"/>
  <c r="T80" i="2"/>
  <c r="AJ80" i="2"/>
  <c r="Y80" i="2"/>
  <c r="AH80" i="2" s="1"/>
  <c r="AI80" i="2" s="1"/>
  <c r="AL212" i="2"/>
  <c r="AM212" i="2"/>
  <c r="AJ141" i="2"/>
  <c r="Y141" i="2"/>
  <c r="AH141" i="2" s="1"/>
  <c r="AI141" i="2" s="1"/>
  <c r="T141" i="2"/>
  <c r="AJ27" i="2"/>
  <c r="Y27" i="2"/>
  <c r="AH27" i="2" s="1"/>
  <c r="AI27" i="2" s="1"/>
  <c r="T27" i="2"/>
  <c r="AJ190" i="2"/>
  <c r="T190" i="2"/>
  <c r="Y190" i="2"/>
  <c r="AH190" i="2" s="1"/>
  <c r="AI190" i="2" s="1"/>
  <c r="AJ205" i="2"/>
  <c r="T205" i="2"/>
  <c r="Y205" i="2"/>
  <c r="AH205" i="2" s="1"/>
  <c r="AI205" i="2" s="1"/>
  <c r="AL188" i="2"/>
  <c r="AM188" i="2"/>
  <c r="T84" i="2"/>
  <c r="Y84" i="2"/>
  <c r="AH84" i="2" s="1"/>
  <c r="AI84" i="2" s="1"/>
  <c r="AJ84" i="2"/>
  <c r="AL200" i="2"/>
  <c r="AM200" i="2"/>
  <c r="AJ224" i="2"/>
  <c r="T224" i="2"/>
  <c r="Y224" i="2"/>
  <c r="AH224" i="2" s="1"/>
  <c r="AI224" i="2" s="1"/>
  <c r="Y158" i="2"/>
  <c r="AH158" i="2" s="1"/>
  <c r="AI158" i="2" s="1"/>
  <c r="AJ158" i="2"/>
  <c r="T158" i="2"/>
  <c r="AM154" i="2"/>
  <c r="AL154" i="2"/>
  <c r="AH19" i="2"/>
  <c r="AI19" i="2" s="1"/>
  <c r="T19" i="2"/>
  <c r="Y19" i="2"/>
  <c r="AJ19" i="2"/>
  <c r="Y72" i="2"/>
  <c r="AH72" i="2" s="1"/>
  <c r="AI72" i="2" s="1"/>
  <c r="T72" i="2"/>
  <c r="AJ72" i="2"/>
  <c r="AM133" i="2"/>
  <c r="AL133" i="2"/>
  <c r="AL58" i="2"/>
  <c r="AM58" i="2"/>
  <c r="AL204" i="2"/>
  <c r="AM204" i="2"/>
  <c r="AL44" i="2"/>
  <c r="AM44" i="2"/>
  <c r="Y150" i="2"/>
  <c r="AH150" i="2" s="1"/>
  <c r="AI150" i="2" s="1"/>
  <c r="T150" i="2"/>
  <c r="AJ150" i="2"/>
  <c r="AL96" i="2"/>
  <c r="AM96" i="2"/>
  <c r="AL184" i="2"/>
  <c r="AM184" i="2"/>
  <c r="T212" i="2"/>
  <c r="Y212" i="2"/>
  <c r="AH212" i="2" s="1"/>
  <c r="AI212" i="2" s="1"/>
  <c r="AJ212" i="2"/>
  <c r="AM106" i="2"/>
  <c r="AL106" i="2"/>
  <c r="T146" i="2"/>
  <c r="AJ146" i="2"/>
  <c r="Y146" i="2"/>
  <c r="AH146" i="2" s="1"/>
  <c r="AI146" i="2" s="1"/>
  <c r="AL180" i="2"/>
  <c r="AM180" i="2"/>
  <c r="AL27" i="2"/>
  <c r="AM27" i="2"/>
  <c r="AL205" i="2"/>
  <c r="AM205" i="2"/>
  <c r="Y188" i="2"/>
  <c r="AH188" i="2" s="1"/>
  <c r="AI188" i="2" s="1"/>
  <c r="AJ188" i="2"/>
  <c r="T188" i="2"/>
  <c r="AL172" i="2"/>
  <c r="AM172" i="2"/>
  <c r="AM232" i="2"/>
  <c r="AL232" i="2"/>
  <c r="AJ154" i="2"/>
  <c r="T154" i="2"/>
  <c r="Y154" i="2"/>
  <c r="AH154" i="2" s="1"/>
  <c r="AI154" i="2" s="1"/>
  <c r="T133" i="2"/>
  <c r="AJ133" i="2"/>
  <c r="Y133" i="2"/>
  <c r="AH133" i="2" s="1"/>
  <c r="AI133" i="2" s="1"/>
  <c r="T58" i="2"/>
  <c r="Y58" i="2"/>
  <c r="AH58" i="2" s="1"/>
  <c r="AI58" i="2" s="1"/>
  <c r="AJ58" i="2"/>
  <c r="AJ204" i="2"/>
  <c r="Y204" i="2"/>
  <c r="AH204" i="2" s="1"/>
  <c r="AI204" i="2" s="1"/>
  <c r="T204" i="2"/>
  <c r="Y44" i="2"/>
  <c r="AH44" i="2" s="1"/>
  <c r="AI44" i="2" s="1"/>
  <c r="AJ44" i="2"/>
  <c r="T44" i="2"/>
  <c r="AM150" i="2"/>
  <c r="AL150" i="2"/>
  <c r="AM9" i="2"/>
  <c r="AL9" i="2" s="1"/>
  <c r="T106" i="2"/>
  <c r="AJ106" i="2"/>
  <c r="Y106" i="2"/>
  <c r="AH106" i="2" s="1"/>
  <c r="AI106" i="2" s="1"/>
  <c r="AL146" i="2"/>
  <c r="AM146" i="2"/>
  <c r="AM240" i="2"/>
  <c r="AL240" i="2"/>
  <c r="AM221" i="2"/>
  <c r="AL221" i="2"/>
  <c r="AL52" i="2"/>
  <c r="AM52" i="2"/>
  <c r="AM114" i="2"/>
  <c r="AL114" i="2"/>
  <c r="AM190" i="2"/>
  <c r="AL190" i="2"/>
  <c r="AL189" i="2"/>
  <c r="AM189" i="2"/>
  <c r="K9" i="2"/>
  <c r="L8" i="2"/>
  <c r="V5" i="2" l="1"/>
  <c r="W6" i="2"/>
  <c r="K10" i="2"/>
  <c r="L9" i="2"/>
  <c r="V6" i="2" l="1"/>
  <c r="X6" i="2"/>
  <c r="L10" i="2"/>
  <c r="K11" i="2"/>
  <c r="W7" i="2" l="1"/>
  <c r="L11" i="2"/>
  <c r="K12" i="2"/>
  <c r="X7" i="2" l="1"/>
  <c r="V7" i="2"/>
  <c r="K13" i="2"/>
  <c r="L12" i="2"/>
  <c r="W8" i="2" l="1"/>
  <c r="K14" i="2"/>
  <c r="L13" i="2"/>
  <c r="X8" i="2" l="1"/>
  <c r="V8" i="2"/>
  <c r="L14" i="2"/>
  <c r="K15" i="2"/>
  <c r="W9" i="2" l="1"/>
  <c r="L15" i="2"/>
  <c r="K16" i="2"/>
  <c r="X9" i="2" l="1"/>
  <c r="V9" i="2"/>
  <c r="K17" i="2"/>
  <c r="L16" i="2"/>
  <c r="W10" i="2" l="1"/>
  <c r="K18" i="2"/>
  <c r="L17" i="2"/>
  <c r="X10" i="2" l="1"/>
  <c r="V10" i="2"/>
  <c r="L18" i="2"/>
  <c r="K19" i="2"/>
  <c r="W11" i="2" l="1"/>
  <c r="X11" i="2" s="1"/>
  <c r="W12" i="2" s="1"/>
  <c r="L19" i="2"/>
  <c r="K20" i="2"/>
  <c r="V11" i="2" l="1"/>
  <c r="V12" i="2"/>
  <c r="X12" i="2"/>
  <c r="W13" i="2" s="1"/>
  <c r="K21" i="2"/>
  <c r="L20" i="2"/>
  <c r="X13" i="2" l="1"/>
  <c r="W14" i="2" s="1"/>
  <c r="V13" i="2"/>
  <c r="K22" i="2"/>
  <c r="L21" i="2"/>
  <c r="V14" i="2" l="1"/>
  <c r="X14" i="2"/>
  <c r="W15" i="2" s="1"/>
  <c r="L22" i="2"/>
  <c r="K23" i="2"/>
  <c r="V15" i="2" l="1"/>
  <c r="X15" i="2"/>
  <c r="W16" i="2" s="1"/>
  <c r="L23" i="2"/>
  <c r="K24" i="2"/>
  <c r="V16" i="2" l="1"/>
  <c r="X16" i="2"/>
  <c r="W17" i="2" s="1"/>
  <c r="K25" i="2"/>
  <c r="L24" i="2"/>
  <c r="X17" i="2" l="1"/>
  <c r="W18" i="2" s="1"/>
  <c r="V17" i="2"/>
  <c r="K26" i="2"/>
  <c r="L25" i="2"/>
  <c r="V18" i="2" l="1"/>
  <c r="X18" i="2"/>
  <c r="W19" i="2" s="1"/>
  <c r="L26" i="2"/>
  <c r="K27" i="2"/>
  <c r="X19" i="2" l="1"/>
  <c r="W20" i="2" s="1"/>
  <c r="V19" i="2"/>
  <c r="L27" i="2"/>
  <c r="K28" i="2"/>
  <c r="V20" i="2" l="1"/>
  <c r="X20" i="2"/>
  <c r="W21" i="2" s="1"/>
  <c r="K29" i="2"/>
  <c r="L28" i="2"/>
  <c r="X21" i="2" l="1"/>
  <c r="W22" i="2" s="1"/>
  <c r="V21" i="2"/>
  <c r="K30" i="2"/>
  <c r="L29" i="2"/>
  <c r="V22" i="2" l="1"/>
  <c r="X22" i="2"/>
  <c r="W23" i="2" s="1"/>
  <c r="K31" i="2"/>
  <c r="L30" i="2"/>
  <c r="X23" i="2" l="1"/>
  <c r="W24" i="2" s="1"/>
  <c r="V23" i="2"/>
  <c r="L31" i="2"/>
  <c r="K32" i="2"/>
  <c r="V24" i="2" l="1"/>
  <c r="X24" i="2"/>
  <c r="W25" i="2" s="1"/>
  <c r="K33" i="2"/>
  <c r="L32" i="2"/>
  <c r="X25" i="2" l="1"/>
  <c r="W26" i="2" s="1"/>
  <c r="V25" i="2"/>
  <c r="K34" i="2"/>
  <c r="L33" i="2"/>
  <c r="V26" i="2" l="1"/>
  <c r="X26" i="2"/>
  <c r="W27" i="2" s="1"/>
  <c r="K35" i="2"/>
  <c r="L34" i="2"/>
  <c r="X27" i="2" l="1"/>
  <c r="W28" i="2" s="1"/>
  <c r="V27" i="2"/>
  <c r="L35" i="2"/>
  <c r="K36" i="2"/>
  <c r="V28" i="2" l="1"/>
  <c r="X28" i="2"/>
  <c r="W29" i="2" s="1"/>
  <c r="K37" i="2"/>
  <c r="L36" i="2"/>
  <c r="X29" i="2" l="1"/>
  <c r="W30" i="2" s="1"/>
  <c r="V29" i="2"/>
  <c r="K38" i="2"/>
  <c r="L37" i="2"/>
  <c r="V30" i="2" l="1"/>
  <c r="X30" i="2"/>
  <c r="W31" i="2" s="1"/>
  <c r="L38" i="2"/>
  <c r="K39" i="2"/>
  <c r="X31" i="2" l="1"/>
  <c r="W32" i="2" s="1"/>
  <c r="V31" i="2"/>
  <c r="L39" i="2"/>
  <c r="K40" i="2"/>
  <c r="V32" i="2" l="1"/>
  <c r="X32" i="2"/>
  <c r="W33" i="2" s="1"/>
  <c r="K41" i="2"/>
  <c r="L40" i="2"/>
  <c r="X33" i="2" l="1"/>
  <c r="W34" i="2" s="1"/>
  <c r="V33" i="2"/>
  <c r="K42" i="2"/>
  <c r="L41" i="2"/>
  <c r="X34" i="2" l="1"/>
  <c r="W35" i="2" s="1"/>
  <c r="V34" i="2"/>
  <c r="K43" i="2"/>
  <c r="L42" i="2"/>
  <c r="X35" i="2" l="1"/>
  <c r="W36" i="2" s="1"/>
  <c r="V35" i="2"/>
  <c r="L43" i="2"/>
  <c r="K44" i="2"/>
  <c r="X36" i="2" l="1"/>
  <c r="W37" i="2" s="1"/>
  <c r="V36" i="2"/>
  <c r="K45" i="2"/>
  <c r="L44" i="2"/>
  <c r="X37" i="2" l="1"/>
  <c r="W38" i="2" s="1"/>
  <c r="V37" i="2"/>
  <c r="K46" i="2"/>
  <c r="L45" i="2"/>
  <c r="X38" i="2" l="1"/>
  <c r="W39" i="2" s="1"/>
  <c r="V38" i="2"/>
  <c r="L46" i="2"/>
  <c r="K47" i="2"/>
  <c r="X39" i="2" l="1"/>
  <c r="W40" i="2" s="1"/>
  <c r="V39" i="2"/>
  <c r="L47" i="2"/>
  <c r="K48" i="2"/>
  <c r="X40" i="2" l="1"/>
  <c r="W41" i="2" s="1"/>
  <c r="V40" i="2"/>
  <c r="K49" i="2"/>
  <c r="L48" i="2"/>
  <c r="X41" i="2" l="1"/>
  <c r="W42" i="2" s="1"/>
  <c r="V41" i="2"/>
  <c r="K50" i="2"/>
  <c r="L49" i="2"/>
  <c r="X42" i="2" l="1"/>
  <c r="W43" i="2" s="1"/>
  <c r="V42" i="2"/>
  <c r="L50" i="2"/>
  <c r="K51" i="2"/>
  <c r="X43" i="2" l="1"/>
  <c r="W44" i="2" s="1"/>
  <c r="V43" i="2"/>
  <c r="L51" i="2"/>
  <c r="K52" i="2"/>
  <c r="X44" i="2" l="1"/>
  <c r="W45" i="2" s="1"/>
  <c r="V44" i="2"/>
  <c r="K53" i="2"/>
  <c r="L52" i="2"/>
  <c r="X45" i="2" l="1"/>
  <c r="W46" i="2" s="1"/>
  <c r="V45" i="2"/>
  <c r="K54" i="2"/>
  <c r="L53" i="2"/>
  <c r="X46" i="2" l="1"/>
  <c r="W47" i="2" s="1"/>
  <c r="V46" i="2"/>
  <c r="L54" i="2"/>
  <c r="K55" i="2"/>
  <c r="X47" i="2" l="1"/>
  <c r="W48" i="2" s="1"/>
  <c r="V47" i="2"/>
  <c r="L55" i="2"/>
  <c r="K56" i="2"/>
  <c r="X48" i="2" l="1"/>
  <c r="W49" i="2" s="1"/>
  <c r="V48" i="2"/>
  <c r="K57" i="2"/>
  <c r="L56" i="2"/>
  <c r="X49" i="2" l="1"/>
  <c r="W50" i="2" s="1"/>
  <c r="V49" i="2"/>
  <c r="K58" i="2"/>
  <c r="L57" i="2"/>
  <c r="X50" i="2" l="1"/>
  <c r="W51" i="2" s="1"/>
  <c r="V50" i="2"/>
  <c r="L58" i="2"/>
  <c r="K59" i="2"/>
  <c r="X51" i="2" l="1"/>
  <c r="W52" i="2" s="1"/>
  <c r="V51" i="2"/>
  <c r="L59" i="2"/>
  <c r="K60" i="2"/>
  <c r="X52" i="2" l="1"/>
  <c r="W53" i="2" s="1"/>
  <c r="Y11" i="2" s="1"/>
  <c r="U11" i="2" s="1"/>
  <c r="T11" i="2" s="1"/>
  <c r="V52" i="2"/>
  <c r="K61" i="2"/>
  <c r="L60" i="2"/>
  <c r="Y7" i="2" l="1"/>
  <c r="U7" i="2" s="1"/>
  <c r="T7" i="2" s="1"/>
  <c r="Y10" i="2"/>
  <c r="U10" i="2" s="1"/>
  <c r="T10" i="2" s="1"/>
  <c r="Y6" i="2"/>
  <c r="U6" i="2" s="1"/>
  <c r="T6" i="2" s="1"/>
  <c r="X53" i="2"/>
  <c r="W54" i="2" s="1"/>
  <c r="V53" i="2"/>
  <c r="Y4" i="2"/>
  <c r="U4" i="2" s="1"/>
  <c r="T4" i="2" s="1"/>
  <c r="Y5" i="2"/>
  <c r="U5" i="2" s="1"/>
  <c r="T5" i="2" s="1"/>
  <c r="Y8" i="2"/>
  <c r="U8" i="2" s="1"/>
  <c r="T8" i="2" s="1"/>
  <c r="K62" i="2"/>
  <c r="L61" i="2"/>
  <c r="X54" i="2" l="1"/>
  <c r="W55" i="2" s="1"/>
  <c r="V54" i="2"/>
  <c r="L62" i="2"/>
  <c r="K63" i="2"/>
  <c r="V55" i="2" l="1"/>
  <c r="X55" i="2"/>
  <c r="W56" i="2" s="1"/>
  <c r="L63" i="2"/>
  <c r="K64" i="2"/>
  <c r="X56" i="2" l="1"/>
  <c r="W57" i="2" s="1"/>
  <c r="V56" i="2"/>
  <c r="K65" i="2"/>
  <c r="L64" i="2"/>
  <c r="V57" i="2" l="1"/>
  <c r="X57" i="2"/>
  <c r="W58" i="2" s="1"/>
  <c r="K66" i="2"/>
  <c r="L65" i="2"/>
  <c r="X58" i="2" l="1"/>
  <c r="W59" i="2" s="1"/>
  <c r="V58" i="2"/>
  <c r="K67" i="2"/>
  <c r="L66" i="2"/>
  <c r="V59" i="2" l="1"/>
  <c r="X59" i="2"/>
  <c r="W60" i="2" s="1"/>
  <c r="L67" i="2"/>
  <c r="K68" i="2"/>
  <c r="X60" i="2" l="1"/>
  <c r="W61" i="2" s="1"/>
  <c r="V60" i="2"/>
  <c r="K69" i="2"/>
  <c r="L68" i="2"/>
  <c r="V61" i="2" l="1"/>
  <c r="X61" i="2"/>
  <c r="W62" i="2" s="1"/>
  <c r="K70" i="2"/>
  <c r="L69" i="2"/>
  <c r="X62" i="2" l="1"/>
  <c r="W63" i="2" s="1"/>
  <c r="V62" i="2"/>
  <c r="L70" i="2"/>
  <c r="K71" i="2"/>
  <c r="V63" i="2" l="1"/>
  <c r="X63" i="2"/>
  <c r="W64" i="2" s="1"/>
  <c r="L71" i="2"/>
  <c r="K72" i="2"/>
  <c r="X64" i="2" l="1"/>
  <c r="W65" i="2" s="1"/>
  <c r="V64" i="2"/>
  <c r="K73" i="2"/>
  <c r="L72" i="2"/>
  <c r="V65" i="2" l="1"/>
  <c r="X65" i="2"/>
  <c r="W66" i="2" s="1"/>
  <c r="K74" i="2"/>
  <c r="L73" i="2"/>
  <c r="X66" i="2" l="1"/>
  <c r="W67" i="2" s="1"/>
  <c r="V66" i="2"/>
  <c r="K75" i="2"/>
  <c r="L74" i="2"/>
  <c r="V67" i="2" l="1"/>
  <c r="X67" i="2"/>
  <c r="W68" i="2" s="1"/>
  <c r="L75" i="2"/>
  <c r="K76" i="2"/>
  <c r="X68" i="2" l="1"/>
  <c r="W69" i="2" s="1"/>
  <c r="V68" i="2"/>
  <c r="K77" i="2"/>
  <c r="L76" i="2"/>
  <c r="V69" i="2" l="1"/>
  <c r="X69" i="2"/>
  <c r="W70" i="2" s="1"/>
  <c r="K78" i="2"/>
  <c r="L77" i="2"/>
  <c r="X70" i="2" l="1"/>
  <c r="W71" i="2" s="1"/>
  <c r="V70" i="2"/>
  <c r="K79" i="2"/>
  <c r="L78" i="2"/>
  <c r="V71" i="2" l="1"/>
  <c r="X71" i="2"/>
  <c r="W72" i="2" s="1"/>
  <c r="L79" i="2"/>
  <c r="K80" i="2"/>
  <c r="X72" i="2" l="1"/>
  <c r="W73" i="2" s="1"/>
  <c r="V72" i="2"/>
  <c r="K81" i="2"/>
  <c r="L80" i="2"/>
  <c r="V73" i="2" l="1"/>
  <c r="X73" i="2"/>
  <c r="W74" i="2" s="1"/>
  <c r="K82" i="2"/>
  <c r="L81" i="2"/>
  <c r="X74" i="2" l="1"/>
  <c r="W75" i="2" s="1"/>
  <c r="V74" i="2"/>
  <c r="L82" i="2"/>
  <c r="K83" i="2"/>
  <c r="V75" i="2" l="1"/>
  <c r="X75" i="2"/>
  <c r="W76" i="2" s="1"/>
  <c r="L83" i="2"/>
  <c r="K84" i="2"/>
  <c r="X76" i="2" l="1"/>
  <c r="W77" i="2" s="1"/>
  <c r="V76" i="2"/>
  <c r="K85" i="2"/>
  <c r="L84" i="2"/>
  <c r="V77" i="2" l="1"/>
  <c r="X77" i="2"/>
  <c r="W78" i="2" s="1"/>
  <c r="K86" i="2"/>
  <c r="L85" i="2"/>
  <c r="X78" i="2" l="1"/>
  <c r="W79" i="2" s="1"/>
  <c r="V78" i="2"/>
  <c r="L86" i="2"/>
  <c r="K87" i="2"/>
  <c r="V79" i="2" l="1"/>
  <c r="X79" i="2"/>
  <c r="W80" i="2" s="1"/>
  <c r="L87" i="2"/>
  <c r="K88" i="2"/>
  <c r="X80" i="2" l="1"/>
  <c r="W81" i="2" s="1"/>
  <c r="V80" i="2"/>
  <c r="K89" i="2"/>
  <c r="L88" i="2"/>
  <c r="V81" i="2" l="1"/>
  <c r="X81" i="2"/>
  <c r="W82" i="2" s="1"/>
  <c r="K90" i="2"/>
  <c r="L89" i="2"/>
  <c r="X82" i="2" l="1"/>
  <c r="W83" i="2" s="1"/>
  <c r="V82" i="2"/>
  <c r="L90" i="2"/>
  <c r="K91" i="2"/>
  <c r="V83" i="2" l="1"/>
  <c r="X83" i="2"/>
  <c r="W84" i="2" s="1"/>
  <c r="L91" i="2"/>
  <c r="K92" i="2"/>
  <c r="X84" i="2" l="1"/>
  <c r="W85" i="2" s="1"/>
  <c r="V84" i="2"/>
  <c r="K93" i="2"/>
  <c r="L92" i="2"/>
  <c r="V85" i="2" l="1"/>
  <c r="X85" i="2"/>
  <c r="W86" i="2" s="1"/>
  <c r="K94" i="2"/>
  <c r="L93" i="2"/>
  <c r="X86" i="2" l="1"/>
  <c r="W87" i="2" s="1"/>
  <c r="V86" i="2"/>
  <c r="L94" i="2"/>
  <c r="K95" i="2"/>
  <c r="V87" i="2" l="1"/>
  <c r="X87" i="2"/>
  <c r="W88" i="2" s="1"/>
  <c r="L95" i="2"/>
  <c r="K96" i="2"/>
  <c r="X88" i="2" l="1"/>
  <c r="W89" i="2" s="1"/>
  <c r="V88" i="2"/>
  <c r="K97" i="2"/>
  <c r="L96" i="2"/>
  <c r="V89" i="2" l="1"/>
  <c r="X89" i="2"/>
  <c r="W90" i="2" s="1"/>
  <c r="K98" i="2"/>
  <c r="L97" i="2"/>
  <c r="X90" i="2" l="1"/>
  <c r="W91" i="2" s="1"/>
  <c r="V90" i="2"/>
  <c r="K99" i="2"/>
  <c r="L98" i="2"/>
  <c r="V91" i="2" l="1"/>
  <c r="X91" i="2"/>
  <c r="W92" i="2" s="1"/>
  <c r="L99" i="2"/>
  <c r="K100" i="2"/>
  <c r="X92" i="2" l="1"/>
  <c r="W93" i="2" s="1"/>
  <c r="V92" i="2"/>
  <c r="K101" i="2"/>
  <c r="L100" i="2"/>
  <c r="V93" i="2" l="1"/>
  <c r="X93" i="2"/>
  <c r="W94" i="2" s="1"/>
  <c r="K102" i="2"/>
  <c r="L101" i="2"/>
  <c r="X94" i="2" l="1"/>
  <c r="W95" i="2" s="1"/>
  <c r="V94" i="2"/>
  <c r="L102" i="2"/>
  <c r="K103" i="2"/>
  <c r="V95" i="2" l="1"/>
  <c r="X95" i="2"/>
  <c r="W96" i="2" s="1"/>
  <c r="L103" i="2"/>
  <c r="K104" i="2"/>
  <c r="X96" i="2" l="1"/>
  <c r="W97" i="2" s="1"/>
  <c r="V96" i="2"/>
  <c r="K105" i="2"/>
  <c r="L104" i="2"/>
  <c r="V97" i="2" l="1"/>
  <c r="X97" i="2"/>
  <c r="W98" i="2" s="1"/>
  <c r="K106" i="2"/>
  <c r="L105" i="2"/>
  <c r="X98" i="2" l="1"/>
  <c r="W99" i="2" s="1"/>
  <c r="V98" i="2"/>
  <c r="L106" i="2"/>
  <c r="K107" i="2"/>
  <c r="V99" i="2" l="1"/>
  <c r="X99" i="2"/>
  <c r="W100" i="2" s="1"/>
  <c r="L107" i="2"/>
  <c r="K108" i="2"/>
  <c r="X100" i="2" l="1"/>
  <c r="W101" i="2" s="1"/>
  <c r="V100" i="2"/>
  <c r="K109" i="2"/>
  <c r="L108" i="2"/>
  <c r="V101" i="2" l="1"/>
  <c r="X101" i="2"/>
  <c r="W102" i="2" s="1"/>
  <c r="K110" i="2"/>
  <c r="L109" i="2"/>
  <c r="X102" i="2" l="1"/>
  <c r="W103" i="2" s="1"/>
  <c r="V102" i="2"/>
  <c r="K111" i="2"/>
  <c r="L110" i="2"/>
  <c r="V103" i="2" l="1"/>
  <c r="X103" i="2"/>
  <c r="W104" i="2" s="1"/>
  <c r="L111" i="2"/>
  <c r="K112" i="2"/>
  <c r="X104" i="2" l="1"/>
  <c r="W105" i="2" s="1"/>
  <c r="V104" i="2"/>
  <c r="K113" i="2"/>
  <c r="L112" i="2"/>
  <c r="V105" i="2" l="1"/>
  <c r="X105" i="2"/>
  <c r="W106" i="2" s="1"/>
  <c r="K114" i="2"/>
  <c r="L113" i="2"/>
  <c r="X106" i="2" l="1"/>
  <c r="W107" i="2" s="1"/>
  <c r="V106" i="2"/>
  <c r="L114" i="2"/>
  <c r="K115" i="2"/>
  <c r="V107" i="2" l="1"/>
  <c r="X107" i="2"/>
  <c r="W108" i="2" s="1"/>
  <c r="L115" i="2"/>
  <c r="K116" i="2"/>
  <c r="X108" i="2" l="1"/>
  <c r="W109" i="2" s="1"/>
  <c r="V108" i="2"/>
  <c r="K117" i="2"/>
  <c r="L116" i="2"/>
  <c r="V109" i="2" l="1"/>
  <c r="X109" i="2"/>
  <c r="W110" i="2" s="1"/>
  <c r="K118" i="2"/>
  <c r="L117" i="2"/>
  <c r="X110" i="2" l="1"/>
  <c r="W111" i="2" s="1"/>
  <c r="V110" i="2"/>
  <c r="L118" i="2"/>
  <c r="K119" i="2"/>
  <c r="V111" i="2" l="1"/>
  <c r="X111" i="2"/>
  <c r="W112" i="2" s="1"/>
  <c r="L119" i="2"/>
  <c r="K120" i="2"/>
  <c r="X112" i="2" l="1"/>
  <c r="W113" i="2" s="1"/>
  <c r="V112" i="2"/>
  <c r="K121" i="2"/>
  <c r="L120" i="2"/>
  <c r="V113" i="2" l="1"/>
  <c r="X113" i="2"/>
  <c r="W114" i="2" s="1"/>
  <c r="K122" i="2"/>
  <c r="L121" i="2"/>
  <c r="X114" i="2" l="1"/>
  <c r="W115" i="2" s="1"/>
  <c r="V114" i="2"/>
  <c r="K123" i="2"/>
  <c r="L122" i="2"/>
  <c r="V115" i="2" l="1"/>
  <c r="X115" i="2"/>
  <c r="W116" i="2" s="1"/>
  <c r="L123" i="2"/>
  <c r="K124" i="2"/>
  <c r="X116" i="2" l="1"/>
  <c r="W117" i="2" s="1"/>
  <c r="V116" i="2"/>
  <c r="K125" i="2"/>
  <c r="L124" i="2"/>
  <c r="V117" i="2" l="1"/>
  <c r="X117" i="2"/>
  <c r="W118" i="2" s="1"/>
  <c r="K126" i="2"/>
  <c r="L125" i="2"/>
  <c r="X118" i="2" l="1"/>
  <c r="W119" i="2" s="1"/>
  <c r="V118" i="2"/>
  <c r="L126" i="2"/>
  <c r="K127" i="2"/>
  <c r="V119" i="2" l="1"/>
  <c r="X119" i="2"/>
  <c r="W120" i="2" s="1"/>
  <c r="L127" i="2"/>
  <c r="K128" i="2"/>
  <c r="X120" i="2" l="1"/>
  <c r="W121" i="2" s="1"/>
  <c r="V120" i="2"/>
  <c r="K129" i="2"/>
  <c r="L128" i="2"/>
  <c r="V121" i="2" l="1"/>
  <c r="X121" i="2"/>
  <c r="W122" i="2" s="1"/>
  <c r="K130" i="2"/>
  <c r="L129" i="2"/>
  <c r="X122" i="2" l="1"/>
  <c r="W123" i="2" s="1"/>
  <c r="V122" i="2"/>
  <c r="K131" i="2"/>
  <c r="L130" i="2"/>
  <c r="V123" i="2" l="1"/>
  <c r="X123" i="2"/>
  <c r="W124" i="2" s="1"/>
  <c r="L131" i="2"/>
  <c r="K132" i="2"/>
  <c r="X124" i="2" l="1"/>
  <c r="W125" i="2" s="1"/>
  <c r="V124" i="2"/>
  <c r="K133" i="2"/>
  <c r="L132" i="2"/>
  <c r="V125" i="2" l="1"/>
  <c r="X125" i="2"/>
  <c r="W126" i="2" s="1"/>
  <c r="K134" i="2"/>
  <c r="L133" i="2"/>
  <c r="X126" i="2" l="1"/>
  <c r="W127" i="2" s="1"/>
  <c r="V126" i="2"/>
  <c r="L134" i="2"/>
  <c r="K135" i="2"/>
  <c r="V127" i="2" l="1"/>
  <c r="X127" i="2"/>
  <c r="W128" i="2" s="1"/>
  <c r="L135" i="2"/>
  <c r="K136" i="2"/>
  <c r="X128" i="2" l="1"/>
  <c r="W129" i="2" s="1"/>
  <c r="V128" i="2"/>
  <c r="K137" i="2"/>
  <c r="L136" i="2"/>
  <c r="V129" i="2" l="1"/>
  <c r="X129" i="2"/>
  <c r="W130" i="2" s="1"/>
  <c r="K138" i="2"/>
  <c r="L137" i="2"/>
  <c r="X130" i="2" l="1"/>
  <c r="W131" i="2" s="1"/>
  <c r="V130" i="2"/>
  <c r="L138" i="2"/>
  <c r="K139" i="2"/>
  <c r="V131" i="2" l="1"/>
  <c r="X131" i="2"/>
  <c r="W132" i="2" s="1"/>
  <c r="L139" i="2"/>
  <c r="K140" i="2"/>
  <c r="X132" i="2" l="1"/>
  <c r="W133" i="2" s="1"/>
  <c r="V132" i="2"/>
  <c r="K141" i="2"/>
  <c r="L140" i="2"/>
  <c r="V133" i="2" l="1"/>
  <c r="X133" i="2"/>
  <c r="W134" i="2" s="1"/>
  <c r="K142" i="2"/>
  <c r="L141" i="2"/>
  <c r="X134" i="2" l="1"/>
  <c r="W135" i="2" s="1"/>
  <c r="V134" i="2"/>
  <c r="L142" i="2"/>
  <c r="K143" i="2"/>
  <c r="V135" i="2" l="1"/>
  <c r="X135" i="2"/>
  <c r="W136" i="2" s="1"/>
  <c r="L143" i="2"/>
  <c r="K144" i="2"/>
  <c r="X136" i="2" l="1"/>
  <c r="W137" i="2" s="1"/>
  <c r="V136" i="2"/>
  <c r="K145" i="2"/>
  <c r="L144" i="2"/>
  <c r="V137" i="2" l="1"/>
  <c r="X137" i="2"/>
  <c r="W138" i="2" s="1"/>
  <c r="K146" i="2"/>
  <c r="L145" i="2"/>
  <c r="X138" i="2" l="1"/>
  <c r="W139" i="2" s="1"/>
  <c r="V138" i="2"/>
  <c r="L146" i="2"/>
  <c r="K147" i="2"/>
  <c r="X139" i="2" l="1"/>
  <c r="W140" i="2" s="1"/>
  <c r="V139" i="2"/>
  <c r="L147" i="2"/>
  <c r="K148" i="2"/>
  <c r="X140" i="2" l="1"/>
  <c r="W141" i="2" s="1"/>
  <c r="V140" i="2"/>
  <c r="K149" i="2"/>
  <c r="L148" i="2"/>
  <c r="X141" i="2" l="1"/>
  <c r="W142" i="2" s="1"/>
  <c r="V141" i="2"/>
  <c r="K150" i="2"/>
  <c r="L149" i="2"/>
  <c r="X142" i="2" l="1"/>
  <c r="W143" i="2" s="1"/>
  <c r="V142" i="2"/>
  <c r="L150" i="2"/>
  <c r="K151" i="2"/>
  <c r="X143" i="2" l="1"/>
  <c r="W144" i="2" s="1"/>
  <c r="V143" i="2"/>
  <c r="L151" i="2"/>
  <c r="K152" i="2"/>
  <c r="X144" i="2" l="1"/>
  <c r="W145" i="2" s="1"/>
  <c r="V144" i="2"/>
  <c r="K153" i="2"/>
  <c r="L152" i="2"/>
  <c r="X145" i="2" l="1"/>
  <c r="W146" i="2" s="1"/>
  <c r="V145" i="2"/>
  <c r="K154" i="2"/>
  <c r="L153" i="2"/>
  <c r="X146" i="2" l="1"/>
  <c r="W147" i="2" s="1"/>
  <c r="V146" i="2"/>
  <c r="K155" i="2"/>
  <c r="L154" i="2"/>
  <c r="X147" i="2" l="1"/>
  <c r="W148" i="2" s="1"/>
  <c r="V147" i="2"/>
  <c r="L155" i="2"/>
  <c r="K156" i="2"/>
  <c r="X148" i="2" l="1"/>
  <c r="W149" i="2" s="1"/>
  <c r="V148" i="2"/>
  <c r="K157" i="2"/>
  <c r="L156" i="2"/>
  <c r="X149" i="2" l="1"/>
  <c r="W150" i="2" s="1"/>
  <c r="V149" i="2"/>
  <c r="K158" i="2"/>
  <c r="L157" i="2"/>
  <c r="X150" i="2" l="1"/>
  <c r="W151" i="2" s="1"/>
  <c r="V150" i="2"/>
  <c r="L158" i="2"/>
  <c r="K159" i="2"/>
  <c r="X151" i="2" l="1"/>
  <c r="W152" i="2" s="1"/>
  <c r="V151" i="2"/>
  <c r="L159" i="2"/>
  <c r="K160" i="2"/>
  <c r="X152" i="2" l="1"/>
  <c r="W153" i="2" s="1"/>
  <c r="V152" i="2"/>
  <c r="K161" i="2"/>
  <c r="L160" i="2"/>
  <c r="X153" i="2" l="1"/>
  <c r="W154" i="2" s="1"/>
  <c r="V153" i="2"/>
  <c r="K162" i="2"/>
  <c r="L161" i="2"/>
  <c r="X154" i="2" l="1"/>
  <c r="W155" i="2" s="1"/>
  <c r="V154" i="2"/>
  <c r="K163" i="2"/>
  <c r="L162" i="2"/>
  <c r="X155" i="2" l="1"/>
  <c r="W156" i="2" s="1"/>
  <c r="V155" i="2"/>
  <c r="L163" i="2"/>
  <c r="K164" i="2"/>
  <c r="X156" i="2" l="1"/>
  <c r="W157" i="2" s="1"/>
  <c r="V156" i="2"/>
  <c r="K165" i="2"/>
  <c r="L164" i="2"/>
  <c r="X157" i="2" l="1"/>
  <c r="W158" i="2" s="1"/>
  <c r="V157" i="2"/>
  <c r="K166" i="2"/>
  <c r="L165" i="2"/>
  <c r="X158" i="2" l="1"/>
  <c r="W159" i="2" s="1"/>
  <c r="V158" i="2"/>
  <c r="K167" i="2"/>
  <c r="L166" i="2"/>
  <c r="X159" i="2" l="1"/>
  <c r="W160" i="2" s="1"/>
  <c r="V159" i="2"/>
  <c r="L167" i="2"/>
  <c r="K168" i="2"/>
  <c r="X160" i="2" l="1"/>
  <c r="W161" i="2" s="1"/>
  <c r="V160" i="2"/>
  <c r="K169" i="2"/>
  <c r="L168" i="2"/>
  <c r="X161" i="2" l="1"/>
  <c r="W162" i="2" s="1"/>
  <c r="V161" i="2"/>
  <c r="K170" i="2"/>
  <c r="L169" i="2"/>
  <c r="X162" i="2" l="1"/>
  <c r="W163" i="2" s="1"/>
  <c r="V162" i="2"/>
  <c r="L170" i="2"/>
  <c r="K171" i="2"/>
  <c r="X163" i="2" l="1"/>
  <c r="W164" i="2" s="1"/>
  <c r="V163" i="2"/>
  <c r="L171" i="2"/>
  <c r="K172" i="2"/>
  <c r="X164" i="2" l="1"/>
  <c r="W165" i="2" s="1"/>
  <c r="V164" i="2"/>
  <c r="K173" i="2"/>
  <c r="L172" i="2"/>
  <c r="X165" i="2" l="1"/>
  <c r="W166" i="2" s="1"/>
  <c r="V165" i="2"/>
  <c r="K174" i="2"/>
  <c r="L173" i="2"/>
  <c r="X166" i="2" l="1"/>
  <c r="W167" i="2" s="1"/>
  <c r="V166" i="2"/>
  <c r="L174" i="2"/>
  <c r="K175" i="2"/>
  <c r="X167" i="2" l="1"/>
  <c r="W168" i="2" s="1"/>
  <c r="V167" i="2"/>
  <c r="L175" i="2"/>
  <c r="K176" i="2"/>
  <c r="X168" i="2" l="1"/>
  <c r="W169" i="2" s="1"/>
  <c r="V168" i="2"/>
  <c r="K177" i="2"/>
  <c r="L176" i="2"/>
  <c r="X169" i="2" l="1"/>
  <c r="W170" i="2" s="1"/>
  <c r="V169" i="2"/>
  <c r="K178" i="2"/>
  <c r="L177" i="2"/>
  <c r="X170" i="2" l="1"/>
  <c r="W171" i="2" s="1"/>
  <c r="V170" i="2"/>
  <c r="L178" i="2"/>
  <c r="K179" i="2"/>
  <c r="X171" i="2" l="1"/>
  <c r="W172" i="2" s="1"/>
  <c r="V171" i="2"/>
  <c r="L179" i="2"/>
  <c r="K180" i="2"/>
  <c r="X172" i="2" l="1"/>
  <c r="W173" i="2" s="1"/>
  <c r="V172" i="2"/>
  <c r="K181" i="2"/>
  <c r="L180" i="2"/>
  <c r="X173" i="2" l="1"/>
  <c r="W174" i="2" s="1"/>
  <c r="V173" i="2"/>
  <c r="K182" i="2"/>
  <c r="L181" i="2"/>
  <c r="X174" i="2" l="1"/>
  <c r="W175" i="2" s="1"/>
  <c r="V174" i="2"/>
  <c r="L182" i="2"/>
  <c r="K183" i="2"/>
  <c r="X175" i="2" l="1"/>
  <c r="W176" i="2" s="1"/>
  <c r="V175" i="2"/>
  <c r="L183" i="2"/>
  <c r="K184" i="2"/>
  <c r="X176" i="2" l="1"/>
  <c r="W177" i="2" s="1"/>
  <c r="V176" i="2"/>
  <c r="K185" i="2"/>
  <c r="L184" i="2"/>
  <c r="X177" i="2" l="1"/>
  <c r="W178" i="2" s="1"/>
  <c r="V177" i="2"/>
  <c r="K186" i="2"/>
  <c r="L185" i="2"/>
  <c r="X178" i="2" l="1"/>
  <c r="W179" i="2" s="1"/>
  <c r="V178" i="2"/>
  <c r="L186" i="2"/>
  <c r="K187" i="2"/>
  <c r="X179" i="2" l="1"/>
  <c r="W180" i="2" s="1"/>
  <c r="V179" i="2"/>
  <c r="L187" i="2"/>
  <c r="K188" i="2"/>
  <c r="X180" i="2" l="1"/>
  <c r="W181" i="2" s="1"/>
  <c r="V180" i="2"/>
  <c r="K189" i="2"/>
  <c r="L188" i="2"/>
  <c r="X181" i="2" l="1"/>
  <c r="W182" i="2" s="1"/>
  <c r="V181" i="2"/>
  <c r="K190" i="2"/>
  <c r="L189" i="2"/>
  <c r="X182" i="2" l="1"/>
  <c r="W183" i="2" s="1"/>
  <c r="V182" i="2"/>
  <c r="L190" i="2"/>
  <c r="K191" i="2"/>
  <c r="X183" i="2" l="1"/>
  <c r="W184" i="2" s="1"/>
  <c r="V183" i="2"/>
  <c r="L191" i="2"/>
  <c r="K192" i="2"/>
  <c r="X184" i="2" l="1"/>
  <c r="W185" i="2" s="1"/>
  <c r="V184" i="2"/>
  <c r="K193" i="2"/>
  <c r="L192" i="2"/>
  <c r="X185" i="2" l="1"/>
  <c r="W186" i="2" s="1"/>
  <c r="V185" i="2"/>
  <c r="L193" i="2"/>
  <c r="K194" i="2"/>
  <c r="X186" i="2" l="1"/>
  <c r="W187" i="2" s="1"/>
  <c r="V186" i="2"/>
  <c r="L194" i="2"/>
  <c r="K195" i="2"/>
  <c r="X187" i="2" l="1"/>
  <c r="W188" i="2" s="1"/>
  <c r="V187" i="2"/>
  <c r="L195" i="2"/>
  <c r="K196" i="2"/>
  <c r="X188" i="2" l="1"/>
  <c r="W189" i="2" s="1"/>
  <c r="V188" i="2"/>
  <c r="K197" i="2"/>
  <c r="L196" i="2"/>
  <c r="X189" i="2" l="1"/>
  <c r="W190" i="2" s="1"/>
  <c r="V189" i="2"/>
  <c r="L197" i="2"/>
  <c r="K198" i="2"/>
  <c r="X190" i="2" l="1"/>
  <c r="W191" i="2" s="1"/>
  <c r="V190" i="2"/>
  <c r="K199" i="2"/>
  <c r="L198" i="2"/>
  <c r="X191" i="2" l="1"/>
  <c r="W192" i="2" s="1"/>
  <c r="V191" i="2"/>
  <c r="L199" i="2"/>
  <c r="K200" i="2"/>
  <c r="V192" i="2" l="1"/>
  <c r="X192" i="2"/>
  <c r="W193" i="2" s="1"/>
  <c r="K201" i="2"/>
  <c r="L200" i="2"/>
  <c r="V193" i="2" l="1"/>
  <c r="X193" i="2"/>
  <c r="W194" i="2" s="1"/>
  <c r="K202" i="2"/>
  <c r="L201" i="2"/>
  <c r="V194" i="2" l="1"/>
  <c r="X194" i="2"/>
  <c r="W195" i="2" s="1"/>
  <c r="L202" i="2"/>
  <c r="K203" i="2"/>
  <c r="X195" i="2" l="1"/>
  <c r="W196" i="2" s="1"/>
  <c r="V195" i="2"/>
  <c r="L203" i="2"/>
  <c r="K204" i="2"/>
  <c r="X196" i="2" l="1"/>
  <c r="W197" i="2" s="1"/>
  <c r="V196" i="2"/>
  <c r="K205" i="2"/>
  <c r="L204" i="2"/>
  <c r="X197" i="2" l="1"/>
  <c r="W198" i="2" s="1"/>
  <c r="V197" i="2"/>
  <c r="K206" i="2"/>
  <c r="L205" i="2"/>
  <c r="X198" i="2" l="1"/>
  <c r="W199" i="2" s="1"/>
  <c r="V198" i="2"/>
  <c r="L206" i="2"/>
  <c r="K207" i="2"/>
  <c r="X199" i="2" l="1"/>
  <c r="W200" i="2" s="1"/>
  <c r="V199" i="2"/>
  <c r="K208" i="2"/>
  <c r="L207" i="2"/>
  <c r="V200" i="2" l="1"/>
  <c r="X200" i="2"/>
  <c r="W201" i="2" s="1"/>
  <c r="K209" i="2"/>
  <c r="L208" i="2"/>
  <c r="X201" i="2" l="1"/>
  <c r="W202" i="2" s="1"/>
  <c r="V201" i="2"/>
  <c r="L209" i="2"/>
  <c r="K210" i="2"/>
  <c r="X202" i="2" l="1"/>
  <c r="W203" i="2" s="1"/>
  <c r="V202" i="2"/>
  <c r="K211" i="2"/>
  <c r="L210" i="2"/>
  <c r="X203" i="2" l="1"/>
  <c r="W204" i="2" s="1"/>
  <c r="V203" i="2"/>
  <c r="L211" i="2"/>
  <c r="K212" i="2"/>
  <c r="X204" i="2" l="1"/>
  <c r="W205" i="2" s="1"/>
  <c r="V204" i="2"/>
  <c r="K213" i="2"/>
  <c r="L212" i="2"/>
  <c r="X205" i="2" l="1"/>
  <c r="W206" i="2" s="1"/>
  <c r="V205" i="2"/>
  <c r="L213" i="2"/>
  <c r="K214" i="2"/>
  <c r="X206" i="2" l="1"/>
  <c r="W207" i="2" s="1"/>
  <c r="V206" i="2"/>
  <c r="L214" i="2"/>
  <c r="K215" i="2"/>
  <c r="X207" i="2" l="1"/>
  <c r="W208" i="2" s="1"/>
  <c r="V207" i="2"/>
  <c r="K216" i="2"/>
  <c r="L215" i="2"/>
  <c r="X208" i="2" l="1"/>
  <c r="W209" i="2" s="1"/>
  <c r="V208" i="2"/>
  <c r="K217" i="2"/>
  <c r="L216" i="2"/>
  <c r="X209" i="2" l="1"/>
  <c r="W210" i="2" s="1"/>
  <c r="V209" i="2"/>
  <c r="L217" i="2"/>
  <c r="K218" i="2"/>
  <c r="X210" i="2" l="1"/>
  <c r="W211" i="2" s="1"/>
  <c r="V210" i="2"/>
  <c r="L218" i="2"/>
  <c r="K219" i="2"/>
  <c r="X211" i="2" l="1"/>
  <c r="W212" i="2" s="1"/>
  <c r="V211" i="2"/>
  <c r="L219" i="2"/>
  <c r="K220" i="2"/>
  <c r="X212" i="2" l="1"/>
  <c r="W213" i="2" s="1"/>
  <c r="V212" i="2"/>
  <c r="K221" i="2"/>
  <c r="L220" i="2"/>
  <c r="X213" i="2" l="1"/>
  <c r="W214" i="2" s="1"/>
  <c r="V213" i="2"/>
  <c r="K222" i="2"/>
  <c r="L221" i="2"/>
  <c r="X214" i="2" l="1"/>
  <c r="W215" i="2" s="1"/>
  <c r="V214" i="2"/>
  <c r="L222" i="2"/>
  <c r="K223" i="2"/>
  <c r="X215" i="2" l="1"/>
  <c r="W216" i="2" s="1"/>
  <c r="V215" i="2"/>
  <c r="L223" i="2"/>
  <c r="K224" i="2"/>
  <c r="X216" i="2" l="1"/>
  <c r="W217" i="2" s="1"/>
  <c r="V216" i="2"/>
  <c r="K225" i="2"/>
  <c r="L224" i="2"/>
  <c r="X217" i="2" l="1"/>
  <c r="W218" i="2" s="1"/>
  <c r="V217" i="2"/>
  <c r="L225" i="2"/>
  <c r="K226" i="2"/>
  <c r="X218" i="2" l="1"/>
  <c r="W219" i="2" s="1"/>
  <c r="V218" i="2"/>
  <c r="L226" i="2"/>
  <c r="K227" i="2"/>
  <c r="X219" i="2" l="1"/>
  <c r="W220" i="2" s="1"/>
  <c r="V219" i="2"/>
  <c r="L227" i="2"/>
  <c r="K228" i="2"/>
  <c r="V220" i="2" l="1"/>
  <c r="X220" i="2"/>
  <c r="W221" i="2" s="1"/>
  <c r="K229" i="2"/>
  <c r="L228" i="2"/>
  <c r="X221" i="2" l="1"/>
  <c r="W222" i="2" s="1"/>
  <c r="V221" i="2"/>
  <c r="L229" i="2"/>
  <c r="K230" i="2"/>
  <c r="X222" i="2" l="1"/>
  <c r="W223" i="2" s="1"/>
  <c r="V222" i="2"/>
  <c r="K231" i="2"/>
  <c r="L230" i="2"/>
  <c r="X223" i="2" l="1"/>
  <c r="W224" i="2" s="1"/>
  <c r="V223" i="2"/>
  <c r="K232" i="2"/>
  <c r="L231" i="2"/>
  <c r="X224" i="2" l="1"/>
  <c r="W225" i="2" s="1"/>
  <c r="V224" i="2"/>
  <c r="K233" i="2"/>
  <c r="L232" i="2"/>
  <c r="X225" i="2" l="1"/>
  <c r="W226" i="2" s="1"/>
  <c r="V225" i="2"/>
  <c r="K234" i="2"/>
  <c r="L233" i="2"/>
  <c r="X226" i="2" l="1"/>
  <c r="W227" i="2" s="1"/>
  <c r="V226" i="2"/>
  <c r="L234" i="2"/>
  <c r="K235" i="2"/>
  <c r="X227" i="2" l="1"/>
  <c r="W228" i="2" s="1"/>
  <c r="V227" i="2"/>
  <c r="L235" i="2"/>
  <c r="K236" i="2"/>
  <c r="V228" i="2" l="1"/>
  <c r="X228" i="2"/>
  <c r="W229" i="2" s="1"/>
  <c r="K237" i="2"/>
  <c r="L236" i="2"/>
  <c r="X229" i="2" l="1"/>
  <c r="W230" i="2" s="1"/>
  <c r="V229" i="2"/>
  <c r="L237" i="2"/>
  <c r="K238" i="2"/>
  <c r="V230" i="2" l="1"/>
  <c r="X230" i="2"/>
  <c r="W231" i="2" s="1"/>
  <c r="K239" i="2"/>
  <c r="L238" i="2"/>
  <c r="X231" i="2" l="1"/>
  <c r="W232" i="2" s="1"/>
  <c r="V231" i="2"/>
  <c r="K240" i="2"/>
  <c r="L239" i="2"/>
  <c r="V232" i="2" l="1"/>
  <c r="X232" i="2"/>
  <c r="W233" i="2" s="1"/>
  <c r="K241" i="2"/>
  <c r="L240" i="2"/>
  <c r="X233" i="2" l="1"/>
  <c r="W234" i="2" s="1"/>
  <c r="V233" i="2"/>
  <c r="L241" i="2"/>
  <c r="K242" i="2"/>
  <c r="X234" i="2" l="1"/>
  <c r="W235" i="2" s="1"/>
  <c r="V234" i="2"/>
  <c r="L242" i="2"/>
  <c r="K243" i="2"/>
  <c r="X235" i="2" l="1"/>
  <c r="W236" i="2" s="1"/>
  <c r="V235" i="2"/>
  <c r="K244" i="2"/>
  <c r="L243" i="2"/>
  <c r="V236" i="2" l="1"/>
  <c r="X236" i="2"/>
  <c r="W237" i="2" s="1"/>
  <c r="K245" i="2"/>
  <c r="L244" i="2"/>
  <c r="X237" i="2" l="1"/>
  <c r="W238" i="2" s="1"/>
  <c r="V237" i="2"/>
  <c r="L245" i="2"/>
  <c r="K246" i="2"/>
  <c r="X238" i="2" l="1"/>
  <c r="W239" i="2" s="1"/>
  <c r="V238" i="2"/>
  <c r="L246" i="2"/>
  <c r="K247" i="2"/>
  <c r="V239" i="2" l="1"/>
  <c r="X239" i="2"/>
  <c r="W240" i="2" s="1"/>
  <c r="L247" i="2"/>
  <c r="K248" i="2"/>
  <c r="X240" i="2" l="1"/>
  <c r="W241" i="2" s="1"/>
  <c r="V240" i="2"/>
  <c r="K249" i="2"/>
  <c r="L248" i="2"/>
  <c r="V241" i="2" l="1"/>
  <c r="X241" i="2"/>
  <c r="W242" i="2" s="1"/>
  <c r="L249" i="2"/>
  <c r="K250" i="2"/>
  <c r="X242" i="2" l="1"/>
  <c r="W243" i="2" s="1"/>
  <c r="V242" i="2"/>
  <c r="L250" i="2"/>
  <c r="K251" i="2"/>
  <c r="V243" i="2" l="1"/>
  <c r="X243" i="2"/>
  <c r="W244" i="2" s="1"/>
  <c r="L251" i="2"/>
  <c r="K252" i="2"/>
  <c r="X244" i="2" l="1"/>
  <c r="W245" i="2" s="1"/>
  <c r="V244" i="2"/>
  <c r="K253" i="2"/>
  <c r="L252" i="2"/>
  <c r="X245" i="2" l="1"/>
  <c r="W246" i="2" s="1"/>
  <c r="V245" i="2"/>
  <c r="K254" i="2"/>
  <c r="L253" i="2"/>
  <c r="X246" i="2" l="1"/>
  <c r="W247" i="2" s="1"/>
  <c r="V246" i="2"/>
  <c r="K255" i="2"/>
  <c r="L254" i="2"/>
  <c r="X247" i="2" l="1"/>
  <c r="W248" i="2" s="1"/>
  <c r="V247" i="2"/>
  <c r="L255" i="2"/>
  <c r="K256" i="2"/>
  <c r="X248" i="2" l="1"/>
  <c r="W249" i="2" s="1"/>
  <c r="V248" i="2"/>
  <c r="K257" i="2"/>
  <c r="L256" i="2"/>
  <c r="V249" i="2" l="1"/>
  <c r="X249" i="2"/>
  <c r="W250" i="2" s="1"/>
  <c r="K258" i="2"/>
  <c r="L257" i="2"/>
  <c r="X250" i="2" l="1"/>
  <c r="W251" i="2" s="1"/>
  <c r="V250" i="2"/>
  <c r="L258" i="2"/>
  <c r="K259" i="2"/>
  <c r="V251" i="2" l="1"/>
  <c r="X251" i="2"/>
  <c r="W252" i="2" s="1"/>
  <c r="K260" i="2"/>
  <c r="L259" i="2"/>
  <c r="X252" i="2" l="1"/>
  <c r="W253" i="2" s="1"/>
  <c r="V252" i="2"/>
  <c r="K261" i="2"/>
  <c r="L260" i="2"/>
  <c r="X253" i="2" l="1"/>
  <c r="V253" i="2"/>
  <c r="L261" i="2"/>
  <c r="K262" i="2"/>
  <c r="C9" i="2" l="1"/>
  <c r="AC4" i="2" s="1"/>
  <c r="C10" i="2"/>
  <c r="AD4" i="2" s="1"/>
  <c r="K263" i="2"/>
  <c r="L262" i="2"/>
  <c r="L263" i="2" l="1"/>
  <c r="K264" i="2"/>
  <c r="K265" i="2" l="1"/>
  <c r="L264" i="2"/>
  <c r="L265" i="2" l="1"/>
  <c r="K266" i="2"/>
  <c r="L266" i="2" l="1"/>
  <c r="K267" i="2"/>
  <c r="L267" i="2" l="1"/>
  <c r="K268" i="2"/>
  <c r="K269" i="2" l="1"/>
  <c r="L268" i="2"/>
  <c r="L269" i="2" l="1"/>
  <c r="K270" i="2"/>
  <c r="L270" i="2" l="1"/>
  <c r="K271" i="2"/>
  <c r="K272" i="2" l="1"/>
  <c r="L271" i="2"/>
  <c r="K273" i="2" l="1"/>
  <c r="L272" i="2"/>
  <c r="K274" i="2" l="1"/>
  <c r="L273" i="2"/>
  <c r="L274" i="2" l="1"/>
  <c r="K275" i="2"/>
  <c r="L275" i="2" l="1"/>
  <c r="K276" i="2"/>
  <c r="K277" i="2" l="1"/>
  <c r="L276" i="2"/>
  <c r="L277" i="2" l="1"/>
  <c r="K278" i="2"/>
  <c r="K279" i="2" l="1"/>
  <c r="L278" i="2"/>
  <c r="L279" i="2" l="1"/>
  <c r="K280" i="2"/>
  <c r="K281" i="2" l="1"/>
  <c r="L280" i="2"/>
  <c r="L281" i="2" l="1"/>
  <c r="K282" i="2"/>
  <c r="L282" i="2" l="1"/>
  <c r="K283" i="2"/>
  <c r="K284" i="2" l="1"/>
  <c r="L283" i="2"/>
  <c r="K285" i="2" l="1"/>
  <c r="L284" i="2"/>
  <c r="K286" i="2" l="1"/>
  <c r="L285" i="2"/>
  <c r="L286" i="2" l="1"/>
  <c r="K287" i="2"/>
  <c r="L287" i="2" l="1"/>
  <c r="K288" i="2"/>
  <c r="K289" i="2" l="1"/>
  <c r="L288" i="2"/>
  <c r="L289" i="2" l="1"/>
  <c r="K290" i="2"/>
  <c r="L290" i="2" l="1"/>
  <c r="K291" i="2"/>
  <c r="L291" i="2" l="1"/>
  <c r="K292" i="2"/>
  <c r="K293" i="2" l="1"/>
  <c r="L292" i="2"/>
  <c r="L293" i="2" l="1"/>
  <c r="K294" i="2"/>
  <c r="K295" i="2" l="1"/>
  <c r="L294" i="2"/>
  <c r="L295" i="2" l="1"/>
  <c r="K296" i="2"/>
  <c r="K297" i="2" l="1"/>
  <c r="L296" i="2"/>
  <c r="L297" i="2" l="1"/>
  <c r="K298" i="2"/>
  <c r="L298" i="2" l="1"/>
  <c r="K299" i="2"/>
  <c r="L299" i="2" l="1"/>
  <c r="K300" i="2"/>
  <c r="K301" i="2" l="1"/>
  <c r="L300" i="2"/>
  <c r="K302" i="2" l="1"/>
  <c r="L301" i="2"/>
  <c r="L302" i="2" l="1"/>
  <c r="K303" i="2"/>
  <c r="K304" i="2" l="1"/>
  <c r="L303" i="2"/>
  <c r="K305" i="2" l="1"/>
  <c r="L304" i="2"/>
  <c r="L305" i="2" l="1"/>
  <c r="K306" i="2"/>
  <c r="K307" i="2" l="1"/>
  <c r="L306" i="2"/>
  <c r="L307" i="2" l="1"/>
  <c r="K308" i="2"/>
  <c r="K309" i="2" l="1"/>
  <c r="L308" i="2"/>
  <c r="L309" i="2" l="1"/>
  <c r="K310" i="2"/>
  <c r="L310" i="2" l="1"/>
  <c r="K311" i="2"/>
  <c r="K312" i="2" l="1"/>
  <c r="L311" i="2"/>
  <c r="K313" i="2" l="1"/>
  <c r="L312" i="2"/>
  <c r="L313" i="2" l="1"/>
  <c r="K314" i="2"/>
  <c r="L314" i="2" l="1"/>
  <c r="K315" i="2"/>
  <c r="L315" i="2" l="1"/>
  <c r="K316" i="2"/>
  <c r="K317" i="2" l="1"/>
  <c r="L316" i="2"/>
  <c r="K318" i="2" l="1"/>
  <c r="L317" i="2"/>
  <c r="L318" i="2" l="1"/>
  <c r="K319" i="2"/>
  <c r="L319" i="2" l="1"/>
  <c r="K320" i="2"/>
  <c r="K321" i="2" l="1"/>
  <c r="L320" i="2"/>
  <c r="L321" i="2" l="1"/>
  <c r="K322" i="2"/>
  <c r="L322" i="2" l="1"/>
  <c r="K323" i="2"/>
  <c r="L323" i="2" l="1"/>
  <c r="K324" i="2"/>
  <c r="K325" i="2" l="1"/>
  <c r="L324" i="2"/>
  <c r="K326" i="2" l="1"/>
  <c r="L325" i="2"/>
  <c r="K327" i="2" l="1"/>
  <c r="L326" i="2"/>
  <c r="K328" i="2" l="1"/>
  <c r="L327" i="2"/>
  <c r="K329" i="2" l="1"/>
  <c r="L328" i="2"/>
  <c r="L329" i="2" l="1"/>
  <c r="K330" i="2"/>
  <c r="K331" i="2" l="1"/>
  <c r="L330" i="2"/>
  <c r="L331" i="2" l="1"/>
  <c r="K332" i="2"/>
  <c r="K333" i="2" l="1"/>
  <c r="L332" i="2"/>
  <c r="L333" i="2" l="1"/>
  <c r="K334" i="2"/>
  <c r="L334" i="2" l="1"/>
  <c r="K335" i="2"/>
  <c r="K336" i="2" l="1"/>
  <c r="L335" i="2"/>
  <c r="L336" i="2" l="1"/>
  <c r="K337" i="2"/>
  <c r="K338" i="2" l="1"/>
  <c r="L337" i="2"/>
  <c r="L338" i="2" l="1"/>
  <c r="K339" i="2"/>
  <c r="K340" i="2" l="1"/>
  <c r="L339" i="2"/>
  <c r="K341" i="2" l="1"/>
  <c r="L340" i="2"/>
  <c r="L341" i="2" l="1"/>
  <c r="K342" i="2"/>
  <c r="L342" i="2" l="1"/>
  <c r="K343" i="2"/>
  <c r="K344" i="2" l="1"/>
  <c r="L343" i="2"/>
  <c r="L344" i="2" l="1"/>
  <c r="K345" i="2"/>
  <c r="L345" i="2" l="1"/>
  <c r="K346" i="2"/>
  <c r="K347" i="2" l="1"/>
  <c r="L346" i="2"/>
  <c r="K348" i="2" l="1"/>
  <c r="L347" i="2"/>
  <c r="L348" i="2" l="1"/>
  <c r="K349" i="2"/>
  <c r="K350" i="2" l="1"/>
  <c r="L349" i="2"/>
  <c r="L350" i="2" l="1"/>
  <c r="K351" i="2"/>
  <c r="K352" i="2" l="1"/>
  <c r="L351" i="2"/>
  <c r="L352" i="2" l="1"/>
  <c r="K353" i="2"/>
  <c r="L353" i="2" l="1"/>
  <c r="K354" i="2"/>
  <c r="L354" i="2" l="1"/>
  <c r="K355" i="2"/>
  <c r="K356" i="2" l="1"/>
  <c r="L355" i="2"/>
  <c r="L356" i="2" l="1"/>
  <c r="K357" i="2"/>
  <c r="L357" i="2" l="1"/>
  <c r="K358" i="2"/>
  <c r="K359" i="2" l="1"/>
  <c r="L358" i="2"/>
  <c r="K360" i="2" l="1"/>
  <c r="L359" i="2"/>
  <c r="K361" i="2" l="1"/>
  <c r="L360" i="2"/>
  <c r="K362" i="2" l="1"/>
  <c r="L361" i="2"/>
  <c r="L362" i="2" l="1"/>
  <c r="K363" i="2"/>
  <c r="K364" i="2" l="1"/>
  <c r="L363" i="2"/>
  <c r="L364" i="2" l="1"/>
  <c r="K365" i="2"/>
  <c r="L365" i="2" l="1"/>
  <c r="K366" i="2"/>
  <c r="L366" i="2" l="1"/>
  <c r="K367" i="2"/>
  <c r="K368" i="2" l="1"/>
  <c r="L367" i="2"/>
  <c r="L368" i="2" l="1"/>
  <c r="K369" i="2"/>
  <c r="K370" i="2" l="1"/>
  <c r="L369" i="2"/>
  <c r="K371" i="2" l="1"/>
  <c r="L370" i="2"/>
  <c r="K372" i="2" l="1"/>
  <c r="L371" i="2"/>
  <c r="K373" i="2" l="1"/>
  <c r="L372" i="2"/>
  <c r="L373" i="2" l="1"/>
  <c r="K374" i="2"/>
  <c r="L374" i="2" l="1"/>
  <c r="K375" i="2"/>
  <c r="K376" i="2" l="1"/>
  <c r="L375" i="2"/>
  <c r="L376" i="2" l="1"/>
  <c r="K377" i="2"/>
  <c r="L377" i="2" l="1"/>
  <c r="K378" i="2"/>
  <c r="K379" i="2" l="1"/>
  <c r="L378" i="2"/>
  <c r="K380" i="2" l="1"/>
  <c r="L379" i="2"/>
  <c r="L380" i="2" l="1"/>
  <c r="K381" i="2"/>
  <c r="K382" i="2" l="1"/>
  <c r="L381" i="2"/>
  <c r="L382" i="2" l="1"/>
  <c r="K383" i="2"/>
  <c r="K384" i="2" l="1"/>
  <c r="L383" i="2"/>
  <c r="K385" i="2" l="1"/>
  <c r="L384" i="2"/>
  <c r="L385" i="2" l="1"/>
  <c r="K386" i="2"/>
  <c r="L386" i="2" l="1"/>
  <c r="K387" i="2"/>
  <c r="K388" i="2" l="1"/>
  <c r="L387" i="2"/>
  <c r="L388" i="2" l="1"/>
  <c r="K389" i="2"/>
  <c r="L389" i="2" l="1"/>
  <c r="K390" i="2"/>
  <c r="K391" i="2" l="1"/>
  <c r="L390" i="2"/>
  <c r="K392" i="2" l="1"/>
  <c r="L391" i="2"/>
  <c r="K393" i="2" l="1"/>
  <c r="L392" i="2"/>
  <c r="K394" i="2" l="1"/>
  <c r="L393" i="2"/>
  <c r="L394" i="2" l="1"/>
  <c r="K395" i="2"/>
  <c r="K396" i="2" l="1"/>
  <c r="L395" i="2"/>
  <c r="L396" i="2" l="1"/>
  <c r="K397" i="2"/>
  <c r="L397" i="2" l="1"/>
  <c r="K398" i="2"/>
  <c r="L398" i="2" l="1"/>
  <c r="K399" i="2"/>
  <c r="K400" i="2" l="1"/>
  <c r="L399" i="2"/>
  <c r="L400" i="2" l="1"/>
  <c r="K401" i="2"/>
  <c r="K402" i="2" l="1"/>
  <c r="L401" i="2"/>
  <c r="K403" i="2" l="1"/>
  <c r="L402" i="2"/>
  <c r="K404" i="2" l="1"/>
  <c r="L403" i="2"/>
  <c r="K405" i="2" l="1"/>
  <c r="L404" i="2"/>
  <c r="L405" i="2" l="1"/>
  <c r="K406" i="2"/>
  <c r="L406" i="2" l="1"/>
  <c r="K407" i="2"/>
  <c r="K408" i="2" l="1"/>
  <c r="L407" i="2"/>
  <c r="L408" i="2" l="1"/>
  <c r="K409" i="2"/>
  <c r="L409" i="2" l="1"/>
  <c r="K410" i="2"/>
  <c r="K411" i="2" l="1"/>
  <c r="L410" i="2"/>
  <c r="K412" i="2" l="1"/>
  <c r="L411" i="2"/>
  <c r="L412" i="2" l="1"/>
  <c r="K413" i="2"/>
  <c r="K414" i="2" l="1"/>
  <c r="L413" i="2"/>
  <c r="L414" i="2" l="1"/>
  <c r="K415" i="2"/>
  <c r="K416" i="2" l="1"/>
  <c r="L415" i="2"/>
  <c r="K417" i="2" l="1"/>
  <c r="L416" i="2"/>
  <c r="L417" i="2" l="1"/>
  <c r="K418" i="2"/>
  <c r="L418" i="2" l="1"/>
  <c r="K419" i="2"/>
  <c r="K420" i="2" l="1"/>
  <c r="L419" i="2"/>
  <c r="L420" i="2" l="1"/>
  <c r="K421" i="2"/>
  <c r="L421" i="2" l="1"/>
  <c r="K422" i="2"/>
  <c r="K423" i="2" l="1"/>
  <c r="L422" i="2"/>
  <c r="K424" i="2" l="1"/>
  <c r="L423" i="2"/>
  <c r="K425" i="2" l="1"/>
  <c r="L424" i="2"/>
  <c r="K426" i="2" l="1"/>
  <c r="L425" i="2"/>
  <c r="L426" i="2" l="1"/>
  <c r="K427" i="2"/>
  <c r="K428" i="2" l="1"/>
  <c r="L427" i="2"/>
  <c r="L428" i="2" l="1"/>
  <c r="K429" i="2"/>
  <c r="L429" i="2" l="1"/>
  <c r="K430" i="2"/>
  <c r="L430" i="2" l="1"/>
  <c r="K431" i="2"/>
  <c r="K432" i="2" l="1"/>
  <c r="L431" i="2"/>
  <c r="L432" i="2" l="1"/>
  <c r="K433" i="2"/>
  <c r="K434" i="2" l="1"/>
  <c r="L433" i="2"/>
  <c r="K435" i="2" l="1"/>
  <c r="L434" i="2"/>
  <c r="L435" i="2" l="1"/>
  <c r="K436" i="2"/>
  <c r="L436" i="2" l="1"/>
  <c r="K437" i="2"/>
  <c r="K438" i="2" l="1"/>
  <c r="L437" i="2"/>
  <c r="K439" i="2" l="1"/>
  <c r="L438" i="2"/>
  <c r="L439" i="2" l="1"/>
  <c r="K440" i="2"/>
  <c r="L440" i="2" l="1"/>
  <c r="K441" i="2"/>
  <c r="K442" i="2" l="1"/>
  <c r="L441" i="2"/>
  <c r="K443" i="2" l="1"/>
  <c r="L442" i="2"/>
  <c r="L443" i="2" l="1"/>
  <c r="K444" i="2"/>
  <c r="L444" i="2" l="1"/>
  <c r="K445" i="2"/>
  <c r="K446" i="2" l="1"/>
  <c r="L445" i="2"/>
  <c r="K447" i="2" l="1"/>
  <c r="L446" i="2"/>
  <c r="L447" i="2" l="1"/>
  <c r="K448" i="2"/>
  <c r="L448" i="2" l="1"/>
  <c r="K449" i="2"/>
  <c r="K450" i="2" l="1"/>
  <c r="L449" i="2"/>
  <c r="K451" i="2" l="1"/>
  <c r="L450" i="2"/>
  <c r="L451" i="2" l="1"/>
  <c r="K452" i="2"/>
  <c r="L452" i="2" l="1"/>
  <c r="K453" i="2"/>
  <c r="K454" i="2" l="1"/>
  <c r="L453" i="2"/>
  <c r="K455" i="2" l="1"/>
  <c r="L454" i="2"/>
  <c r="L455" i="2" l="1"/>
  <c r="K456" i="2"/>
  <c r="L456" i="2" l="1"/>
  <c r="K457" i="2"/>
  <c r="K458" i="2" l="1"/>
  <c r="L457" i="2"/>
  <c r="K459" i="2" l="1"/>
  <c r="L458" i="2"/>
  <c r="L459" i="2" l="1"/>
  <c r="K460" i="2"/>
  <c r="L460" i="2" l="1"/>
  <c r="K461" i="2"/>
  <c r="K462" i="2" l="1"/>
  <c r="L461" i="2"/>
  <c r="K463" i="2" l="1"/>
  <c r="L462" i="2"/>
  <c r="L463" i="2" l="1"/>
  <c r="K464" i="2"/>
  <c r="L464" i="2" l="1"/>
  <c r="K465" i="2"/>
  <c r="K466" i="2" l="1"/>
  <c r="L465" i="2"/>
  <c r="K467" i="2" l="1"/>
  <c r="L466" i="2"/>
  <c r="L467" i="2" l="1"/>
  <c r="K468" i="2"/>
  <c r="L468" i="2" l="1"/>
  <c r="K469" i="2"/>
  <c r="L469" i="2" l="1"/>
  <c r="K470" i="2"/>
  <c r="K471" i="2" l="1"/>
  <c r="L470" i="2"/>
  <c r="L471" i="2" l="1"/>
  <c r="K472" i="2"/>
  <c r="L472" i="2" l="1"/>
  <c r="K473" i="2"/>
  <c r="L473" i="2" l="1"/>
  <c r="K474" i="2"/>
  <c r="K475" i="2" l="1"/>
  <c r="L474" i="2"/>
  <c r="L475" i="2" l="1"/>
  <c r="K476" i="2"/>
  <c r="L476" i="2" l="1"/>
  <c r="K477" i="2"/>
  <c r="L477" i="2" l="1"/>
  <c r="K478" i="2"/>
  <c r="K479" i="2" l="1"/>
  <c r="L478" i="2"/>
  <c r="L479" i="2" l="1"/>
  <c r="K480" i="2"/>
  <c r="L480" i="2" l="1"/>
  <c r="K481" i="2"/>
  <c r="L481" i="2" l="1"/>
  <c r="K482" i="2"/>
  <c r="L482" i="2" l="1"/>
  <c r="K483" i="2"/>
  <c r="L483" i="2" l="1"/>
  <c r="K484" i="2"/>
  <c r="L484" i="2" l="1"/>
  <c r="K485" i="2"/>
  <c r="L485" i="2" l="1"/>
  <c r="K486" i="2"/>
  <c r="L486" i="2" l="1"/>
  <c r="K487" i="2"/>
  <c r="L487" i="2" l="1"/>
  <c r="K488" i="2"/>
  <c r="L488" i="2" l="1"/>
  <c r="K489" i="2"/>
  <c r="L489" i="2" l="1"/>
  <c r="K490" i="2"/>
  <c r="L490" i="2" l="1"/>
  <c r="K491" i="2"/>
  <c r="L491" i="2" l="1"/>
  <c r="K492" i="2"/>
  <c r="L492" i="2" l="1"/>
  <c r="K493" i="2"/>
  <c r="L493" i="2" l="1"/>
  <c r="K494" i="2"/>
  <c r="L494" i="2" l="1"/>
  <c r="K495" i="2"/>
  <c r="L495" i="2" l="1"/>
  <c r="K496" i="2"/>
  <c r="L496" i="2" l="1"/>
  <c r="K497" i="2"/>
  <c r="L497" i="2" l="1"/>
  <c r="K498" i="2"/>
  <c r="L498" i="2" l="1"/>
  <c r="K499" i="2"/>
  <c r="L499" i="2" l="1"/>
  <c r="K500" i="2"/>
  <c r="L500" i="2" l="1"/>
  <c r="K501" i="2"/>
  <c r="L501" i="2" l="1"/>
  <c r="K502" i="2"/>
  <c r="L502" i="2" l="1"/>
  <c r="K503" i="2"/>
  <c r="L503" i="2" s="1"/>
  <c r="AA2" i="2" s="1" a="1"/>
  <c r="AB4" i="2" l="1"/>
  <c r="AA2" i="2"/>
  <c r="AA4" i="2" s="1"/>
  <c r="AA5" i="2" s="1"/>
  <c r="AB5" i="2" l="1" a="1"/>
  <c r="AB5" i="2" s="1"/>
  <c r="AI4" i="2" s="1"/>
  <c r="AD5" i="2"/>
  <c r="AA6" i="2"/>
  <c r="AC5" i="2"/>
  <c r="AE4" i="2" l="1"/>
  <c r="AF4" i="2"/>
  <c r="AA7" i="2"/>
  <c r="AB6" i="2" a="1"/>
  <c r="AB6" i="2" s="1"/>
  <c r="AF5" i="2" s="1"/>
  <c r="AD6" i="2"/>
  <c r="AC6" i="2"/>
  <c r="AI5" i="2" l="1"/>
  <c r="AE5" i="2"/>
  <c r="AC7" i="2"/>
  <c r="AJ6" i="2"/>
  <c r="AA8" i="2"/>
  <c r="AD7" i="2"/>
  <c r="AB7" i="2" a="1"/>
  <c r="AB7" i="2" s="1"/>
  <c r="AE6" i="2" s="1"/>
  <c r="AF6" i="2" l="1"/>
  <c r="AI6" i="2"/>
  <c r="AC8" i="2"/>
  <c r="AB8" i="2" a="1"/>
  <c r="AB8" i="2" s="1"/>
  <c r="AF7" i="2" s="1"/>
  <c r="AA9" i="2"/>
  <c r="AD8" i="2"/>
  <c r="AE7" i="2" l="1"/>
  <c r="AB9" i="2" a="1"/>
  <c r="AB9" i="2" s="1"/>
  <c r="AA10" i="2"/>
  <c r="AD9" i="2"/>
  <c r="AC9" i="2"/>
  <c r="AE8" i="2" l="1"/>
  <c r="AA11" i="2"/>
  <c r="AB10" i="2" a="1"/>
  <c r="AB10" i="2" s="1"/>
  <c r="AD10" i="2"/>
  <c r="AC10" i="2"/>
  <c r="AE9" i="2" s="1"/>
  <c r="AB11" i="2" l="1" a="1"/>
  <c r="AB11" i="2" s="1"/>
  <c r="AA12" i="2"/>
  <c r="AD11" i="2"/>
  <c r="AC11" i="2"/>
  <c r="AA13" i="2" l="1"/>
  <c r="AB12" i="2" a="1"/>
  <c r="AB12" i="2" s="1"/>
  <c r="AC12" i="2"/>
  <c r="AD12" i="2"/>
  <c r="AA14" i="2" l="1"/>
  <c r="AB13" i="2" a="1"/>
  <c r="AB13" i="2" s="1"/>
  <c r="AC13" i="2"/>
  <c r="AD13" i="2"/>
  <c r="AA15" i="2" l="1"/>
  <c r="AB14" i="2" a="1"/>
  <c r="AB14" i="2" s="1"/>
  <c r="AD14" i="2"/>
  <c r="AC14" i="2"/>
  <c r="AA16" i="2" l="1"/>
  <c r="AB15" i="2" a="1"/>
  <c r="AB15" i="2" s="1"/>
  <c r="AD15" i="2"/>
  <c r="AC15" i="2"/>
  <c r="AA17" i="2" l="1"/>
  <c r="AB16" i="2" a="1"/>
  <c r="AB16" i="2" s="1"/>
  <c r="AD16" i="2"/>
  <c r="AC16" i="2"/>
  <c r="AA18" i="2" l="1"/>
  <c r="AB17" i="2" a="1"/>
  <c r="AB17" i="2" s="1"/>
  <c r="AC17" i="2"/>
  <c r="AD17" i="2"/>
  <c r="AA19" i="2" l="1"/>
  <c r="AB18" i="2" a="1"/>
  <c r="AB18" i="2" s="1"/>
  <c r="AC18" i="2"/>
  <c r="AD18" i="2"/>
  <c r="AB19" i="2" l="1" a="1"/>
  <c r="AB19" i="2" s="1"/>
  <c r="AA20" i="2"/>
  <c r="AD19" i="2"/>
  <c r="AC19" i="2"/>
  <c r="AA21" i="2" l="1"/>
  <c r="AB20" i="2" a="1"/>
  <c r="AB20" i="2" s="1"/>
  <c r="AD20" i="2"/>
  <c r="AC20" i="2"/>
  <c r="AA22" i="2" l="1"/>
  <c r="AB21" i="2" a="1"/>
  <c r="AB21" i="2" s="1"/>
  <c r="AC21" i="2"/>
  <c r="AD21" i="2"/>
  <c r="AA23" i="2" l="1"/>
  <c r="AB22" i="2" a="1"/>
  <c r="AB22" i="2" s="1"/>
  <c r="AC22" i="2"/>
  <c r="AD22" i="2"/>
  <c r="AA24" i="2" l="1"/>
  <c r="AB23" i="2" a="1"/>
  <c r="AB23" i="2" s="1"/>
  <c r="AD23" i="2"/>
  <c r="AC23" i="2"/>
  <c r="AA25" i="2" l="1"/>
  <c r="AB24" i="2" a="1"/>
  <c r="AB24" i="2" s="1"/>
  <c r="AD24" i="2"/>
  <c r="AC24" i="2"/>
  <c r="AA26" i="2" l="1"/>
  <c r="AB25" i="2" a="1"/>
  <c r="AB25" i="2" s="1"/>
  <c r="AD25" i="2"/>
  <c r="AC25" i="2"/>
  <c r="AA27" i="2" l="1"/>
  <c r="AB26" i="2" a="1"/>
  <c r="AB26" i="2" s="1"/>
  <c r="AC26" i="2"/>
  <c r="AD26" i="2"/>
  <c r="AA28" i="2" l="1"/>
  <c r="AB27" i="2" a="1"/>
  <c r="AB27" i="2" s="1"/>
  <c r="AD27" i="2"/>
  <c r="AC27" i="2"/>
  <c r="AA29" i="2" l="1"/>
  <c r="AB28" i="2" a="1"/>
  <c r="AB28" i="2" s="1"/>
  <c r="AD28" i="2"/>
  <c r="AC28" i="2"/>
  <c r="AA30" i="2" l="1"/>
  <c r="AB29" i="2" a="1"/>
  <c r="AB29" i="2" s="1"/>
  <c r="AC29" i="2"/>
  <c r="AD29" i="2"/>
  <c r="AA31" i="2" l="1"/>
  <c r="AB30" i="2" a="1"/>
  <c r="AB30" i="2" s="1"/>
  <c r="AC30" i="2"/>
  <c r="AD30" i="2"/>
  <c r="AA32" i="2" l="1"/>
  <c r="AB31" i="2" a="1"/>
  <c r="AB31" i="2" s="1"/>
  <c r="AD31" i="2"/>
  <c r="AC31" i="2"/>
  <c r="AA33" i="2" l="1"/>
  <c r="AD32" i="2"/>
  <c r="AC32" i="2"/>
  <c r="AB32" i="2" a="1"/>
  <c r="AB32" i="2" s="1"/>
  <c r="AA34" i="2" l="1"/>
  <c r="AB33" i="2" a="1"/>
  <c r="AB33" i="2" s="1"/>
  <c r="AD33" i="2"/>
  <c r="AC33" i="2"/>
  <c r="AA35" i="2" l="1"/>
  <c r="AB34" i="2" a="1"/>
  <c r="AB34" i="2" s="1"/>
  <c r="AD34" i="2"/>
  <c r="AC34" i="2"/>
  <c r="AB35" i="2" l="1" a="1"/>
  <c r="AB35" i="2" s="1"/>
  <c r="AA36" i="2"/>
  <c r="AC35" i="2"/>
  <c r="AD35" i="2"/>
  <c r="AA37" i="2" l="1"/>
  <c r="AB36" i="2" a="1"/>
  <c r="AB36" i="2" s="1"/>
  <c r="AD36" i="2"/>
  <c r="AC36" i="2"/>
  <c r="AA38" i="2" l="1"/>
  <c r="AB37" i="2" a="1"/>
  <c r="AB37" i="2" s="1"/>
  <c r="AC37" i="2"/>
  <c r="AD37" i="2"/>
  <c r="AB38" i="2" l="1" a="1"/>
  <c r="AB38" i="2" s="1"/>
  <c r="AA39" i="2"/>
  <c r="AC38" i="2"/>
  <c r="AD38" i="2"/>
  <c r="AA40" i="2" l="1"/>
  <c r="AB39" i="2" a="1"/>
  <c r="AB39" i="2" s="1"/>
  <c r="AD39" i="2"/>
  <c r="AC39" i="2"/>
  <c r="AA41" i="2" l="1"/>
  <c r="AB40" i="2" a="1"/>
  <c r="AB40" i="2" s="1"/>
  <c r="AD40" i="2"/>
  <c r="AC40" i="2"/>
  <c r="AA42" i="2" l="1"/>
  <c r="AB41" i="2" a="1"/>
  <c r="AB41" i="2" s="1"/>
  <c r="AD41" i="2"/>
  <c r="AC41" i="2"/>
  <c r="AA43" i="2" l="1"/>
  <c r="AB42" i="2" a="1"/>
  <c r="AB42" i="2" s="1"/>
  <c r="AD42" i="2"/>
  <c r="AC42" i="2"/>
  <c r="AB43" i="2" l="1" a="1"/>
  <c r="AB43" i="2" s="1"/>
  <c r="AD43" i="2"/>
  <c r="AA44" i="2"/>
  <c r="AC43" i="2"/>
  <c r="AA45" i="2" l="1"/>
  <c r="AB44" i="2" a="1"/>
  <c r="AB44" i="2" s="1"/>
  <c r="AD44" i="2"/>
  <c r="AC44" i="2"/>
  <c r="AA46" i="2" l="1"/>
  <c r="AB45" i="2" a="1"/>
  <c r="AB45" i="2" s="1"/>
  <c r="AC45" i="2"/>
  <c r="AD45" i="2"/>
  <c r="AA47" i="2" l="1"/>
  <c r="AB46" i="2" a="1"/>
  <c r="AB46" i="2" s="1"/>
  <c r="AC46" i="2"/>
  <c r="AD46" i="2"/>
  <c r="AA48" i="2" l="1"/>
  <c r="AB47" i="2" a="1"/>
  <c r="AB47" i="2" s="1"/>
  <c r="AD47" i="2"/>
  <c r="AC47" i="2"/>
  <c r="AA49" i="2" l="1"/>
  <c r="AB48" i="2" a="1"/>
  <c r="AB48" i="2" s="1"/>
  <c r="AC48" i="2"/>
  <c r="AD48" i="2"/>
  <c r="AA50" i="2" l="1"/>
  <c r="AD49" i="2"/>
  <c r="AC49" i="2"/>
  <c r="AB49" i="2" a="1"/>
  <c r="AB49" i="2" s="1"/>
  <c r="AA51" i="2" l="1"/>
  <c r="AD50" i="2"/>
  <c r="AB50" i="2" a="1"/>
  <c r="AB50" i="2" s="1"/>
  <c r="AC50" i="2"/>
  <c r="AB51" i="2" l="1" a="1"/>
  <c r="AB51" i="2" s="1"/>
  <c r="AA52" i="2"/>
  <c r="AD51" i="2"/>
  <c r="AC51" i="2"/>
  <c r="AA53" i="2" l="1"/>
  <c r="AB52" i="2" a="1"/>
  <c r="AB52" i="2" s="1"/>
  <c r="AD52" i="2"/>
  <c r="AC52" i="2"/>
  <c r="AB53" i="2" l="1" a="1"/>
  <c r="AB53" i="2" s="1"/>
  <c r="AC53" i="2"/>
  <c r="AA54" i="2"/>
  <c r="AD53" i="2"/>
  <c r="AA55" i="2" l="1"/>
  <c r="AB54" i="2" a="1"/>
  <c r="AB54" i="2" s="1"/>
  <c r="AC54" i="2"/>
  <c r="AD54" i="2"/>
  <c r="AA56" i="2" l="1"/>
  <c r="AB55" i="2" a="1"/>
  <c r="AB55" i="2" s="1"/>
  <c r="AD55" i="2"/>
  <c r="AC55" i="2"/>
  <c r="AA57" i="2" l="1"/>
  <c r="AB56" i="2" a="1"/>
  <c r="AB56" i="2" s="1"/>
  <c r="AC56" i="2"/>
  <c r="AD56" i="2"/>
  <c r="AA58" i="2" l="1"/>
  <c r="AB57" i="2" a="1"/>
  <c r="AB57" i="2" s="1"/>
  <c r="AD57" i="2"/>
  <c r="AC57" i="2"/>
  <c r="AA59" i="2" l="1"/>
  <c r="AB58" i="2" a="1"/>
  <c r="AB58" i="2" s="1"/>
  <c r="AD58" i="2"/>
  <c r="AC58" i="2"/>
  <c r="AA60" i="2" l="1"/>
  <c r="AB59" i="2" a="1"/>
  <c r="AB59" i="2" s="1"/>
  <c r="AD59" i="2"/>
  <c r="AC59" i="2"/>
  <c r="AA61" i="2" l="1"/>
  <c r="AB60" i="2" a="1"/>
  <c r="AB60" i="2" s="1"/>
  <c r="AD60" i="2"/>
  <c r="AC60" i="2"/>
  <c r="AA62" i="2" l="1"/>
  <c r="AB61" i="2" a="1"/>
  <c r="AB61" i="2" s="1"/>
  <c r="AD61" i="2"/>
  <c r="AC61" i="2"/>
  <c r="AA63" i="2" l="1"/>
  <c r="AB62" i="2" a="1"/>
  <c r="AB62" i="2" s="1"/>
  <c r="AC62" i="2"/>
  <c r="AD62" i="2"/>
  <c r="AA64" i="2" l="1"/>
  <c r="AB63" i="2" a="1"/>
  <c r="AB63" i="2" s="1"/>
  <c r="AD63" i="2"/>
  <c r="AC63" i="2"/>
  <c r="AA65" i="2" l="1"/>
  <c r="AC64" i="2"/>
  <c r="AD64" i="2"/>
  <c r="AB64" i="2" a="1"/>
  <c r="AB64" i="2" s="1"/>
  <c r="AA66" i="2" l="1"/>
  <c r="AB65" i="2" a="1"/>
  <c r="AB65" i="2" s="1"/>
  <c r="AC65" i="2"/>
  <c r="AD65" i="2"/>
  <c r="AA67" i="2" l="1"/>
  <c r="AB66" i="2" a="1"/>
  <c r="AB66" i="2" s="1"/>
  <c r="AD66" i="2"/>
  <c r="AC66" i="2"/>
  <c r="AB67" i="2" l="1" a="1"/>
  <c r="AB67" i="2" s="1"/>
  <c r="AA68" i="2"/>
  <c r="AD67" i="2"/>
  <c r="AC67" i="2"/>
  <c r="AA69" i="2" l="1"/>
  <c r="AB68" i="2" a="1"/>
  <c r="AB68" i="2" s="1"/>
  <c r="AD68" i="2"/>
  <c r="AC68" i="2"/>
  <c r="AA70" i="2" l="1"/>
  <c r="AB69" i="2" a="1"/>
  <c r="AB69" i="2" s="1"/>
  <c r="AC69" i="2"/>
  <c r="AD69" i="2"/>
  <c r="AA71" i="2" l="1"/>
  <c r="AB70" i="2" a="1"/>
  <c r="AB70" i="2" s="1"/>
  <c r="AD70" i="2"/>
  <c r="AC70" i="2"/>
  <c r="AA72" i="2" l="1"/>
  <c r="AB71" i="2" a="1"/>
  <c r="AB71" i="2" s="1"/>
  <c r="AD71" i="2"/>
  <c r="AC71" i="2"/>
  <c r="AA73" i="2" l="1"/>
  <c r="AB72" i="2" a="1"/>
  <c r="AB72" i="2" s="1"/>
  <c r="AC72" i="2"/>
  <c r="AD72" i="2"/>
  <c r="AA74" i="2" l="1"/>
  <c r="AB73" i="2" a="1"/>
  <c r="AB73" i="2" s="1"/>
  <c r="AC73" i="2"/>
  <c r="AD73" i="2"/>
  <c r="AA75" i="2" l="1"/>
  <c r="AB74" i="2" a="1"/>
  <c r="AB74" i="2" s="1"/>
  <c r="AD74" i="2"/>
  <c r="AC74" i="2"/>
  <c r="AB75" i="2" l="1" a="1"/>
  <c r="AB75" i="2" s="1"/>
  <c r="AA76" i="2"/>
  <c r="AD75" i="2"/>
  <c r="AC75" i="2"/>
  <c r="AA77" i="2" l="1"/>
  <c r="AB76" i="2" a="1"/>
  <c r="AB76" i="2" s="1"/>
  <c r="AD76" i="2"/>
  <c r="AC76" i="2"/>
  <c r="AA78" i="2" l="1"/>
  <c r="AB77" i="2" a="1"/>
  <c r="AB77" i="2" s="1"/>
  <c r="AC77" i="2"/>
  <c r="AD77" i="2"/>
  <c r="AA79" i="2" l="1"/>
  <c r="AB78" i="2" a="1"/>
  <c r="AB78" i="2" s="1"/>
  <c r="AD78" i="2"/>
  <c r="AC78" i="2"/>
  <c r="AA80" i="2" l="1"/>
  <c r="AB79" i="2" a="1"/>
  <c r="AB79" i="2" s="1"/>
  <c r="AD79" i="2"/>
  <c r="AC79" i="2"/>
  <c r="AA81" i="2" l="1"/>
  <c r="AB80" i="2" a="1"/>
  <c r="AB80" i="2" s="1"/>
  <c r="AD80" i="2"/>
  <c r="AC80" i="2"/>
  <c r="AA82" i="2" l="1"/>
  <c r="AB81" i="2" a="1"/>
  <c r="AB81" i="2" s="1"/>
  <c r="AC81" i="2"/>
  <c r="AD81" i="2"/>
  <c r="AB82" i="2" l="1" a="1"/>
  <c r="AB82" i="2" s="1"/>
  <c r="AA83" i="2"/>
  <c r="AC82" i="2"/>
  <c r="AD82" i="2"/>
  <c r="AB83" i="2" l="1" a="1"/>
  <c r="AB83" i="2" s="1"/>
  <c r="AA84" i="2"/>
  <c r="AD83" i="2"/>
  <c r="AC83" i="2"/>
  <c r="AA85" i="2" l="1"/>
  <c r="AB84" i="2" a="1"/>
  <c r="AB84" i="2" s="1"/>
  <c r="AD84" i="2"/>
  <c r="AC84" i="2"/>
  <c r="AB85" i="2" l="1" a="1"/>
  <c r="AB85" i="2" s="1"/>
  <c r="AC85" i="2"/>
  <c r="AA86" i="2"/>
  <c r="AD85" i="2"/>
  <c r="AA87" i="2" l="1"/>
  <c r="AB86" i="2" a="1"/>
  <c r="AB86" i="2" s="1"/>
  <c r="AC86" i="2"/>
  <c r="AD86" i="2"/>
  <c r="AA88" i="2" l="1"/>
  <c r="AB87" i="2" a="1"/>
  <c r="AB87" i="2" s="1"/>
  <c r="AD87" i="2"/>
  <c r="AC87" i="2"/>
  <c r="AA89" i="2" l="1"/>
  <c r="AB88" i="2" a="1"/>
  <c r="AB88" i="2" s="1"/>
  <c r="AD88" i="2"/>
  <c r="AC88" i="2"/>
  <c r="AA90" i="2" l="1"/>
  <c r="AB89" i="2" a="1"/>
  <c r="AB89" i="2" s="1"/>
  <c r="AD89" i="2"/>
  <c r="AC89" i="2"/>
  <c r="AA91" i="2" l="1"/>
  <c r="AB90" i="2" a="1"/>
  <c r="AB90" i="2" s="1"/>
  <c r="AC90" i="2"/>
  <c r="AD90" i="2"/>
  <c r="AA92" i="2" l="1"/>
  <c r="AB91" i="2" a="1"/>
  <c r="AB91" i="2" s="1"/>
  <c r="AD91" i="2"/>
  <c r="AC91" i="2"/>
  <c r="AB92" i="2" l="1" a="1"/>
  <c r="AB92" i="2" s="1"/>
  <c r="AA93" i="2"/>
  <c r="AD92" i="2"/>
  <c r="AC92" i="2"/>
  <c r="AA94" i="2" l="1"/>
  <c r="AB93" i="2" a="1"/>
  <c r="AB93" i="2" s="1"/>
  <c r="AC93" i="2"/>
  <c r="AD93" i="2"/>
  <c r="AA95" i="2" l="1"/>
  <c r="AB94" i="2" a="1"/>
  <c r="AB94" i="2" s="1"/>
  <c r="AC94" i="2"/>
  <c r="AD94" i="2"/>
  <c r="AA96" i="2" l="1"/>
  <c r="AB95" i="2" a="1"/>
  <c r="AB95" i="2" s="1"/>
  <c r="AD95" i="2"/>
  <c r="AC95" i="2"/>
  <c r="AB96" i="2" l="1" a="1"/>
  <c r="AB96" i="2" s="1"/>
  <c r="AD96" i="2"/>
  <c r="AC96" i="2"/>
  <c r="AA97" i="2"/>
  <c r="AA98" i="2" l="1"/>
  <c r="AB97" i="2" a="1"/>
  <c r="AB97" i="2" s="1"/>
  <c r="AD97" i="2"/>
  <c r="AC97" i="2"/>
  <c r="AA99" i="2" l="1"/>
  <c r="AB98" i="2" a="1"/>
  <c r="AB98" i="2" s="1"/>
  <c r="AD98" i="2"/>
  <c r="AC98" i="2"/>
  <c r="AB99" i="2" l="1" a="1"/>
  <c r="AB99" i="2" s="1"/>
  <c r="AA100" i="2"/>
  <c r="AC99" i="2"/>
  <c r="AD99" i="2"/>
  <c r="AA101" i="2" l="1"/>
  <c r="AB100" i="2" a="1"/>
  <c r="AB100" i="2" s="1"/>
  <c r="AD100" i="2"/>
  <c r="AC100" i="2"/>
  <c r="AA102" i="2" l="1"/>
  <c r="AB101" i="2" a="1"/>
  <c r="AB101" i="2" s="1"/>
  <c r="AC101" i="2"/>
  <c r="AD101" i="2"/>
  <c r="AA103" i="2" l="1"/>
  <c r="AB102" i="2" a="1"/>
  <c r="AB102" i="2" s="1"/>
  <c r="AC102" i="2"/>
  <c r="AD102" i="2"/>
  <c r="AA104" i="2" l="1"/>
  <c r="AB103" i="2" a="1"/>
  <c r="AB103" i="2" s="1"/>
  <c r="AD103" i="2"/>
  <c r="AC103" i="2"/>
  <c r="AA105" i="2" l="1"/>
  <c r="AB104" i="2" a="1"/>
  <c r="AB104" i="2" s="1"/>
  <c r="AD104" i="2"/>
  <c r="AC104" i="2"/>
  <c r="AA106" i="2" l="1"/>
  <c r="AB105" i="2" a="1"/>
  <c r="AB105" i="2" s="1"/>
  <c r="AD105" i="2"/>
  <c r="AC105" i="2"/>
  <c r="AA107" i="2" l="1"/>
  <c r="AD106" i="2"/>
  <c r="AB106" i="2" a="1"/>
  <c r="AB106" i="2" s="1"/>
  <c r="AC106" i="2"/>
  <c r="AB107" i="2" l="1" a="1"/>
  <c r="AB107" i="2" s="1"/>
  <c r="AA108" i="2"/>
  <c r="AD107" i="2"/>
  <c r="AC107" i="2"/>
  <c r="AA109" i="2" l="1"/>
  <c r="AB108" i="2" a="1"/>
  <c r="AB108" i="2" s="1"/>
  <c r="AD108" i="2"/>
  <c r="AC108" i="2"/>
  <c r="AA110" i="2" l="1"/>
  <c r="AB109" i="2" a="1"/>
  <c r="AB109" i="2" s="1"/>
  <c r="AD109" i="2"/>
  <c r="AC109" i="2"/>
  <c r="AA111" i="2" l="1"/>
  <c r="AB110" i="2" a="1"/>
  <c r="AB110" i="2" s="1"/>
  <c r="AC110" i="2"/>
  <c r="AD110" i="2"/>
  <c r="AA112" i="2" l="1"/>
  <c r="AB111" i="2" a="1"/>
  <c r="AB111" i="2" s="1"/>
  <c r="AD111" i="2"/>
  <c r="AC111" i="2"/>
  <c r="AA113" i="2" l="1"/>
  <c r="AB112" i="2" a="1"/>
  <c r="AB112" i="2" s="1"/>
  <c r="AC112" i="2"/>
  <c r="AD112" i="2"/>
  <c r="AA114" i="2" l="1"/>
  <c r="AB113" i="2" a="1"/>
  <c r="AB113" i="2" s="1"/>
  <c r="AC113" i="2"/>
  <c r="AD113" i="2"/>
  <c r="AD114" i="2" l="1"/>
  <c r="AB114" i="2" a="1"/>
  <c r="AB114" i="2" s="1"/>
  <c r="AA115" i="2"/>
  <c r="AC114" i="2"/>
  <c r="AB115" i="2" l="1" a="1"/>
  <c r="AB115" i="2" s="1"/>
  <c r="AA116" i="2"/>
  <c r="AD115" i="2"/>
  <c r="AC115" i="2"/>
  <c r="AA117" i="2" l="1"/>
  <c r="AB116" i="2" a="1"/>
  <c r="AB116" i="2" s="1"/>
  <c r="AD116" i="2"/>
  <c r="AC116" i="2"/>
  <c r="AA118" i="2" l="1"/>
  <c r="AD117" i="2"/>
  <c r="AB117" i="2" a="1"/>
  <c r="AB117" i="2" s="1"/>
  <c r="AC117" i="2"/>
  <c r="AA119" i="2" l="1"/>
  <c r="AB118" i="2" a="1"/>
  <c r="AB118" i="2" s="1"/>
  <c r="AC118" i="2"/>
  <c r="AD118" i="2"/>
  <c r="AA120" i="2" l="1"/>
  <c r="AB119" i="2" a="1"/>
  <c r="AB119" i="2" s="1"/>
  <c r="AD119" i="2"/>
  <c r="AC119" i="2"/>
  <c r="AA121" i="2" l="1"/>
  <c r="AB120" i="2" a="1"/>
  <c r="AB120" i="2" s="1"/>
  <c r="AD120" i="2"/>
  <c r="AC120" i="2"/>
  <c r="AA122" i="2" l="1"/>
  <c r="AB121" i="2" a="1"/>
  <c r="AB121" i="2" s="1"/>
  <c r="AD121" i="2"/>
  <c r="AC121" i="2"/>
  <c r="AA123" i="2" l="1"/>
  <c r="AD122" i="2"/>
  <c r="AB122" i="2" a="1"/>
  <c r="AB122" i="2" s="1"/>
  <c r="AC122" i="2"/>
  <c r="AA124" i="2" l="1"/>
  <c r="AB123" i="2" a="1"/>
  <c r="AB123" i="2" s="1"/>
  <c r="AC123" i="2"/>
  <c r="AD123" i="2"/>
  <c r="AB124" i="2" l="1" a="1"/>
  <c r="AB124" i="2" s="1"/>
  <c r="AA125" i="2"/>
  <c r="AD124" i="2"/>
  <c r="AC124" i="2"/>
  <c r="AA126" i="2" l="1"/>
  <c r="AB125" i="2" a="1"/>
  <c r="AB125" i="2" s="1"/>
  <c r="AD125" i="2"/>
  <c r="AC125" i="2"/>
  <c r="AA127" i="2" l="1"/>
  <c r="AB126" i="2" a="1"/>
  <c r="AB126" i="2" s="1"/>
  <c r="AC126" i="2"/>
  <c r="AD126" i="2"/>
  <c r="AA128" i="2" l="1"/>
  <c r="AB127" i="2" a="1"/>
  <c r="AB127" i="2" s="1"/>
  <c r="AD127" i="2"/>
  <c r="AC127" i="2"/>
  <c r="AB128" i="2" l="1" a="1"/>
  <c r="AB128" i="2" s="1"/>
  <c r="AC128" i="2"/>
  <c r="AD128" i="2"/>
  <c r="AA129" i="2"/>
  <c r="AA130" i="2" l="1"/>
  <c r="AB129" i="2" a="1"/>
  <c r="AB129" i="2" s="1"/>
  <c r="AD129" i="2"/>
  <c r="AC129" i="2"/>
  <c r="AA131" i="2" l="1"/>
  <c r="AD130" i="2"/>
  <c r="AB130" i="2" a="1"/>
  <c r="AB130" i="2" s="1"/>
  <c r="AC130" i="2"/>
  <c r="AB131" i="2" l="1" a="1"/>
  <c r="AB131" i="2" s="1"/>
  <c r="AA132" i="2"/>
  <c r="AD131" i="2"/>
  <c r="AC131" i="2"/>
  <c r="AA133" i="2" l="1"/>
  <c r="AB132" i="2" a="1"/>
  <c r="AB132" i="2" s="1"/>
  <c r="AD132" i="2"/>
  <c r="AC132" i="2"/>
  <c r="AA134" i="2" l="1"/>
  <c r="AD133" i="2"/>
  <c r="AB133" i="2" a="1"/>
  <c r="AB133" i="2" s="1"/>
  <c r="AC133" i="2"/>
  <c r="AA135" i="2" l="1"/>
  <c r="AB134" i="2" a="1"/>
  <c r="AB134" i="2" s="1"/>
  <c r="AD134" i="2"/>
  <c r="AC134" i="2"/>
  <c r="AA136" i="2" l="1"/>
  <c r="AB135" i="2" a="1"/>
  <c r="AB135" i="2" s="1"/>
  <c r="AD135" i="2"/>
  <c r="AC135" i="2"/>
  <c r="AA137" i="2" l="1"/>
  <c r="AB136" i="2" a="1"/>
  <c r="AB136" i="2" s="1"/>
  <c r="AC136" i="2"/>
  <c r="AD136" i="2"/>
  <c r="AA138" i="2" l="1"/>
  <c r="AB137" i="2" a="1"/>
  <c r="AB137" i="2" s="1"/>
  <c r="AC137" i="2"/>
  <c r="AD137" i="2"/>
  <c r="AA139" i="2" l="1"/>
  <c r="AD138" i="2"/>
  <c r="AB138" i="2" a="1"/>
  <c r="AB138" i="2" s="1"/>
  <c r="AC138" i="2"/>
  <c r="AB139" i="2" l="1" a="1"/>
  <c r="AB139" i="2" s="1"/>
  <c r="AD139" i="2"/>
  <c r="AA140" i="2"/>
  <c r="AC139" i="2"/>
  <c r="AA141" i="2" l="1"/>
  <c r="AB140" i="2" a="1"/>
  <c r="AB140" i="2" s="1"/>
  <c r="AD140" i="2"/>
  <c r="AC140" i="2"/>
  <c r="AA142" i="2" l="1"/>
  <c r="AB141" i="2" a="1"/>
  <c r="AB141" i="2" s="1"/>
  <c r="AD141" i="2"/>
  <c r="AC141" i="2"/>
  <c r="AA143" i="2" l="1"/>
  <c r="AB142" i="2" a="1"/>
  <c r="AB142" i="2" s="1"/>
  <c r="AC142" i="2"/>
  <c r="AD142" i="2"/>
  <c r="AA144" i="2" l="1"/>
  <c r="AB143" i="2" a="1"/>
  <c r="AB143" i="2" s="1"/>
  <c r="AD143" i="2"/>
  <c r="AC143" i="2"/>
  <c r="AA145" i="2" l="1"/>
  <c r="AB144" i="2" a="1"/>
  <c r="AB144" i="2" s="1"/>
  <c r="AD144" i="2"/>
  <c r="AC144" i="2"/>
  <c r="AA146" i="2" l="1"/>
  <c r="AB145" i="2" a="1"/>
  <c r="AB145" i="2" s="1"/>
  <c r="AD145" i="2"/>
  <c r="AC145" i="2"/>
  <c r="AD146" i="2" l="1"/>
  <c r="AA147" i="2"/>
  <c r="AB146" i="2" a="1"/>
  <c r="AB146" i="2" s="1"/>
  <c r="AC146" i="2"/>
  <c r="AB147" i="2" l="1" a="1"/>
  <c r="AB147" i="2" s="1"/>
  <c r="AA148" i="2"/>
  <c r="AD147" i="2"/>
  <c r="AC147" i="2"/>
  <c r="AA149" i="2" l="1"/>
  <c r="AB148" i="2" a="1"/>
  <c r="AB148" i="2" s="1"/>
  <c r="AD148" i="2"/>
  <c r="AC148" i="2"/>
  <c r="AA150" i="2" l="1"/>
  <c r="AD149" i="2"/>
  <c r="AB149" i="2" a="1"/>
  <c r="AB149" i="2" s="1"/>
  <c r="AC149" i="2"/>
  <c r="AA151" i="2" l="1"/>
  <c r="AB150" i="2" a="1"/>
  <c r="AB150" i="2" s="1"/>
  <c r="AC150" i="2"/>
  <c r="AD150" i="2"/>
  <c r="AA152" i="2" l="1"/>
  <c r="AB151" i="2" a="1"/>
  <c r="AB151" i="2" s="1"/>
  <c r="AD151" i="2"/>
  <c r="AC151" i="2"/>
  <c r="AA153" i="2" l="1"/>
  <c r="AB152" i="2" a="1"/>
  <c r="AB152" i="2" s="1"/>
  <c r="AC152" i="2"/>
  <c r="AD152" i="2"/>
  <c r="AA154" i="2" l="1"/>
  <c r="AB153" i="2" a="1"/>
  <c r="AB153" i="2" s="1"/>
  <c r="AD153" i="2"/>
  <c r="AC153" i="2"/>
  <c r="AA155" i="2" l="1"/>
  <c r="AD154" i="2"/>
  <c r="AB154" i="2" a="1"/>
  <c r="AB154" i="2" s="1"/>
  <c r="AC154" i="2"/>
  <c r="AA156" i="2" l="1"/>
  <c r="AB155" i="2" a="1"/>
  <c r="AB155" i="2" s="1"/>
  <c r="AD155" i="2"/>
  <c r="AC155" i="2"/>
  <c r="AB156" i="2" l="1" a="1"/>
  <c r="AB156" i="2" s="1"/>
  <c r="AA157" i="2"/>
  <c r="AD156" i="2"/>
  <c r="AC156" i="2"/>
  <c r="AA158" i="2" l="1"/>
  <c r="AB157" i="2" a="1"/>
  <c r="AB157" i="2" s="1"/>
  <c r="AD157" i="2"/>
  <c r="AC157" i="2"/>
  <c r="AA159" i="2" l="1"/>
  <c r="AB158" i="2" a="1"/>
  <c r="AB158" i="2" s="1"/>
  <c r="AD158" i="2"/>
  <c r="AC158" i="2"/>
  <c r="AA160" i="2" l="1"/>
  <c r="AB159" i="2" a="1"/>
  <c r="AB159" i="2" s="1"/>
  <c r="AD159" i="2"/>
  <c r="AC159" i="2"/>
  <c r="AB160" i="2" l="1" a="1"/>
  <c r="AB160" i="2" s="1"/>
  <c r="AA161" i="2"/>
  <c r="AD160" i="2"/>
  <c r="AC160" i="2"/>
  <c r="AA162" i="2" l="1"/>
  <c r="AB161" i="2" a="1"/>
  <c r="AB161" i="2" s="1"/>
  <c r="AC161" i="2"/>
  <c r="AD161" i="2"/>
  <c r="AA163" i="2" l="1"/>
  <c r="AD162" i="2"/>
  <c r="AB162" i="2" a="1"/>
  <c r="AB162" i="2" s="1"/>
  <c r="AC162" i="2"/>
  <c r="AB163" i="2" l="1" a="1"/>
  <c r="AB163" i="2" s="1"/>
  <c r="AA164" i="2"/>
  <c r="AD163" i="2"/>
  <c r="AC163" i="2"/>
  <c r="AA165" i="2" l="1"/>
  <c r="AB164" i="2" a="1"/>
  <c r="AB164" i="2" s="1"/>
  <c r="AD164" i="2"/>
  <c r="AC164" i="2"/>
  <c r="AA166" i="2" l="1"/>
  <c r="AD165" i="2"/>
  <c r="AB165" i="2" a="1"/>
  <c r="AB165" i="2" s="1"/>
  <c r="AC165" i="2"/>
  <c r="AB166" i="2" l="1" a="1"/>
  <c r="AB166" i="2" s="1"/>
  <c r="AA167" i="2"/>
  <c r="AC166" i="2"/>
  <c r="AD166" i="2"/>
  <c r="AA168" i="2" l="1"/>
  <c r="AB167" i="2" a="1"/>
  <c r="AB167" i="2" s="1"/>
  <c r="AD167" i="2"/>
  <c r="AC167" i="2"/>
  <c r="AA169" i="2" l="1"/>
  <c r="AB168" i="2" a="1"/>
  <c r="AB168" i="2" s="1"/>
  <c r="AD168" i="2"/>
  <c r="AC168" i="2"/>
  <c r="AA170" i="2" l="1"/>
  <c r="AB169" i="2" a="1"/>
  <c r="AB169" i="2" s="1"/>
  <c r="AD169" i="2"/>
  <c r="AC169" i="2"/>
  <c r="AA171" i="2" l="1"/>
  <c r="AD170" i="2"/>
  <c r="AB170" i="2" a="1"/>
  <c r="AB170" i="2" s="1"/>
  <c r="AC170" i="2"/>
  <c r="AB171" i="2" l="1" a="1"/>
  <c r="AB171" i="2" s="1"/>
  <c r="AD171" i="2"/>
  <c r="AC171" i="2"/>
  <c r="AA172" i="2"/>
  <c r="AA173" i="2" l="1"/>
  <c r="AB172" i="2" a="1"/>
  <c r="AB172" i="2" s="1"/>
  <c r="AD172" i="2"/>
  <c r="AC172" i="2"/>
  <c r="AA174" i="2" l="1"/>
  <c r="AB173" i="2" a="1"/>
  <c r="AB173" i="2" s="1"/>
  <c r="AD173" i="2"/>
  <c r="AC173" i="2"/>
  <c r="AA175" i="2" l="1"/>
  <c r="AB174" i="2" a="1"/>
  <c r="AB174" i="2" s="1"/>
  <c r="AC174" i="2"/>
  <c r="AD174" i="2"/>
  <c r="AA176" i="2" l="1"/>
  <c r="AB175" i="2" a="1"/>
  <c r="AB175" i="2" s="1"/>
  <c r="AD175" i="2"/>
  <c r="AC175" i="2"/>
  <c r="AA177" i="2" l="1"/>
  <c r="AB176" i="2" a="1"/>
  <c r="AB176" i="2" s="1"/>
  <c r="AC176" i="2"/>
  <c r="AD176" i="2"/>
  <c r="AA178" i="2" l="1"/>
  <c r="AB177" i="2" a="1"/>
  <c r="AB177" i="2" s="1"/>
  <c r="AC177" i="2"/>
  <c r="AD177" i="2"/>
  <c r="AA179" i="2" l="1"/>
  <c r="AD178" i="2"/>
  <c r="AB178" i="2" a="1"/>
  <c r="AB178" i="2" s="1"/>
  <c r="AC178" i="2"/>
  <c r="AB179" i="2" l="1" a="1"/>
  <c r="AB179" i="2" s="1"/>
  <c r="AA180" i="2"/>
  <c r="AD179" i="2"/>
  <c r="AC179" i="2"/>
  <c r="AA181" i="2" l="1"/>
  <c r="AB180" i="2" a="1"/>
  <c r="AB180" i="2" s="1"/>
  <c r="AD180" i="2"/>
  <c r="AC180" i="2"/>
  <c r="AD181" i="2" l="1"/>
  <c r="AB181" i="2" a="1"/>
  <c r="AB181" i="2" s="1"/>
  <c r="AA182" i="2"/>
  <c r="AC181" i="2"/>
  <c r="AA183" i="2" l="1"/>
  <c r="AB182" i="2" a="1"/>
  <c r="AB182" i="2" s="1"/>
  <c r="AC182" i="2"/>
  <c r="AD182" i="2"/>
  <c r="AA184" i="2" l="1"/>
  <c r="AB183" i="2" a="1"/>
  <c r="AB183" i="2" s="1"/>
  <c r="AD183" i="2"/>
  <c r="AC183" i="2"/>
  <c r="AA185" i="2" l="1"/>
  <c r="AB184" i="2" a="1"/>
  <c r="AB184" i="2" s="1"/>
  <c r="AD184" i="2"/>
  <c r="AC184" i="2"/>
  <c r="AA186" i="2" l="1"/>
  <c r="AB185" i="2" a="1"/>
  <c r="AB185" i="2" s="1"/>
  <c r="AD185" i="2"/>
  <c r="AC185" i="2"/>
  <c r="AA187" i="2" l="1"/>
  <c r="AD186" i="2"/>
  <c r="AB186" i="2" a="1"/>
  <c r="AB186" i="2" s="1"/>
  <c r="AC186" i="2"/>
  <c r="AA188" i="2" l="1"/>
  <c r="AB187" i="2" a="1"/>
  <c r="AB187" i="2" s="1"/>
  <c r="AC187" i="2"/>
  <c r="AD187" i="2"/>
  <c r="AB188" i="2" l="1" a="1"/>
  <c r="AB188" i="2" s="1"/>
  <c r="AA189" i="2"/>
  <c r="AD188" i="2"/>
  <c r="AC188" i="2"/>
  <c r="AA190" i="2" l="1"/>
  <c r="AB189" i="2" a="1"/>
  <c r="AB189" i="2" s="1"/>
  <c r="AD189" i="2"/>
  <c r="AC189" i="2"/>
  <c r="AA191" i="2" l="1"/>
  <c r="AB190" i="2" a="1"/>
  <c r="AB190" i="2" s="1"/>
  <c r="AC190" i="2"/>
  <c r="AD190" i="2"/>
  <c r="AA192" i="2" l="1"/>
  <c r="AB191" i="2" a="1"/>
  <c r="AB191" i="2" s="1"/>
  <c r="AD191" i="2"/>
  <c r="AC191" i="2"/>
  <c r="AB192" i="2" l="1" a="1"/>
  <c r="AB192" i="2" s="1"/>
  <c r="AA193" i="2"/>
  <c r="AC192" i="2"/>
  <c r="AD192" i="2"/>
  <c r="AA194" i="2" l="1"/>
  <c r="AB193" i="2" a="1"/>
  <c r="AB193" i="2" s="1"/>
  <c r="AD193" i="2"/>
  <c r="AC193" i="2"/>
  <c r="AA195" i="2" l="1"/>
  <c r="AD194" i="2"/>
  <c r="AB194" i="2" a="1"/>
  <c r="AB194" i="2" s="1"/>
  <c r="AC194" i="2"/>
  <c r="AB195" i="2" l="1" a="1"/>
  <c r="AB195" i="2" s="1"/>
  <c r="AA196" i="2"/>
  <c r="AD195" i="2"/>
  <c r="AC195" i="2"/>
  <c r="AA197" i="2" l="1"/>
  <c r="AB196" i="2" a="1"/>
  <c r="AB196" i="2" s="1"/>
  <c r="AD196" i="2"/>
  <c r="AC196" i="2"/>
  <c r="AA198" i="2" l="1"/>
  <c r="AD197" i="2"/>
  <c r="AC197" i="2"/>
  <c r="AB197" i="2" a="1"/>
  <c r="AB197" i="2" s="1"/>
  <c r="AA199" i="2" l="1"/>
  <c r="AB198" i="2" a="1"/>
  <c r="AB198" i="2" s="1"/>
  <c r="AD198" i="2"/>
  <c r="AC198" i="2"/>
  <c r="AA200" i="2" l="1"/>
  <c r="AB199" i="2" a="1"/>
  <c r="AB199" i="2" s="1"/>
  <c r="AD199" i="2"/>
  <c r="AC199" i="2"/>
  <c r="AA201" i="2" l="1"/>
  <c r="AB200" i="2" a="1"/>
  <c r="AB200" i="2" s="1"/>
  <c r="AC200" i="2"/>
  <c r="AD200" i="2"/>
  <c r="AA202" i="2" l="1"/>
  <c r="AB201" i="2" a="1"/>
  <c r="AB201" i="2" s="1"/>
  <c r="AC201" i="2"/>
  <c r="AD201" i="2"/>
  <c r="AA203" i="2" l="1"/>
  <c r="AD202" i="2"/>
  <c r="AB202" i="2" a="1"/>
  <c r="AB202" i="2" s="1"/>
  <c r="AC202" i="2"/>
  <c r="AB203" i="2" l="1" a="1"/>
  <c r="AB203" i="2" s="1"/>
  <c r="AA204" i="2"/>
  <c r="AD203" i="2"/>
  <c r="AC203" i="2"/>
  <c r="AA205" i="2" l="1"/>
  <c r="AB204" i="2" a="1"/>
  <c r="AB204" i="2" s="1"/>
  <c r="AD204" i="2"/>
  <c r="AC204" i="2"/>
  <c r="AA206" i="2" l="1"/>
  <c r="AB205" i="2" a="1"/>
  <c r="AB205" i="2" s="1"/>
  <c r="AD205" i="2"/>
  <c r="AC205" i="2"/>
  <c r="AA207" i="2" l="1"/>
  <c r="AB206" i="2" a="1"/>
  <c r="AB206" i="2" s="1"/>
  <c r="AC206" i="2"/>
  <c r="AD206" i="2"/>
  <c r="AA208" i="2" l="1"/>
  <c r="AB207" i="2" a="1"/>
  <c r="AB207" i="2" s="1"/>
  <c r="AD207" i="2"/>
  <c r="AC207" i="2"/>
  <c r="AA209" i="2" l="1"/>
  <c r="AB208" i="2" a="1"/>
  <c r="AB208" i="2" s="1"/>
  <c r="AD208" i="2"/>
  <c r="AC208" i="2"/>
  <c r="AA210" i="2" l="1"/>
  <c r="AB209" i="2" a="1"/>
  <c r="AB209" i="2" s="1"/>
  <c r="AD209" i="2"/>
  <c r="AC209" i="2"/>
  <c r="AD210" i="2" l="1"/>
  <c r="AA211" i="2"/>
  <c r="AB210" i="2" a="1"/>
  <c r="AB210" i="2" s="1"/>
  <c r="AC210" i="2"/>
  <c r="AB211" i="2" l="1" a="1"/>
  <c r="AB211" i="2" s="1"/>
  <c r="AA212" i="2"/>
  <c r="AD211" i="2"/>
  <c r="AC211" i="2"/>
  <c r="AA213" i="2" l="1"/>
  <c r="AB212" i="2" a="1"/>
  <c r="AB212" i="2" s="1"/>
  <c r="AD212" i="2"/>
  <c r="AC212" i="2"/>
  <c r="AB213" i="2" l="1" a="1"/>
  <c r="AB213" i="2" s="1"/>
  <c r="AD213" i="2"/>
  <c r="AC213" i="2"/>
  <c r="AA214" i="2"/>
  <c r="AA215" i="2" l="1"/>
  <c r="AB214" i="2" a="1"/>
  <c r="AB214" i="2" s="1"/>
  <c r="AC214" i="2"/>
  <c r="AD214" i="2"/>
  <c r="AA216" i="2" l="1"/>
  <c r="AB215" i="2" a="1"/>
  <c r="AB215" i="2" s="1"/>
  <c r="AD215" i="2"/>
  <c r="AC215" i="2"/>
  <c r="AA217" i="2" l="1"/>
  <c r="AB216" i="2" a="1"/>
  <c r="AB216" i="2" s="1"/>
  <c r="AC216" i="2"/>
  <c r="AD216" i="2"/>
  <c r="AA218" i="2" l="1"/>
  <c r="AB217" i="2" a="1"/>
  <c r="AB217" i="2" s="1"/>
  <c r="AD217" i="2"/>
  <c r="AC217" i="2"/>
  <c r="AA219" i="2" l="1"/>
  <c r="AD218" i="2"/>
  <c r="AB218" i="2" a="1"/>
  <c r="AB218" i="2" s="1"/>
  <c r="AC218" i="2"/>
  <c r="AA220" i="2" l="1"/>
  <c r="AB219" i="2" a="1"/>
  <c r="AB219" i="2" s="1"/>
  <c r="AD219" i="2"/>
  <c r="AC219" i="2"/>
  <c r="AB220" i="2" l="1" a="1"/>
  <c r="AB220" i="2" s="1"/>
  <c r="AA221" i="2"/>
  <c r="AD220" i="2"/>
  <c r="AC220" i="2"/>
  <c r="AA222" i="2" l="1"/>
  <c r="AD221" i="2"/>
  <c r="AC221" i="2"/>
  <c r="AB221" i="2" a="1"/>
  <c r="AB221" i="2" s="1"/>
  <c r="AB222" i="2" l="1" a="1"/>
  <c r="AB222" i="2" s="1"/>
  <c r="AA223" i="2"/>
  <c r="AD222" i="2"/>
  <c r="AC222" i="2"/>
  <c r="AA224" i="2" l="1"/>
  <c r="AB223" i="2" a="1"/>
  <c r="AB223" i="2" s="1"/>
  <c r="AD223" i="2"/>
  <c r="AC223" i="2"/>
  <c r="AB224" i="2" l="1" a="1"/>
  <c r="AB224" i="2" s="1"/>
  <c r="AD224" i="2"/>
  <c r="AA225" i="2"/>
  <c r="AC224" i="2"/>
  <c r="AA226" i="2" l="1"/>
  <c r="AB225" i="2" a="1"/>
  <c r="AB225" i="2" s="1"/>
  <c r="AC225" i="2"/>
  <c r="AD225" i="2"/>
  <c r="AB226" i="2" l="1" a="1"/>
  <c r="AB226" i="2" s="1"/>
  <c r="AA227" i="2"/>
  <c r="AD226" i="2"/>
  <c r="AC226" i="2"/>
  <c r="AB227" i="2" l="1" a="1"/>
  <c r="AB227" i="2" s="1"/>
  <c r="AA228" i="2"/>
  <c r="AD227" i="2"/>
  <c r="AC227" i="2"/>
  <c r="AA229" i="2" l="1"/>
  <c r="AB228" i="2" a="1"/>
  <c r="AB228" i="2" s="1"/>
  <c r="AD228" i="2"/>
  <c r="AC228" i="2"/>
  <c r="AA230" i="2" l="1"/>
  <c r="AD229" i="2"/>
  <c r="AC229" i="2"/>
  <c r="AB229" i="2" a="1"/>
  <c r="AB229" i="2" s="1"/>
  <c r="AB230" i="2" l="1" a="1"/>
  <c r="AB230" i="2" s="1"/>
  <c r="AA231" i="2"/>
  <c r="AC230" i="2"/>
  <c r="AD230" i="2"/>
  <c r="AA232" i="2" l="1"/>
  <c r="AB231" i="2" a="1"/>
  <c r="AB231" i="2" s="1"/>
  <c r="AD231" i="2"/>
  <c r="AC231" i="2"/>
  <c r="AA233" i="2" l="1"/>
  <c r="AB232" i="2" a="1"/>
  <c r="AB232" i="2" s="1"/>
  <c r="AD232" i="2"/>
  <c r="AC232" i="2"/>
  <c r="AA234" i="2" l="1"/>
  <c r="AB233" i="2" a="1"/>
  <c r="AB233" i="2" s="1"/>
  <c r="AD233" i="2"/>
  <c r="AC233" i="2"/>
  <c r="AB234" i="2" l="1" a="1"/>
  <c r="AB234" i="2" s="1"/>
  <c r="AA235" i="2"/>
  <c r="AD234" i="2"/>
  <c r="AC234" i="2"/>
  <c r="AB235" i="2" l="1" a="1"/>
  <c r="AB235" i="2" s="1"/>
  <c r="AA236" i="2"/>
  <c r="AD235" i="2"/>
  <c r="AC235" i="2"/>
  <c r="AA237" i="2" l="1"/>
  <c r="AB236" i="2" a="1"/>
  <c r="AB236" i="2" s="1"/>
  <c r="AD236" i="2"/>
  <c r="AC236" i="2"/>
  <c r="AA238" i="2" l="1"/>
  <c r="AD237" i="2"/>
  <c r="AC237" i="2"/>
  <c r="AB237" i="2" a="1"/>
  <c r="AB237" i="2" s="1"/>
  <c r="AA239" i="2" l="1"/>
  <c r="AB238" i="2" a="1"/>
  <c r="AB238" i="2" s="1"/>
  <c r="AC238" i="2"/>
  <c r="AD238" i="2"/>
  <c r="AA240" i="2" l="1"/>
  <c r="AB239" i="2" a="1"/>
  <c r="AB239" i="2" s="1"/>
  <c r="AD239" i="2"/>
  <c r="AC239" i="2"/>
  <c r="AA241" i="2" l="1"/>
  <c r="AB240" i="2" a="1"/>
  <c r="AB240" i="2" s="1"/>
  <c r="AC240" i="2"/>
  <c r="AD240" i="2"/>
  <c r="AA242" i="2" l="1"/>
  <c r="AB241" i="2" a="1"/>
  <c r="AB241" i="2" s="1"/>
  <c r="AC241" i="2"/>
  <c r="AD241" i="2"/>
  <c r="AB242" i="2" l="1" a="1"/>
  <c r="AB242" i="2" s="1"/>
  <c r="AD242" i="2"/>
  <c r="AA243" i="2"/>
  <c r="AC242" i="2"/>
  <c r="AB243" i="2" l="1" a="1"/>
  <c r="AB243" i="2" s="1"/>
  <c r="AA244" i="2"/>
  <c r="AD243" i="2"/>
  <c r="AC243" i="2"/>
  <c r="AA245" i="2" l="1"/>
  <c r="AB244" i="2" a="1"/>
  <c r="AB244" i="2" s="1"/>
  <c r="AD244" i="2"/>
  <c r="AC244" i="2"/>
  <c r="AA246" i="2" l="1"/>
  <c r="AD245" i="2"/>
  <c r="AB245" i="2" a="1"/>
  <c r="AB245" i="2" s="1"/>
  <c r="AC245" i="2"/>
  <c r="AB246" i="2" l="1" a="1"/>
  <c r="AB246" i="2" s="1"/>
  <c r="AA247" i="2"/>
  <c r="AC246" i="2"/>
  <c r="AD246" i="2"/>
  <c r="AA248" i="2" l="1"/>
  <c r="AB247" i="2" a="1"/>
  <c r="AB247" i="2" s="1"/>
  <c r="AD247" i="2"/>
  <c r="AC247" i="2"/>
  <c r="AA249" i="2" l="1"/>
  <c r="AB248" i="2" a="1"/>
  <c r="AB248" i="2" s="1"/>
  <c r="AD248" i="2"/>
  <c r="AC248" i="2"/>
  <c r="AA250" i="2" l="1"/>
  <c r="AB249" i="2" a="1"/>
  <c r="AB249" i="2" s="1"/>
  <c r="AD249" i="2"/>
  <c r="AC249" i="2"/>
  <c r="AA251" i="2" l="1"/>
  <c r="AB250" i="2" a="1"/>
  <c r="AB250" i="2" s="1"/>
  <c r="AD250" i="2"/>
  <c r="AC250" i="2"/>
  <c r="AA252" i="2" l="1"/>
  <c r="AB251" i="2" a="1"/>
  <c r="AB251" i="2" s="1"/>
  <c r="AC251" i="2"/>
  <c r="AD251" i="2"/>
  <c r="AB252" i="2" l="1" a="1"/>
  <c r="AB252" i="2" s="1"/>
  <c r="AA253" i="2"/>
  <c r="AD252" i="2"/>
  <c r="AC252" i="2"/>
  <c r="AA254" i="2" l="1"/>
  <c r="AD253" i="2"/>
  <c r="AC253" i="2"/>
  <c r="AB253" i="2" a="1"/>
  <c r="AB253" i="2" s="1"/>
  <c r="AB254" i="2" l="1" a="1"/>
  <c r="AB254" i="2" s="1"/>
  <c r="AA255" i="2"/>
  <c r="AD254" i="2"/>
  <c r="AC254" i="2"/>
  <c r="AA256" i="2" l="1"/>
  <c r="AB255" i="2" a="1"/>
  <c r="AB255" i="2" s="1"/>
  <c r="AC255" i="2"/>
  <c r="AD255" i="2"/>
  <c r="AB256" i="2" l="1" a="1"/>
  <c r="AB256" i="2" s="1"/>
  <c r="AC256" i="2"/>
  <c r="AA257" i="2"/>
  <c r="AD256" i="2"/>
  <c r="AA258" i="2" l="1"/>
  <c r="AC257" i="2"/>
  <c r="AB257" i="2" a="1"/>
  <c r="AB257" i="2" s="1"/>
  <c r="AD257" i="2"/>
  <c r="AC258" i="2" l="1"/>
  <c r="AB258" i="2" a="1"/>
  <c r="AB258" i="2" s="1"/>
  <c r="AA259" i="2"/>
  <c r="AD258" i="2"/>
  <c r="AB259" i="2" l="1" a="1"/>
  <c r="AB259" i="2" s="1"/>
  <c r="AA260" i="2"/>
  <c r="AC259" i="2"/>
  <c r="AD259" i="2"/>
  <c r="AA261" i="2" l="1"/>
  <c r="AB260" i="2" a="1"/>
  <c r="AB260" i="2" s="1"/>
  <c r="AC260" i="2"/>
  <c r="AD260" i="2"/>
  <c r="AA262" i="2" l="1"/>
  <c r="AD261" i="2"/>
  <c r="AC261" i="2"/>
  <c r="AB261" i="2" a="1"/>
  <c r="AB261" i="2" s="1"/>
  <c r="AB262" i="2" l="1" a="1"/>
  <c r="AB262" i="2" s="1"/>
  <c r="AA263" i="2"/>
  <c r="AD262" i="2"/>
  <c r="AC262" i="2"/>
  <c r="AA264" i="2" l="1"/>
  <c r="AB263" i="2" a="1"/>
  <c r="AB263" i="2" s="1"/>
  <c r="AD263" i="2"/>
  <c r="AC263" i="2"/>
  <c r="AA265" i="2" l="1"/>
  <c r="AB264" i="2" a="1"/>
  <c r="AB264" i="2" s="1"/>
  <c r="AC264" i="2"/>
  <c r="AD264" i="2"/>
  <c r="AA266" i="2" l="1"/>
  <c r="AD265" i="2"/>
  <c r="AB265" i="2" a="1"/>
  <c r="AB265" i="2" s="1"/>
  <c r="AC265" i="2"/>
  <c r="AC266" i="2" l="1"/>
  <c r="AB266" i="2" a="1"/>
  <c r="AB266" i="2" s="1"/>
  <c r="AA267" i="2"/>
  <c r="AD266" i="2"/>
  <c r="AB267" i="2" l="1" a="1"/>
  <c r="AB267" i="2" s="1"/>
  <c r="AD267" i="2"/>
  <c r="AC267" i="2"/>
  <c r="AA268" i="2"/>
  <c r="AA269" i="2" l="1"/>
  <c r="AB268" i="2" a="1"/>
  <c r="AB268" i="2" s="1"/>
  <c r="AC268" i="2"/>
  <c r="AD268" i="2"/>
  <c r="AD269" i="2" l="1"/>
  <c r="AA270" i="2"/>
  <c r="AC269" i="2"/>
  <c r="AB269" i="2" a="1"/>
  <c r="AB269" i="2" s="1"/>
  <c r="AA271" i="2" l="1"/>
  <c r="AB270" i="2" a="1"/>
  <c r="AB270" i="2" s="1"/>
  <c r="AC270" i="2"/>
  <c r="AD270" i="2"/>
  <c r="AA272" i="2" l="1"/>
  <c r="AB271" i="2" a="1"/>
  <c r="AB271" i="2" s="1"/>
  <c r="AD271" i="2"/>
  <c r="AC271" i="2"/>
  <c r="AA273" i="2" l="1"/>
  <c r="AB272" i="2" a="1"/>
  <c r="AB272" i="2" s="1"/>
  <c r="AC272" i="2"/>
  <c r="AD272" i="2"/>
  <c r="AA274" i="2" l="1"/>
  <c r="AC273" i="2"/>
  <c r="AD273" i="2"/>
  <c r="AB273" i="2" a="1"/>
  <c r="AB273" i="2" s="1"/>
  <c r="AC274" i="2" l="1"/>
  <c r="AB274" i="2" a="1"/>
  <c r="AB274" i="2" s="1"/>
  <c r="AA275" i="2"/>
  <c r="AD274" i="2"/>
  <c r="AB275" i="2" l="1" a="1"/>
  <c r="AB275" i="2" s="1"/>
  <c r="AA276" i="2"/>
  <c r="AD275" i="2"/>
  <c r="AC275" i="2"/>
  <c r="AA277" i="2" l="1"/>
  <c r="AB276" i="2" a="1"/>
  <c r="AB276" i="2" s="1"/>
  <c r="AD276" i="2"/>
  <c r="AC276" i="2"/>
  <c r="AD277" i="2" l="1"/>
  <c r="AA278" i="2"/>
  <c r="AC277" i="2"/>
  <c r="AB277" i="2" a="1"/>
  <c r="AB277" i="2" s="1"/>
  <c r="AB278" i="2" l="1" a="1"/>
  <c r="AB278" i="2" s="1"/>
  <c r="AA279" i="2"/>
  <c r="AC278" i="2"/>
  <c r="AD278" i="2"/>
  <c r="AA280" i="2" l="1"/>
  <c r="AB279" i="2" a="1"/>
  <c r="AB279" i="2" s="1"/>
  <c r="AC279" i="2"/>
  <c r="AD279" i="2"/>
  <c r="AA281" i="2" l="1"/>
  <c r="AB280" i="2" a="1"/>
  <c r="AB280" i="2" s="1"/>
  <c r="AD280" i="2"/>
  <c r="AC280" i="2"/>
  <c r="AA282" i="2" l="1"/>
  <c r="AB281" i="2" a="1"/>
  <c r="AB281" i="2" s="1"/>
  <c r="AD281" i="2"/>
  <c r="AC281" i="2"/>
  <c r="AA283" i="2" l="1"/>
  <c r="AC282" i="2"/>
  <c r="AB282" i="2" a="1"/>
  <c r="AB282" i="2" s="1"/>
  <c r="AD282" i="2"/>
  <c r="AA284" i="2" l="1"/>
  <c r="AB283" i="2" a="1"/>
  <c r="AB283" i="2" s="1"/>
  <c r="AC283" i="2"/>
  <c r="AD283" i="2"/>
  <c r="AB284" i="2" l="1" a="1"/>
  <c r="AB284" i="2" s="1"/>
  <c r="AA285" i="2"/>
  <c r="AC284" i="2"/>
  <c r="AD284" i="2"/>
  <c r="AD285" i="2" l="1"/>
  <c r="AA286" i="2"/>
  <c r="AC285" i="2"/>
  <c r="AB285" i="2" a="1"/>
  <c r="AB285" i="2" s="1"/>
  <c r="AB286" i="2" l="1" a="1"/>
  <c r="AB286" i="2" s="1"/>
  <c r="AA287" i="2"/>
  <c r="AD286" i="2"/>
  <c r="AC286" i="2"/>
  <c r="AA288" i="2" l="1"/>
  <c r="AB287" i="2" a="1"/>
  <c r="AB287" i="2" s="1"/>
  <c r="AC287" i="2"/>
  <c r="AD287" i="2"/>
  <c r="AB288" i="2" l="1" a="1"/>
  <c r="AB288" i="2" s="1"/>
  <c r="AA289" i="2"/>
  <c r="AC288" i="2"/>
  <c r="AD288" i="2"/>
  <c r="AA290" i="2" l="1"/>
  <c r="AB289" i="2" a="1"/>
  <c r="AB289" i="2" s="1"/>
  <c r="AD289" i="2"/>
  <c r="AC289" i="2"/>
  <c r="AC290" i="2" l="1"/>
  <c r="AB290" i="2" a="1"/>
  <c r="AB290" i="2" s="1"/>
  <c r="AA291" i="2"/>
  <c r="AD290" i="2"/>
  <c r="AB291" i="2" l="1" a="1"/>
  <c r="AB291" i="2" s="1"/>
  <c r="AA292" i="2"/>
  <c r="AD291" i="2"/>
  <c r="AC291" i="2"/>
  <c r="AA293" i="2" l="1"/>
  <c r="AB292" i="2" a="1"/>
  <c r="AB292" i="2" s="1"/>
  <c r="AC292" i="2"/>
  <c r="AD292" i="2"/>
  <c r="AA294" i="2" l="1"/>
  <c r="AD293" i="2"/>
  <c r="AC293" i="2"/>
  <c r="AB293" i="2" a="1"/>
  <c r="AB293" i="2" s="1"/>
  <c r="AB294" i="2" l="1" a="1"/>
  <c r="AB294" i="2" s="1"/>
  <c r="AC294" i="2"/>
  <c r="AA295" i="2"/>
  <c r="AD294" i="2"/>
  <c r="AA296" i="2" l="1"/>
  <c r="AB295" i="2" a="1"/>
  <c r="AB295" i="2" s="1"/>
  <c r="AD295" i="2"/>
  <c r="AC295" i="2"/>
  <c r="AA297" i="2" l="1"/>
  <c r="AB296" i="2" a="1"/>
  <c r="AB296" i="2" s="1"/>
  <c r="AC296" i="2"/>
  <c r="AD296" i="2"/>
  <c r="AA298" i="2" l="1"/>
  <c r="AB297" i="2" a="1"/>
  <c r="AB297" i="2" s="1"/>
  <c r="AC297" i="2"/>
  <c r="AD297" i="2"/>
  <c r="AC298" i="2" l="1"/>
  <c r="AB298" i="2" a="1"/>
  <c r="AB298" i="2" s="1"/>
  <c r="AA299" i="2"/>
  <c r="AD298" i="2"/>
  <c r="AB299" i="2" l="1" a="1"/>
  <c r="AB299" i="2" s="1"/>
  <c r="AC299" i="2"/>
  <c r="AD299" i="2"/>
  <c r="AA300" i="2"/>
  <c r="AA301" i="2" l="1"/>
  <c r="AB300" i="2" a="1"/>
  <c r="AB300" i="2" s="1"/>
  <c r="AD300" i="2"/>
  <c r="AC300" i="2"/>
  <c r="AD301" i="2" l="1"/>
  <c r="AA302" i="2"/>
  <c r="AC301" i="2"/>
  <c r="AB301" i="2" a="1"/>
  <c r="AB301" i="2" s="1"/>
  <c r="AA303" i="2" l="1"/>
  <c r="AB302" i="2" a="1"/>
  <c r="AB302" i="2" s="1"/>
  <c r="AD302" i="2"/>
  <c r="AC302" i="2"/>
  <c r="AA304" i="2" l="1"/>
  <c r="AB303" i="2" a="1"/>
  <c r="AB303" i="2" s="1"/>
  <c r="AC303" i="2"/>
  <c r="AD303" i="2"/>
  <c r="AA305" i="2" l="1"/>
  <c r="AB304" i="2" a="1"/>
  <c r="AB304" i="2" s="1"/>
  <c r="AD304" i="2"/>
  <c r="AC304" i="2"/>
  <c r="AA306" i="2" l="1"/>
  <c r="AC305" i="2"/>
  <c r="AB305" i="2" a="1"/>
  <c r="AB305" i="2" s="1"/>
  <c r="AD305" i="2"/>
  <c r="AC306" i="2" l="1"/>
  <c r="AB306" i="2" a="1"/>
  <c r="AB306" i="2" s="1"/>
  <c r="AA307" i="2"/>
  <c r="AD306" i="2"/>
  <c r="AB307" i="2" l="1" a="1"/>
  <c r="AB307" i="2" s="1"/>
  <c r="AA308" i="2"/>
  <c r="AC307" i="2"/>
  <c r="AD307" i="2"/>
  <c r="AA309" i="2" l="1"/>
  <c r="AB308" i="2" a="1"/>
  <c r="AB308" i="2" s="1"/>
  <c r="AD308" i="2"/>
  <c r="AC308" i="2"/>
  <c r="AD309" i="2" l="1"/>
  <c r="AB309" i="2" a="1"/>
  <c r="AB309" i="2" s="1"/>
  <c r="AC309" i="2"/>
  <c r="AA310" i="2"/>
  <c r="AB310" i="2" l="1" a="1"/>
  <c r="AB310" i="2" s="1"/>
  <c r="AA311" i="2"/>
  <c r="AC310" i="2"/>
  <c r="AD310" i="2"/>
  <c r="AA312" i="2" l="1"/>
  <c r="AB311" i="2" a="1"/>
  <c r="AB311" i="2" s="1"/>
  <c r="AD311" i="2"/>
  <c r="AC311" i="2"/>
  <c r="AA313" i="2" l="1"/>
  <c r="AB312" i="2" a="1"/>
  <c r="AB312" i="2" s="1"/>
  <c r="AC312" i="2"/>
  <c r="AD312" i="2"/>
  <c r="AA314" i="2" l="1"/>
  <c r="AD313" i="2"/>
  <c r="AC313" i="2"/>
  <c r="AB313" i="2" a="1"/>
  <c r="AB313" i="2" s="1"/>
  <c r="AA315" i="2" l="1"/>
  <c r="AC314" i="2"/>
  <c r="AB314" i="2" a="1"/>
  <c r="AB314" i="2" s="1"/>
  <c r="AD314" i="2"/>
  <c r="AA316" i="2" l="1"/>
  <c r="AB315" i="2" a="1"/>
  <c r="AB315" i="2" s="1"/>
  <c r="AC315" i="2"/>
  <c r="AD315" i="2"/>
  <c r="AB316" i="2" l="1" a="1"/>
  <c r="AB316" i="2" s="1"/>
  <c r="AA317" i="2"/>
  <c r="AC316" i="2"/>
  <c r="AD316" i="2"/>
  <c r="AD317" i="2" l="1"/>
  <c r="AA318" i="2"/>
  <c r="AC317" i="2"/>
  <c r="AB317" i="2" a="1"/>
  <c r="AB317" i="2" s="1"/>
  <c r="AB318" i="2" l="1" a="1"/>
  <c r="AB318" i="2" s="1"/>
  <c r="AA319" i="2"/>
  <c r="AD318" i="2"/>
  <c r="AC318" i="2"/>
  <c r="AA320" i="2" l="1"/>
  <c r="AB319" i="2" a="1"/>
  <c r="AB319" i="2" s="1"/>
  <c r="AC319" i="2"/>
  <c r="AD319" i="2"/>
  <c r="AB320" i="2" l="1" a="1"/>
  <c r="AB320" i="2" s="1"/>
  <c r="AD320" i="2"/>
  <c r="AA321" i="2"/>
  <c r="AC320" i="2"/>
  <c r="AA322" i="2" l="1"/>
  <c r="AC321" i="2"/>
  <c r="AB321" i="2" a="1"/>
  <c r="AB321" i="2" s="1"/>
  <c r="AD321" i="2"/>
  <c r="AC322" i="2" l="1"/>
  <c r="AB322" i="2" a="1"/>
  <c r="AB322" i="2" s="1"/>
  <c r="AA323" i="2"/>
  <c r="AD322" i="2"/>
  <c r="AB323" i="2" l="1" a="1"/>
  <c r="AB323" i="2" s="1"/>
  <c r="AA324" i="2"/>
  <c r="AC323" i="2"/>
  <c r="AD323" i="2"/>
  <c r="AA325" i="2" l="1"/>
  <c r="AB324" i="2" a="1"/>
  <c r="AB324" i="2" s="1"/>
  <c r="AC324" i="2"/>
  <c r="AD324" i="2"/>
  <c r="AA326" i="2" l="1"/>
  <c r="AD325" i="2"/>
  <c r="AC325" i="2"/>
  <c r="AB325" i="2" a="1"/>
  <c r="AB325" i="2" s="1"/>
  <c r="AB326" i="2" l="1" a="1"/>
  <c r="AB326" i="2" s="1"/>
  <c r="AA327" i="2"/>
  <c r="AD326" i="2"/>
  <c r="AC326" i="2"/>
  <c r="AA328" i="2" l="1"/>
  <c r="AB327" i="2" a="1"/>
  <c r="AB327" i="2" s="1"/>
  <c r="AD327" i="2"/>
  <c r="AC327" i="2"/>
  <c r="AA329" i="2" l="1"/>
  <c r="AC328" i="2"/>
  <c r="AD328" i="2"/>
  <c r="AB328" i="2" a="1"/>
  <c r="AB328" i="2" s="1"/>
  <c r="AA330" i="2" l="1"/>
  <c r="AD329" i="2"/>
  <c r="AB329" i="2" a="1"/>
  <c r="AB329" i="2" s="1"/>
  <c r="AC329" i="2"/>
  <c r="AC330" i="2" l="1"/>
  <c r="AA331" i="2"/>
  <c r="AB330" i="2" a="1"/>
  <c r="AB330" i="2" s="1"/>
  <c r="AD330" i="2"/>
  <c r="AB331" i="2" l="1" a="1"/>
  <c r="AB331" i="2" s="1"/>
  <c r="AD331" i="2"/>
  <c r="AC331" i="2"/>
  <c r="AA332" i="2"/>
  <c r="AB332" i="2" l="1" a="1"/>
  <c r="AB332" i="2" s="1"/>
  <c r="AA333" i="2"/>
  <c r="AC332" i="2"/>
  <c r="AD332" i="2"/>
  <c r="AD333" i="2" l="1"/>
  <c r="AA334" i="2"/>
  <c r="AB333" i="2" a="1"/>
  <c r="AB333" i="2" s="1"/>
  <c r="AC333" i="2"/>
  <c r="AA335" i="2" l="1"/>
  <c r="AC334" i="2"/>
  <c r="AB334" i="2" a="1"/>
  <c r="AB334" i="2" s="1"/>
  <c r="AD334" i="2"/>
  <c r="AA336" i="2" l="1"/>
  <c r="AB335" i="2" a="1"/>
  <c r="AB335" i="2" s="1"/>
  <c r="AD335" i="2"/>
  <c r="AC335" i="2"/>
  <c r="AA337" i="2" l="1"/>
  <c r="AB336" i="2" a="1"/>
  <c r="AB336" i="2" s="1"/>
  <c r="AD336" i="2"/>
  <c r="AC336" i="2"/>
  <c r="AA338" i="2" l="1"/>
  <c r="AC337" i="2"/>
  <c r="AD337" i="2"/>
  <c r="AB337" i="2" a="1"/>
  <c r="AB337" i="2" s="1"/>
  <c r="AC338" i="2" l="1"/>
  <c r="AD338" i="2"/>
  <c r="AA339" i="2"/>
  <c r="AB338" i="2" a="1"/>
  <c r="AB338" i="2" s="1"/>
  <c r="AB339" i="2" l="1" a="1"/>
  <c r="AB339" i="2" s="1"/>
  <c r="AA340" i="2"/>
  <c r="AC339" i="2"/>
  <c r="AD339" i="2"/>
  <c r="AB340" i="2" l="1" a="1"/>
  <c r="AB340" i="2" s="1"/>
  <c r="AA341" i="2"/>
  <c r="AD340" i="2"/>
  <c r="AC340" i="2"/>
  <c r="AB341" i="2" l="1" a="1"/>
  <c r="AB341" i="2" s="1"/>
  <c r="AD341" i="2"/>
  <c r="AC341" i="2"/>
  <c r="AA342" i="2"/>
  <c r="AB342" i="2" l="1" a="1"/>
  <c r="AB342" i="2" s="1"/>
  <c r="AA343" i="2"/>
  <c r="AC342" i="2"/>
  <c r="AD342" i="2"/>
  <c r="AA344" i="2" l="1"/>
  <c r="AB343" i="2" a="1"/>
  <c r="AB343" i="2" s="1"/>
  <c r="AC343" i="2"/>
  <c r="AD343" i="2"/>
  <c r="AA345" i="2" l="1"/>
  <c r="AD344" i="2"/>
  <c r="AC344" i="2"/>
  <c r="AB344" i="2" a="1"/>
  <c r="AB344" i="2" s="1"/>
  <c r="AA346" i="2" l="1"/>
  <c r="AB345" i="2" a="1"/>
  <c r="AB345" i="2" s="1"/>
  <c r="AD345" i="2"/>
  <c r="AC345" i="2"/>
  <c r="AB346" i="2" l="1" a="1"/>
  <c r="AB346" i="2" s="1"/>
  <c r="AC346" i="2"/>
  <c r="AA347" i="2"/>
  <c r="AD346" i="2"/>
  <c r="AB347" i="2" l="1" a="1"/>
  <c r="AB347" i="2" s="1"/>
  <c r="AA348" i="2"/>
  <c r="AC347" i="2"/>
  <c r="AD347" i="2"/>
  <c r="AB348" i="2" l="1" a="1"/>
  <c r="AB348" i="2" s="1"/>
  <c r="AA349" i="2"/>
  <c r="AD348" i="2"/>
  <c r="AC348" i="2"/>
  <c r="AD349" i="2" l="1"/>
  <c r="AA350" i="2"/>
  <c r="AC349" i="2"/>
  <c r="AB349" i="2" a="1"/>
  <c r="AB349" i="2" s="1"/>
  <c r="AB350" i="2" l="1" a="1"/>
  <c r="AB350" i="2" s="1"/>
  <c r="AA351" i="2"/>
  <c r="AD350" i="2"/>
  <c r="AC350" i="2"/>
  <c r="AA352" i="2" l="1"/>
  <c r="AB351" i="2" a="1"/>
  <c r="AB351" i="2" s="1"/>
  <c r="AC351" i="2"/>
  <c r="AD351" i="2"/>
  <c r="AB352" i="2" l="1" a="1"/>
  <c r="AB352" i="2" s="1"/>
  <c r="AA353" i="2"/>
  <c r="AC352" i="2"/>
  <c r="AD352" i="2"/>
  <c r="AA354" i="2" l="1"/>
  <c r="AB353" i="2" a="1"/>
  <c r="AB353" i="2" s="1"/>
  <c r="AD353" i="2"/>
  <c r="AC353" i="2"/>
  <c r="AB354" i="2" l="1" a="1"/>
  <c r="AB354" i="2" s="1"/>
  <c r="AC354" i="2"/>
  <c r="AA355" i="2"/>
  <c r="AD354" i="2"/>
  <c r="AB355" i="2" l="1" a="1"/>
  <c r="AB355" i="2" s="1"/>
  <c r="AA356" i="2"/>
  <c r="AD355" i="2"/>
  <c r="AC355" i="2"/>
  <c r="AB356" i="2" l="1" a="1"/>
  <c r="AB356" i="2" s="1"/>
  <c r="AC356" i="2"/>
  <c r="AD356" i="2"/>
  <c r="AA357" i="2"/>
  <c r="AA358" i="2" l="1"/>
  <c r="AB357" i="2" a="1"/>
  <c r="AB357" i="2" s="1"/>
  <c r="AD357" i="2"/>
  <c r="AC357" i="2"/>
  <c r="AB358" i="2" l="1" a="1"/>
  <c r="AB358" i="2" s="1"/>
  <c r="AC358" i="2"/>
  <c r="AA359" i="2"/>
  <c r="AD358" i="2"/>
  <c r="AA360" i="2" l="1"/>
  <c r="AB359" i="2" a="1"/>
  <c r="AB359" i="2" s="1"/>
  <c r="AD359" i="2"/>
  <c r="AC359" i="2"/>
  <c r="AA361" i="2" l="1"/>
  <c r="AC360" i="2"/>
  <c r="AB360" i="2" a="1"/>
  <c r="AB360" i="2" s="1"/>
  <c r="AD360" i="2"/>
  <c r="AA362" i="2" l="1"/>
  <c r="AB361" i="2" a="1"/>
  <c r="AB361" i="2" s="1"/>
  <c r="AC361" i="2"/>
  <c r="AD361" i="2"/>
  <c r="AB362" i="2" l="1" a="1"/>
  <c r="AB362" i="2" s="1"/>
  <c r="AC362" i="2"/>
  <c r="AA363" i="2"/>
  <c r="AD362" i="2"/>
  <c r="AB363" i="2" l="1" a="1"/>
  <c r="AB363" i="2" s="1"/>
  <c r="AD363" i="2"/>
  <c r="AA364" i="2"/>
  <c r="AC363" i="2"/>
  <c r="AA365" i="2" l="1"/>
  <c r="AB364" i="2" a="1"/>
  <c r="AB364" i="2" s="1"/>
  <c r="AD364" i="2"/>
  <c r="AC364" i="2"/>
  <c r="AD365" i="2" l="1"/>
  <c r="AA366" i="2"/>
  <c r="AC365" i="2"/>
  <c r="AB365" i="2" a="1"/>
  <c r="AB365" i="2" s="1"/>
  <c r="AB366" i="2" l="1" a="1"/>
  <c r="AB366" i="2" s="1"/>
  <c r="AD366" i="2"/>
  <c r="AA367" i="2"/>
  <c r="AC366" i="2"/>
  <c r="AA368" i="2" l="1"/>
  <c r="AB367" i="2" a="1"/>
  <c r="AB367" i="2" s="1"/>
  <c r="AC367" i="2"/>
  <c r="AD367" i="2"/>
  <c r="AA369" i="2" l="1"/>
  <c r="AB368" i="2" a="1"/>
  <c r="AB368" i="2" s="1"/>
  <c r="AD368" i="2"/>
  <c r="AC368" i="2"/>
  <c r="AA370" i="2" l="1"/>
  <c r="AB369" i="2" a="1"/>
  <c r="AB369" i="2" s="1"/>
  <c r="AC369" i="2"/>
  <c r="AD369" i="2"/>
  <c r="AB370" i="2" l="1" a="1"/>
  <c r="AB370" i="2" s="1"/>
  <c r="AC370" i="2"/>
  <c r="AD370" i="2"/>
  <c r="AA371" i="2"/>
  <c r="AB371" i="2" l="1" a="1"/>
  <c r="AB371" i="2" s="1"/>
  <c r="AA372" i="2"/>
  <c r="AC371" i="2"/>
  <c r="AD371" i="2"/>
  <c r="AB372" i="2" l="1" a="1"/>
  <c r="AB372" i="2" s="1"/>
  <c r="AA373" i="2"/>
  <c r="AD372" i="2"/>
  <c r="AC372" i="2"/>
  <c r="AB373" i="2" l="1" a="1"/>
  <c r="AB373" i="2" s="1"/>
  <c r="AD373" i="2"/>
  <c r="AA374" i="2"/>
  <c r="AC373" i="2"/>
  <c r="AB374" i="2" l="1" a="1"/>
  <c r="AB374" i="2" s="1"/>
  <c r="AA375" i="2"/>
  <c r="AC374" i="2"/>
  <c r="AD374" i="2"/>
  <c r="AA376" i="2" l="1"/>
  <c r="AB375" i="2" a="1"/>
  <c r="AB375" i="2" s="1"/>
  <c r="AD375" i="2"/>
  <c r="AC375" i="2"/>
  <c r="AA377" i="2" l="1"/>
  <c r="AC376" i="2"/>
  <c r="AB376" i="2" a="1"/>
  <c r="AB376" i="2" s="1"/>
  <c r="AD376" i="2"/>
  <c r="AA378" i="2" l="1"/>
  <c r="AB377" i="2" a="1"/>
  <c r="AB377" i="2" s="1"/>
  <c r="AD377" i="2"/>
  <c r="AC377" i="2"/>
  <c r="AB378" i="2" l="1" a="1"/>
  <c r="AB378" i="2" s="1"/>
  <c r="AC378" i="2"/>
  <c r="AA379" i="2"/>
  <c r="AD378" i="2"/>
  <c r="AB379" i="2" l="1" a="1"/>
  <c r="AB379" i="2" s="1"/>
  <c r="AA380" i="2"/>
  <c r="AC379" i="2"/>
  <c r="AD379" i="2"/>
  <c r="AB380" i="2" l="1" a="1"/>
  <c r="AB380" i="2" s="1"/>
  <c r="AA381" i="2"/>
  <c r="AC380" i="2"/>
  <c r="AD380" i="2"/>
  <c r="AD381" i="2" l="1"/>
  <c r="AA382" i="2"/>
  <c r="AB381" i="2" a="1"/>
  <c r="AB381" i="2" s="1"/>
  <c r="AC381" i="2"/>
  <c r="AB382" i="2" l="1" a="1"/>
  <c r="AB382" i="2" s="1"/>
  <c r="AA383" i="2"/>
  <c r="AD382" i="2"/>
  <c r="AC382" i="2"/>
  <c r="AA384" i="2" l="1"/>
  <c r="AB383" i="2" a="1"/>
  <c r="AB383" i="2" s="1"/>
  <c r="AC383" i="2"/>
  <c r="AD383" i="2"/>
  <c r="AB384" i="2" l="1" a="1"/>
  <c r="AB384" i="2" s="1"/>
  <c r="AD384" i="2"/>
  <c r="AA385" i="2"/>
  <c r="AC384" i="2"/>
  <c r="AA386" i="2" l="1"/>
  <c r="AB385" i="2" a="1"/>
  <c r="AB385" i="2" s="1"/>
  <c r="AC385" i="2"/>
  <c r="AD385" i="2"/>
  <c r="AB386" i="2" l="1" a="1"/>
  <c r="AB386" i="2" s="1"/>
  <c r="AC386" i="2"/>
  <c r="AA387" i="2"/>
  <c r="AD386" i="2"/>
  <c r="AB387" i="2" l="1" a="1"/>
  <c r="AB387" i="2" s="1"/>
  <c r="AA388" i="2"/>
  <c r="AC387" i="2"/>
  <c r="AD387" i="2"/>
  <c r="AB388" i="2" l="1" a="1"/>
  <c r="AB388" i="2" s="1"/>
  <c r="AA389" i="2"/>
  <c r="AC388" i="2"/>
  <c r="AD388" i="2"/>
  <c r="AA390" i="2" l="1"/>
  <c r="AB389" i="2" a="1"/>
  <c r="AB389" i="2" s="1"/>
  <c r="AD389" i="2"/>
  <c r="AC389" i="2"/>
  <c r="AB390" i="2" l="1" a="1"/>
  <c r="AB390" i="2" s="1"/>
  <c r="AA391" i="2"/>
  <c r="AD390" i="2"/>
  <c r="AC390" i="2"/>
  <c r="AA392" i="2" l="1"/>
  <c r="AB391" i="2" a="1"/>
  <c r="AB391" i="2" s="1"/>
  <c r="AD391" i="2"/>
  <c r="AC391" i="2"/>
  <c r="AA393" i="2" l="1"/>
  <c r="AC392" i="2"/>
  <c r="AD392" i="2"/>
  <c r="AB392" i="2" a="1"/>
  <c r="AB392" i="2" s="1"/>
  <c r="AA394" i="2" l="1"/>
  <c r="AB393" i="2" a="1"/>
  <c r="AB393" i="2" s="1"/>
  <c r="AD393" i="2"/>
  <c r="AC393" i="2"/>
  <c r="AB394" i="2" l="1" a="1"/>
  <c r="AB394" i="2" s="1"/>
  <c r="AC394" i="2"/>
  <c r="AA395" i="2"/>
  <c r="AD394" i="2"/>
  <c r="AB395" i="2" l="1" a="1"/>
  <c r="AB395" i="2" s="1"/>
  <c r="AD395" i="2"/>
  <c r="AC395" i="2"/>
  <c r="AA396" i="2"/>
  <c r="AA397" i="2" l="1"/>
  <c r="AB396" i="2" a="1"/>
  <c r="AB396" i="2" s="1"/>
  <c r="AC396" i="2"/>
  <c r="AD396" i="2"/>
  <c r="AD397" i="2" l="1"/>
  <c r="AA398" i="2"/>
  <c r="AC397" i="2"/>
  <c r="AB397" i="2" a="1"/>
  <c r="AB397" i="2" s="1"/>
  <c r="AB398" i="2" l="1" a="1"/>
  <c r="AB398" i="2" s="1"/>
  <c r="AC398" i="2"/>
  <c r="AA399" i="2"/>
  <c r="AD398" i="2"/>
  <c r="AA400" i="2" l="1"/>
  <c r="AB399" i="2" a="1"/>
  <c r="AB399" i="2" s="1"/>
  <c r="AD399" i="2"/>
  <c r="AC399" i="2"/>
  <c r="AA401" i="2" l="1"/>
  <c r="AB400" i="2" a="1"/>
  <c r="AB400" i="2" s="1"/>
  <c r="AD400" i="2"/>
  <c r="AC400" i="2"/>
  <c r="AA402" i="2" l="1"/>
  <c r="AB401" i="2" a="1"/>
  <c r="AB401" i="2" s="1"/>
  <c r="AC401" i="2"/>
  <c r="AD401" i="2"/>
  <c r="AB402" i="2" l="1" a="1"/>
  <c r="AB402" i="2" s="1"/>
  <c r="AC402" i="2"/>
  <c r="AA403" i="2"/>
  <c r="AD402" i="2"/>
  <c r="AB403" i="2" l="1" a="1"/>
  <c r="AB403" i="2" s="1"/>
  <c r="AA404" i="2"/>
  <c r="AC403" i="2"/>
  <c r="AD403" i="2"/>
  <c r="AB404" i="2" l="1" a="1"/>
  <c r="AB404" i="2" s="1"/>
  <c r="AA405" i="2"/>
  <c r="AD404" i="2"/>
  <c r="AC404" i="2"/>
  <c r="AB405" i="2" l="1" a="1"/>
  <c r="AB405" i="2" s="1"/>
  <c r="AD405" i="2"/>
  <c r="AC405" i="2"/>
  <c r="AA406" i="2"/>
  <c r="AB406" i="2" l="1" a="1"/>
  <c r="AB406" i="2" s="1"/>
  <c r="AA407" i="2"/>
  <c r="AC406" i="2"/>
  <c r="AD406" i="2"/>
  <c r="AA408" i="2" l="1"/>
  <c r="AB407" i="2" a="1"/>
  <c r="AB407" i="2" s="1"/>
  <c r="AC407" i="2"/>
  <c r="AD407" i="2"/>
  <c r="AA409" i="2" l="1"/>
  <c r="AD408" i="2"/>
  <c r="AC408" i="2"/>
  <c r="AB408" i="2" a="1"/>
  <c r="AB408" i="2" s="1"/>
  <c r="AA410" i="2" l="1"/>
  <c r="AB409" i="2" a="1"/>
  <c r="AB409" i="2" s="1"/>
  <c r="AD409" i="2"/>
  <c r="AC409" i="2"/>
  <c r="AB410" i="2" l="1" a="1"/>
  <c r="AB410" i="2" s="1"/>
  <c r="AC410" i="2"/>
  <c r="AA411" i="2"/>
  <c r="AD410" i="2"/>
  <c r="AB411" i="2" l="1" a="1"/>
  <c r="AB411" i="2" s="1"/>
  <c r="AA412" i="2"/>
  <c r="AC411" i="2"/>
  <c r="AD411" i="2"/>
  <c r="AB412" i="2" l="1" a="1"/>
  <c r="AB412" i="2" s="1"/>
  <c r="AA413" i="2"/>
  <c r="AC412" i="2"/>
  <c r="AD412" i="2"/>
  <c r="AD413" i="2" l="1"/>
  <c r="AA414" i="2"/>
  <c r="AC413" i="2"/>
  <c r="AB413" i="2" a="1"/>
  <c r="AB413" i="2" s="1"/>
  <c r="AB414" i="2" l="1" a="1"/>
  <c r="AB414" i="2" s="1"/>
  <c r="AA415" i="2"/>
  <c r="AD414" i="2"/>
  <c r="AC414" i="2"/>
  <c r="AA416" i="2" l="1"/>
  <c r="AB415" i="2" a="1"/>
  <c r="AB415" i="2" s="1"/>
  <c r="AC415" i="2"/>
  <c r="AD415" i="2"/>
  <c r="AB416" i="2" l="1" a="1"/>
  <c r="AB416" i="2" s="1"/>
  <c r="AA417" i="2"/>
  <c r="AC416" i="2"/>
  <c r="AD416" i="2"/>
  <c r="AA418" i="2" l="1"/>
  <c r="AB417" i="2" a="1"/>
  <c r="AB417" i="2" s="1"/>
  <c r="AD417" i="2"/>
  <c r="AC417" i="2"/>
  <c r="AB418" i="2" l="1" a="1"/>
  <c r="AB418" i="2" s="1"/>
  <c r="AC418" i="2"/>
  <c r="AA419" i="2"/>
  <c r="AD418" i="2"/>
  <c r="AB419" i="2" l="1" a="1"/>
  <c r="AB419" i="2" s="1"/>
  <c r="AA420" i="2"/>
  <c r="AD419" i="2"/>
  <c r="AC419" i="2"/>
  <c r="AB420" i="2" l="1" a="1"/>
  <c r="AB420" i="2" s="1"/>
  <c r="AC420" i="2"/>
  <c r="AD420" i="2"/>
  <c r="AA421" i="2"/>
  <c r="AA422" i="2" l="1"/>
  <c r="AB421" i="2" a="1"/>
  <c r="AB421" i="2" s="1"/>
  <c r="AD421" i="2"/>
  <c r="AC421" i="2"/>
  <c r="AB422" i="2" l="1" a="1"/>
  <c r="AB422" i="2" s="1"/>
  <c r="AC422" i="2"/>
  <c r="AA423" i="2"/>
  <c r="AD422" i="2"/>
  <c r="AA424" i="2" l="1"/>
  <c r="AB423" i="2" a="1"/>
  <c r="AB423" i="2" s="1"/>
  <c r="AD423" i="2"/>
  <c r="AC423" i="2"/>
  <c r="AA425" i="2" l="1"/>
  <c r="AC424" i="2"/>
  <c r="AB424" i="2" a="1"/>
  <c r="AB424" i="2" s="1"/>
  <c r="AD424" i="2"/>
  <c r="AA426" i="2" l="1"/>
  <c r="AB425" i="2" a="1"/>
  <c r="AB425" i="2" s="1"/>
  <c r="AC425" i="2"/>
  <c r="AD425" i="2"/>
  <c r="AB426" i="2" l="1" a="1"/>
  <c r="AB426" i="2" s="1"/>
  <c r="AC426" i="2"/>
  <c r="AA427" i="2"/>
  <c r="AD426" i="2"/>
  <c r="AB427" i="2" l="1" a="1"/>
  <c r="AB427" i="2" s="1"/>
  <c r="AD427" i="2"/>
  <c r="AC427" i="2"/>
  <c r="AA428" i="2"/>
  <c r="AA429" i="2" l="1"/>
  <c r="AB428" i="2" a="1"/>
  <c r="AB428" i="2" s="1"/>
  <c r="AD428" i="2"/>
  <c r="AC428" i="2"/>
  <c r="AD429" i="2" l="1"/>
  <c r="AA430" i="2"/>
  <c r="AC429" i="2"/>
  <c r="AB429" i="2" a="1"/>
  <c r="AB429" i="2" s="1"/>
  <c r="AB430" i="2" l="1" a="1"/>
  <c r="AB430" i="2" s="1"/>
  <c r="AA431" i="2"/>
  <c r="AD430" i="2"/>
  <c r="AC430" i="2"/>
  <c r="AA432" i="2" l="1"/>
  <c r="AB431" i="2" a="1"/>
  <c r="AB431" i="2" s="1"/>
  <c r="AC431" i="2"/>
  <c r="AD431" i="2"/>
  <c r="AA433" i="2" l="1"/>
  <c r="AB432" i="2" a="1"/>
  <c r="AB432" i="2" s="1"/>
  <c r="AD432" i="2"/>
  <c r="AC432" i="2"/>
  <c r="AA434" i="2" l="1"/>
  <c r="AB433" i="2" a="1"/>
  <c r="AB433" i="2" s="1"/>
  <c r="AC433" i="2"/>
  <c r="AD433" i="2"/>
  <c r="AB434" i="2" l="1" a="1"/>
  <c r="AB434" i="2" s="1"/>
  <c r="AC434" i="2"/>
  <c r="AD434" i="2"/>
  <c r="AA435" i="2"/>
  <c r="AB435" i="2" l="1" a="1"/>
  <c r="AB435" i="2" s="1"/>
  <c r="AA436" i="2"/>
  <c r="AC435" i="2"/>
  <c r="AD435" i="2"/>
  <c r="AB436" i="2" l="1" a="1"/>
  <c r="AB436" i="2" s="1"/>
  <c r="AA437" i="2"/>
  <c r="AD436" i="2"/>
  <c r="AC436" i="2"/>
  <c r="AB437" i="2" l="1" a="1"/>
  <c r="AB437" i="2" s="1"/>
  <c r="AD437" i="2"/>
  <c r="AA438" i="2"/>
  <c r="AC437" i="2"/>
  <c r="AB438" i="2" l="1" a="1"/>
  <c r="AB438" i="2" s="1"/>
  <c r="AA439" i="2"/>
  <c r="AC438" i="2"/>
  <c r="AD438" i="2"/>
  <c r="AA440" i="2" l="1"/>
  <c r="AB439" i="2" a="1"/>
  <c r="AB439" i="2" s="1"/>
  <c r="AD439" i="2"/>
  <c r="AC439" i="2"/>
  <c r="AA441" i="2" l="1"/>
  <c r="AC440" i="2"/>
  <c r="AD440" i="2"/>
  <c r="AB440" i="2" a="1"/>
  <c r="AB440" i="2" s="1"/>
  <c r="AA442" i="2" l="1"/>
  <c r="AB441" i="2" a="1"/>
  <c r="AB441" i="2" s="1"/>
  <c r="AD441" i="2"/>
  <c r="AC441" i="2"/>
  <c r="AB442" i="2" l="1" a="1"/>
  <c r="AB442" i="2" s="1"/>
  <c r="AC442" i="2"/>
  <c r="AA443" i="2"/>
  <c r="AD442" i="2"/>
  <c r="AB443" i="2" l="1" a="1"/>
  <c r="AB443" i="2" s="1"/>
  <c r="AA444" i="2"/>
  <c r="AC443" i="2"/>
  <c r="AD443" i="2"/>
  <c r="AB444" i="2" l="1" a="1"/>
  <c r="AB444" i="2" s="1"/>
  <c r="AA445" i="2"/>
  <c r="AC444" i="2"/>
  <c r="AD444" i="2"/>
  <c r="AD445" i="2" l="1"/>
  <c r="AA446" i="2"/>
  <c r="AB445" i="2" a="1"/>
  <c r="AB445" i="2" s="1"/>
  <c r="AC445" i="2"/>
  <c r="AB446" i="2" l="1" a="1"/>
  <c r="AB446" i="2" s="1"/>
  <c r="AA447" i="2"/>
  <c r="AD446" i="2"/>
  <c r="AC446" i="2"/>
  <c r="AA448" i="2" l="1"/>
  <c r="AB447" i="2" a="1"/>
  <c r="AB447" i="2" s="1"/>
  <c r="AC447" i="2"/>
  <c r="AD447" i="2"/>
  <c r="AB448" i="2" l="1" a="1"/>
  <c r="AB448" i="2" s="1"/>
  <c r="AD448" i="2"/>
  <c r="AA449" i="2"/>
  <c r="AC448" i="2"/>
  <c r="AA450" i="2" l="1"/>
  <c r="AB449" i="2" a="1"/>
  <c r="AB449" i="2" s="1"/>
  <c r="AC449" i="2"/>
  <c r="AD449" i="2"/>
  <c r="AB450" i="2" l="1" a="1"/>
  <c r="AB450" i="2" s="1"/>
  <c r="AC450" i="2"/>
  <c r="AA451" i="2"/>
  <c r="AD450" i="2"/>
  <c r="AB451" i="2" l="1" a="1"/>
  <c r="AB451" i="2" s="1"/>
  <c r="AA452" i="2"/>
  <c r="AC451" i="2"/>
  <c r="AD451" i="2"/>
  <c r="AB452" i="2" l="1" a="1"/>
  <c r="AB452" i="2" s="1"/>
  <c r="AC452" i="2"/>
  <c r="AA453" i="2"/>
  <c r="AD452" i="2"/>
  <c r="AA454" i="2" l="1"/>
  <c r="AB453" i="2" a="1"/>
  <c r="AB453" i="2" s="1"/>
  <c r="AD453" i="2"/>
  <c r="AC453" i="2"/>
  <c r="AB454" i="2" l="1" a="1"/>
  <c r="AB454" i="2" s="1"/>
  <c r="AD454" i="2"/>
  <c r="AC454" i="2"/>
  <c r="AA455" i="2"/>
  <c r="AA456" i="2" l="1"/>
  <c r="AB455" i="2" a="1"/>
  <c r="AB455" i="2" s="1"/>
  <c r="AD455" i="2"/>
  <c r="AC455" i="2"/>
  <c r="AA457" i="2" l="1"/>
  <c r="AC456" i="2"/>
  <c r="AD456" i="2"/>
  <c r="AB456" i="2" a="1"/>
  <c r="AB456" i="2" s="1"/>
  <c r="AA458" i="2" l="1"/>
  <c r="AB457" i="2" a="1"/>
  <c r="AB457" i="2" s="1"/>
  <c r="AD457" i="2"/>
  <c r="AC457" i="2"/>
  <c r="AB458" i="2" l="1" a="1"/>
  <c r="AB458" i="2" s="1"/>
  <c r="AC458" i="2"/>
  <c r="AA459" i="2"/>
  <c r="AD458" i="2"/>
  <c r="AB459" i="2" l="1" a="1"/>
  <c r="AB459" i="2" s="1"/>
  <c r="AA460" i="2"/>
  <c r="AD459" i="2"/>
  <c r="AC459" i="2"/>
  <c r="AA461" i="2" l="1"/>
  <c r="AB460" i="2" a="1"/>
  <c r="AB460" i="2" s="1"/>
  <c r="AC460" i="2"/>
  <c r="AD460" i="2"/>
  <c r="AD461" i="2" l="1"/>
  <c r="AA462" i="2"/>
  <c r="AC461" i="2"/>
  <c r="AB461" i="2" a="1"/>
  <c r="AB461" i="2" s="1"/>
  <c r="AB462" i="2" l="1" a="1"/>
  <c r="AB462" i="2" s="1"/>
  <c r="AC462" i="2"/>
  <c r="AD462" i="2"/>
  <c r="AA463" i="2"/>
  <c r="AA464" i="2" l="1"/>
  <c r="AB463" i="2" a="1"/>
  <c r="AB463" i="2" s="1"/>
  <c r="AD463" i="2"/>
  <c r="AC463" i="2"/>
  <c r="AA465" i="2" l="1"/>
  <c r="AB464" i="2" a="1"/>
  <c r="AB464" i="2" s="1"/>
  <c r="AD464" i="2"/>
  <c r="AC464" i="2"/>
  <c r="AA466" i="2" l="1"/>
  <c r="AB465" i="2" a="1"/>
  <c r="AB465" i="2" s="1"/>
  <c r="AC465" i="2"/>
  <c r="AD465" i="2"/>
  <c r="AB466" i="2" l="1" a="1"/>
  <c r="AB466" i="2" s="1"/>
  <c r="AC466" i="2"/>
  <c r="AA467" i="2"/>
  <c r="AD466" i="2"/>
  <c r="AB467" i="2" l="1" a="1"/>
  <c r="AB467" i="2" s="1"/>
  <c r="AA468" i="2"/>
  <c r="AC467" i="2"/>
  <c r="AD467" i="2"/>
  <c r="AB468" i="2" l="1" a="1"/>
  <c r="AB468" i="2" s="1"/>
  <c r="AA469" i="2"/>
  <c r="AD468" i="2"/>
  <c r="AC468" i="2"/>
  <c r="AB469" i="2" l="1" a="1"/>
  <c r="AB469" i="2" s="1"/>
  <c r="AD469" i="2"/>
  <c r="AA470" i="2"/>
  <c r="AC469" i="2"/>
  <c r="AB470" i="2" l="1" a="1"/>
  <c r="AB470" i="2" s="1"/>
  <c r="AA471" i="2"/>
  <c r="AC470" i="2"/>
  <c r="AD470" i="2"/>
  <c r="AA472" i="2" l="1"/>
  <c r="AB471" i="2" a="1"/>
  <c r="AB471" i="2" s="1"/>
  <c r="AC471" i="2"/>
  <c r="AD471" i="2"/>
  <c r="AA473" i="2" l="1"/>
  <c r="AD472" i="2"/>
  <c r="AC472" i="2"/>
  <c r="AB472" i="2" a="1"/>
  <c r="AB472" i="2" s="1"/>
  <c r="AA474" i="2" l="1"/>
  <c r="AB473" i="2" a="1"/>
  <c r="AB473" i="2" s="1"/>
  <c r="AD473" i="2"/>
  <c r="AC473" i="2"/>
  <c r="AB474" i="2" l="1" a="1"/>
  <c r="AB474" i="2" s="1"/>
  <c r="AC474" i="2"/>
  <c r="AD474" i="2"/>
  <c r="AA475" i="2"/>
  <c r="AB475" i="2" l="1" a="1"/>
  <c r="AB475" i="2" s="1"/>
  <c r="AA476" i="2"/>
  <c r="AC475" i="2"/>
  <c r="AD475" i="2"/>
  <c r="AB476" i="2" l="1" a="1"/>
  <c r="AB476" i="2" s="1"/>
  <c r="AA477" i="2"/>
  <c r="AC476" i="2"/>
  <c r="AD476" i="2"/>
  <c r="AD477" i="2" l="1"/>
  <c r="AA478" i="2"/>
  <c r="AC477" i="2"/>
  <c r="AB477" i="2" a="1"/>
  <c r="AB477" i="2" s="1"/>
  <c r="AB478" i="2" l="1" a="1"/>
  <c r="AB478" i="2" s="1"/>
  <c r="AA479" i="2"/>
  <c r="AD478" i="2"/>
  <c r="AC478" i="2"/>
  <c r="AA480" i="2" l="1"/>
  <c r="AB479" i="2" a="1"/>
  <c r="AB479" i="2" s="1"/>
  <c r="AC479" i="2"/>
  <c r="AD479" i="2"/>
  <c r="AB480" i="2" l="1" a="1"/>
  <c r="AB480" i="2" s="1"/>
  <c r="AC480" i="2"/>
  <c r="AA481" i="2"/>
  <c r="AD480" i="2"/>
  <c r="AA482" i="2" l="1"/>
  <c r="AB481" i="2" a="1"/>
  <c r="AB481" i="2" s="1"/>
  <c r="AD481" i="2"/>
  <c r="AC481" i="2"/>
  <c r="AB482" i="2" l="1" a="1"/>
  <c r="AB482" i="2" s="1"/>
  <c r="AC482" i="2"/>
  <c r="AA483" i="2"/>
  <c r="AD482" i="2"/>
  <c r="AB483" i="2" l="1" a="1"/>
  <c r="AB483" i="2" s="1"/>
  <c r="AA484" i="2"/>
  <c r="AD483" i="2"/>
  <c r="AC483" i="2"/>
  <c r="AB484" i="2" l="1" a="1"/>
  <c r="AB484" i="2" s="1"/>
  <c r="AC484" i="2"/>
  <c r="AD484" i="2"/>
  <c r="AA485" i="2"/>
  <c r="AA486" i="2" l="1"/>
  <c r="AB485" i="2" a="1"/>
  <c r="AB485" i="2" s="1"/>
  <c r="AD485" i="2"/>
  <c r="AC485" i="2"/>
  <c r="AB486" i="2" l="1" a="1"/>
  <c r="AB486" i="2" s="1"/>
  <c r="AA487" i="2"/>
  <c r="AC486" i="2"/>
  <c r="AD486" i="2"/>
  <c r="AA488" i="2" l="1"/>
  <c r="AB487" i="2" a="1"/>
  <c r="AB487" i="2" s="1"/>
  <c r="AD487" i="2"/>
  <c r="AC487" i="2"/>
  <c r="AA489" i="2" l="1"/>
  <c r="AC488" i="2"/>
  <c r="AB488" i="2" a="1"/>
  <c r="AB488" i="2" s="1"/>
  <c r="AD488" i="2"/>
  <c r="AA490" i="2" l="1"/>
  <c r="AB489" i="2" a="1"/>
  <c r="AB489" i="2" s="1"/>
  <c r="AC489" i="2"/>
  <c r="AD489" i="2"/>
  <c r="AB490" i="2" l="1" a="1"/>
  <c r="AB490" i="2" s="1"/>
  <c r="AC490" i="2"/>
  <c r="AA491" i="2"/>
  <c r="AD490" i="2"/>
  <c r="AB491" i="2" l="1" a="1"/>
  <c r="AB491" i="2" s="1"/>
  <c r="AD491" i="2"/>
  <c r="AC491" i="2"/>
  <c r="AA492" i="2"/>
  <c r="AA493" i="2" l="1"/>
  <c r="AB492" i="2" a="1"/>
  <c r="AB492" i="2" s="1"/>
  <c r="AD492" i="2"/>
  <c r="AC492" i="2"/>
  <c r="AD493" i="2" l="1"/>
  <c r="AA494" i="2"/>
  <c r="AC493" i="2"/>
  <c r="AB493" i="2" a="1"/>
  <c r="AB493" i="2" s="1"/>
  <c r="AB494" i="2" l="1" a="1"/>
  <c r="AB494" i="2" s="1"/>
  <c r="AA495" i="2"/>
  <c r="AD494" i="2"/>
  <c r="AC494" i="2"/>
  <c r="AA496" i="2" l="1"/>
  <c r="AB495" i="2" a="1"/>
  <c r="AB495" i="2" s="1"/>
  <c r="AC495" i="2"/>
  <c r="AD495" i="2"/>
  <c r="AA497" i="2" l="1"/>
  <c r="AB496" i="2" a="1"/>
  <c r="AB496" i="2" s="1"/>
  <c r="AD496" i="2"/>
  <c r="AC496" i="2"/>
  <c r="AA498" i="2" l="1"/>
  <c r="AB497" i="2" a="1"/>
  <c r="AB497" i="2" s="1"/>
  <c r="AC497" i="2"/>
  <c r="AD497" i="2"/>
  <c r="AB498" i="2" l="1" a="1"/>
  <c r="AB498" i="2" s="1"/>
  <c r="AC498" i="2"/>
  <c r="AA499" i="2"/>
  <c r="AD498" i="2"/>
  <c r="AB499" i="2" l="1" a="1"/>
  <c r="AB499" i="2" s="1"/>
  <c r="AA500" i="2"/>
  <c r="AC499" i="2"/>
  <c r="AD499" i="2"/>
  <c r="AB500" i="2" l="1" a="1"/>
  <c r="AB500" i="2" s="1"/>
  <c r="AA501" i="2"/>
  <c r="AD500" i="2"/>
  <c r="AC500" i="2"/>
  <c r="AB501" i="2" l="1" a="1"/>
  <c r="AB501" i="2" s="1"/>
  <c r="AD501" i="2"/>
  <c r="AA502" i="2"/>
  <c r="AC501" i="2"/>
  <c r="AB502" i="2" l="1" a="1"/>
  <c r="AB502" i="2" s="1"/>
  <c r="AA503" i="2"/>
  <c r="AC502" i="2"/>
  <c r="AD502" i="2"/>
  <c r="AB503" i="2" l="1" a="1"/>
  <c r="AB503" i="2" s="1"/>
  <c r="AD503" i="2"/>
  <c r="AC503" i="2"/>
  <c r="AE11" i="2" l="1"/>
  <c r="AF11" i="2"/>
  <c r="AI11" i="2"/>
  <c r="AF10" i="2"/>
  <c r="AE10" i="2"/>
  <c r="AI9" i="2"/>
  <c r="AF9" i="2"/>
  <c r="AI10" i="2"/>
  <c r="AJ9" i="2"/>
  <c r="AI7" i="2"/>
  <c r="AI8" i="2"/>
  <c r="AJ7" i="2"/>
  <c r="AF8" i="2"/>
  <c r="AQ17" i="2" s="1"/>
  <c r="AP17" i="2" l="1"/>
  <c r="F11" i="2" l="1"/>
  <c r="F2" i="2" s="1"/>
</calcChain>
</file>

<file path=xl/sharedStrings.xml><?xml version="1.0" encoding="utf-8"?>
<sst xmlns="http://schemas.openxmlformats.org/spreadsheetml/2006/main" count="202" uniqueCount="184">
  <si>
    <t>Start date</t>
  </si>
  <si>
    <t>Icon</t>
  </si>
  <si>
    <t>No</t>
  </si>
  <si>
    <t>Text</t>
  </si>
  <si>
    <t>end date</t>
  </si>
  <si>
    <t>End</t>
  </si>
  <si>
    <t>Row No.</t>
  </si>
  <si>
    <t>Helper</t>
  </si>
  <si>
    <t>All dates</t>
  </si>
  <si>
    <t>Row timeline</t>
  </si>
  <si>
    <t>Column Timeline</t>
  </si>
  <si>
    <t>Row Textbox</t>
  </si>
  <si>
    <t>Column Textbox</t>
  </si>
  <si>
    <t>Timeline Start Row</t>
  </si>
  <si>
    <t>Timeline Start Column</t>
  </si>
  <si>
    <t>Dates position</t>
  </si>
  <si>
    <t>Center of each textbox position</t>
  </si>
  <si>
    <t>Distance between text boxes</t>
  </si>
  <si>
    <t>Counter</t>
  </si>
  <si>
    <t>Unique dates</t>
  </si>
  <si>
    <t>Unique dates No</t>
  </si>
  <si>
    <t>Content</t>
  </si>
  <si>
    <t>S Level</t>
  </si>
  <si>
    <t>R Level</t>
  </si>
  <si>
    <t>Switch Up/Down Left/Right</t>
  </si>
  <si>
    <t>Distance between dates</t>
  </si>
  <si>
    <t>Range default Height</t>
  </si>
  <si>
    <t>Instance of the same date</t>
  </si>
  <si>
    <t>Start</t>
  </si>
  <si>
    <t>Range or Single date?</t>
  </si>
  <si>
    <t>Switching Timeline Sides every other date (if possible)</t>
  </si>
  <si>
    <t>Date size</t>
  </si>
  <si>
    <t>Last on the branch</t>
  </si>
  <si>
    <t>1-day Events</t>
  </si>
  <si>
    <t>Longer Events</t>
  </si>
  <si>
    <t>txt</t>
  </si>
  <si>
    <t>Theme Name</t>
  </si>
  <si>
    <t>TIMELINE</t>
  </si>
  <si>
    <t>Print area</t>
  </si>
  <si>
    <t>col</t>
  </si>
  <si>
    <t>row</t>
  </si>
  <si>
    <t>Last cell:</t>
  </si>
  <si>
    <t>juggling</t>
  </si>
  <si>
    <t>house</t>
  </si>
  <si>
    <t>paperplane</t>
  </si>
  <si>
    <t>knitting</t>
  </si>
  <si>
    <t>bear</t>
  </si>
  <si>
    <t>landing</t>
  </si>
  <si>
    <t>cabriolet</t>
  </si>
  <si>
    <t>electric_car</t>
  </si>
  <si>
    <t>oilcan</t>
  </si>
  <si>
    <t>race1</t>
  </si>
  <si>
    <t>race2</t>
  </si>
  <si>
    <t>rocket</t>
  </si>
  <si>
    <t>departure</t>
  </si>
  <si>
    <t>cough</t>
  </si>
  <si>
    <t>DNA</t>
  </si>
  <si>
    <t>bacteria</t>
  </si>
  <si>
    <t>germs</t>
  </si>
  <si>
    <t>heart_rate</t>
  </si>
  <si>
    <t>lungs</t>
  </si>
  <si>
    <t>pills</t>
  </si>
  <si>
    <t>mask</t>
  </si>
  <si>
    <t>injection</t>
  </si>
  <si>
    <t>broken_hand</t>
  </si>
  <si>
    <t>broken_heart</t>
  </si>
  <si>
    <t>heart</t>
  </si>
  <si>
    <t>peace</t>
  </si>
  <si>
    <t>like</t>
  </si>
  <si>
    <t>dislike</t>
  </si>
  <si>
    <t>leaf</t>
  </si>
  <si>
    <t>partially_sunny</t>
  </si>
  <si>
    <t>plant</t>
  </si>
  <si>
    <t>fish</t>
  </si>
  <si>
    <t>bat</t>
  </si>
  <si>
    <t>camel</t>
  </si>
  <si>
    <t>cat</t>
  </si>
  <si>
    <t>crab</t>
  </si>
  <si>
    <t>dog</t>
  </si>
  <si>
    <t>pigeon</t>
  </si>
  <si>
    <t>elephant</t>
  </si>
  <si>
    <t>giraffe</t>
  </si>
  <si>
    <t>koala</t>
  </si>
  <si>
    <t>monkey</t>
  </si>
  <si>
    <t>octopus</t>
  </si>
  <si>
    <t>owl</t>
  </si>
  <si>
    <t>puppy</t>
  </si>
  <si>
    <t>rabbit</t>
  </si>
  <si>
    <t>dirty_hands</t>
  </si>
  <si>
    <t>cupid's_ arrow</t>
  </si>
  <si>
    <t>bitcoin</t>
  </si>
  <si>
    <t>euro</t>
  </si>
  <si>
    <t>artist</t>
  </si>
  <si>
    <t>astronaut</t>
  </si>
  <si>
    <t>dj</t>
  </si>
  <si>
    <t>police</t>
  </si>
  <si>
    <t>scientist</t>
  </si>
  <si>
    <t>moon</t>
  </si>
  <si>
    <t>forest</t>
  </si>
  <si>
    <t>island</t>
  </si>
  <si>
    <t>luggage</t>
  </si>
  <si>
    <t>attention</t>
  </si>
  <si>
    <t>crown</t>
  </si>
  <si>
    <t>engagement</t>
  </si>
  <si>
    <t>cloud_IT</t>
  </si>
  <si>
    <t>bday_cake</t>
  </si>
  <si>
    <t>fireworks</t>
  </si>
  <si>
    <t>grapes</t>
  </si>
  <si>
    <t>icecream</t>
  </si>
  <si>
    <t>pizza</t>
  </si>
  <si>
    <t>circus</t>
  </si>
  <si>
    <t>guitar</t>
  </si>
  <si>
    <t>music</t>
  </si>
  <si>
    <t>Icon list</t>
  </si>
  <si>
    <t>diploma</t>
  </si>
  <si>
    <t>graduation</t>
  </si>
  <si>
    <t>schoolboy</t>
  </si>
  <si>
    <t>schoolgirl</t>
  </si>
  <si>
    <t>DASHBOARD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</si>
  <si>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</si>
  <si>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</si>
  <si>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</si>
  <si>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</si>
  <si>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</si>
  <si>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</si>
  <si>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</si>
  <si>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</si>
  <si>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>info@</t>
    </r>
  </si>
  <si>
    <t>ICONS CATALOGUE</t>
  </si>
  <si>
    <t>Date font</t>
  </si>
  <si>
    <t>Event font</t>
  </si>
  <si>
    <t>Overlapping range check</t>
  </si>
  <si>
    <t>Avoid range event overlapping the single date event</t>
  </si>
  <si>
    <t>Textbox Connection</t>
  </si>
  <si>
    <t>Timeline + dates</t>
  </si>
  <si>
    <t>Textbox - H</t>
  </si>
  <si>
    <t>Textbox - W</t>
  </si>
  <si>
    <t>TIMELINE SETTINGS</t>
  </si>
  <si>
    <t>Peach-Blue</t>
  </si>
  <si>
    <t>Yellow-Mint</t>
  </si>
  <si>
    <t>Plum-DarkYellow</t>
  </si>
  <si>
    <t>Intensive Blue</t>
  </si>
  <si>
    <t>Faded Blue</t>
  </si>
  <si>
    <t>Intensive Green</t>
  </si>
  <si>
    <t>Light Green</t>
  </si>
  <si>
    <t>Pink-Brown</t>
  </si>
  <si>
    <t>Pastel</t>
  </si>
  <si>
    <t>Orange-Mint</t>
  </si>
  <si>
    <t>Sorted events</t>
  </si>
  <si>
    <t>2nd Date Shp No</t>
  </si>
  <si>
    <t>Date Shp No</t>
  </si>
  <si>
    <t>Yes</t>
  </si>
  <si>
    <t>NAME</t>
  </si>
  <si>
    <t>ICON</t>
  </si>
  <si>
    <t>All icons</t>
  </si>
  <si>
    <t>Rank</t>
  </si>
  <si>
    <t>Row</t>
  </si>
  <si>
    <t>Col</t>
  </si>
  <si>
    <t>Name</t>
  </si>
  <si>
    <t>Column</t>
  </si>
  <si>
    <t>EVENT</t>
  </si>
  <si>
    <t>START DATE</t>
  </si>
  <si>
    <r>
      <t xml:space="preserve"> END DATE
</t>
    </r>
    <r>
      <rPr>
        <b/>
        <i/>
        <sz val="10"/>
        <color theme="1"/>
        <rFont val="Arial"/>
        <family val="2"/>
        <scheme val="minor"/>
      </rPr>
      <t>(Optional)</t>
    </r>
  </si>
  <si>
    <r>
      <t xml:space="preserve">ICON
</t>
    </r>
    <r>
      <rPr>
        <b/>
        <i/>
        <sz val="10"/>
        <color theme="1"/>
        <rFont val="Arial"/>
        <family val="2"/>
        <scheme val="minor"/>
      </rPr>
      <t>(Optional)</t>
    </r>
  </si>
  <si>
    <t>Horizontal</t>
  </si>
  <si>
    <t>OPTIONS</t>
  </si>
  <si>
    <t>Direction:</t>
  </si>
  <si>
    <t>Color theme:</t>
  </si>
  <si>
    <t>Dates distance:</t>
  </si>
  <si>
    <t>Textbox distance:</t>
  </si>
  <si>
    <t>Textbox Height:</t>
  </si>
  <si>
    <t>Textbox Width:</t>
  </si>
  <si>
    <t>Date size:</t>
  </si>
  <si>
    <t>Date font size:</t>
  </si>
  <si>
    <t>Events font size:</t>
  </si>
  <si>
    <t>Include icons:</t>
  </si>
  <si>
    <t>Highschool prom</t>
  </si>
  <si>
    <t>Highschool exams</t>
  </si>
  <si>
    <t>First day of university</t>
  </si>
  <si>
    <t>Graduate</t>
  </si>
  <si>
    <t>Found a job</t>
  </si>
  <si>
    <t>Work and travel</t>
  </si>
  <si>
    <t>Change job</t>
  </si>
  <si>
    <t>TIMELINE MAKER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</si>
</sst>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;@"/>
    <numFmt numFmtId="165" formatCode="d/m/yyyy;@"/>
  </numFmts>
  <fonts count="27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u/>
      <sz val="10"/>
      <color indexed="12"/>
      <name val="Arial"/>
      <family val="2"/>
    </font>
    <font>
      <u/>
      <sz val="11"/>
      <color theme="0"/>
      <name val="Arial"/>
      <family val="2"/>
      <charset val="162"/>
      <scheme val="minor"/>
    </font>
    <font>
      <b/>
      <sz val="11"/>
      <color theme="0"/>
      <name val="Arial"/>
      <family val="2"/>
      <scheme val="minor"/>
    </font>
    <font>
      <b/>
      <sz val="12"/>
      <color theme="0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scheme val="minor"/>
    </font>
    <font>
      <sz val="8"/>
      <name val="Arial"/>
      <family val="2"/>
      <charset val="162"/>
      <scheme val="minor"/>
    </font>
    <font>
      <b/>
      <i/>
      <sz val="10"/>
      <color theme="1"/>
      <name val="Arial"/>
      <family val="2"/>
      <scheme val="minor"/>
    </font>
    <font>
      <i/>
      <sz val="10"/>
      <color theme="1"/>
      <name val="Arial"/>
      <family val="2"/>
      <scheme val="minor"/>
    </font>
    <font>
      <sz val="11"/>
      <color theme="0"/>
      <name val="Arial"/>
      <family val="2"/>
      <charset val="16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2F2F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6699"/>
      </left>
      <right style="thin">
        <color rgb="FF006699"/>
      </right>
      <top style="thin">
        <color rgb="FF006699"/>
      </top>
      <bottom style="thin">
        <color rgb="FF00669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rgb="FF006699"/>
      </left>
      <right style="thin">
        <color rgb="FF006699"/>
      </right>
      <top/>
      <bottom style="thin">
        <color rgb="FF006699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5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5" fillId="0" borderId="0"/>
    <xf numFmtId="0" fontId="13" fillId="0" borderId="0"/>
  </cellStyleXfs>
  <cellXfs count="173">
    <xf numFmtId="0" fontId="0" fillId="0" borderId="0" xfId="0"/>
    <xf numFmtId="49" fontId="4" fillId="3" borderId="0" xfId="0" applyNumberFormat="1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49" fontId="7" fillId="5" borderId="0" xfId="0" applyNumberFormat="1" applyFont="1" applyFill="1" applyAlignment="1">
      <alignment vertical="center"/>
    </xf>
    <xf numFmtId="0" fontId="7" fillId="5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7" fillId="5" borderId="0" xfId="0" applyFont="1" applyFill="1" applyAlignment="1">
      <alignment vertical="center"/>
    </xf>
    <xf numFmtId="0" fontId="8" fillId="6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vertical="center"/>
    </xf>
    <xf numFmtId="16" fontId="0" fillId="2" borderId="0" xfId="0" quotePrefix="1" applyNumberFormat="1" applyFill="1"/>
    <xf numFmtId="0" fontId="0" fillId="2" borderId="0" xfId="0" quotePrefix="1" applyFill="1"/>
    <xf numFmtId="0" fontId="0" fillId="2" borderId="0" xfId="0" applyFill="1" applyAlignment="1">
      <alignment horizontal="center" vertical="center"/>
    </xf>
    <xf numFmtId="49" fontId="7" fillId="5" borderId="0" xfId="0" applyNumberFormat="1" applyFont="1" applyFill="1" applyAlignment="1">
      <alignment horizontal="left" vertical="center" indent="8"/>
    </xf>
    <xf numFmtId="0" fontId="2" fillId="2" borderId="0" xfId="0" applyFont="1" applyFill="1"/>
    <xf numFmtId="0" fontId="0" fillId="7" borderId="0" xfId="0" applyFill="1"/>
    <xf numFmtId="0" fontId="10" fillId="7" borderId="0" xfId="1" applyFont="1" applyFill="1" applyBorder="1" applyAlignment="1" applyProtection="1">
      <alignment vertical="center"/>
    </xf>
    <xf numFmtId="0" fontId="0" fillId="7" borderId="0" xfId="0" applyFill="1" applyAlignment="1">
      <alignment horizontal="center"/>
    </xf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horizontal="center" vertical="center"/>
    </xf>
    <xf numFmtId="0" fontId="3" fillId="2" borderId="0" xfId="2" applyFont="1" applyFill="1" applyAlignment="1">
      <alignment vertical="center"/>
    </xf>
    <xf numFmtId="49" fontId="4" fillId="3" borderId="0" xfId="2" applyNumberFormat="1" applyFont="1" applyFill="1" applyAlignment="1">
      <alignment horizontal="left" vertical="center" indent="2"/>
    </xf>
    <xf numFmtId="0" fontId="5" fillId="2" borderId="0" xfId="2" applyFont="1" applyFill="1" applyAlignment="1">
      <alignment horizontal="right" vertical="center"/>
    </xf>
    <xf numFmtId="0" fontId="3" fillId="2" borderId="0" xfId="2" applyFont="1" applyFill="1" applyAlignment="1">
      <alignment horizontal="center" vertical="center"/>
    </xf>
    <xf numFmtId="0" fontId="6" fillId="2" borderId="0" xfId="2" applyFont="1" applyFill="1" applyAlignment="1">
      <alignment vertical="center"/>
    </xf>
    <xf numFmtId="49" fontId="7" fillId="5" borderId="0" xfId="2" applyNumberFormat="1" applyFont="1" applyFill="1" applyAlignment="1">
      <alignment horizontal="left" vertical="center" indent="2"/>
    </xf>
    <xf numFmtId="0" fontId="8" fillId="2" borderId="0" xfId="2" applyFont="1" applyFill="1" applyAlignment="1">
      <alignment horizontal="right" vertical="center"/>
    </xf>
    <xf numFmtId="0" fontId="7" fillId="2" borderId="0" xfId="2" applyFont="1" applyFill="1" applyAlignment="1">
      <alignment horizontal="center" vertical="center"/>
    </xf>
    <xf numFmtId="0" fontId="2" fillId="2" borderId="0" xfId="2" applyFill="1"/>
    <xf numFmtId="0" fontId="16" fillId="2" borderId="0" xfId="3" applyFont="1" applyFill="1" applyAlignment="1" applyProtection="1">
      <alignment vertical="center"/>
      <protection locked="0"/>
    </xf>
    <xf numFmtId="0" fontId="13" fillId="0" borderId="9" xfId="4" applyBorder="1" applyAlignment="1">
      <alignment horizontal="left" wrapText="1" indent="1"/>
    </xf>
    <xf numFmtId="0" fontId="13" fillId="2" borderId="0" xfId="4" applyFill="1"/>
    <xf numFmtId="0" fontId="17" fillId="2" borderId="0" xfId="3" applyFont="1" applyFill="1" applyAlignment="1" applyProtection="1">
      <alignment vertical="center"/>
      <protection locked="0"/>
    </xf>
    <xf numFmtId="0" fontId="13" fillId="0" borderId="10" xfId="4" applyBorder="1" applyAlignment="1">
      <alignment horizontal="left" indent="1"/>
    </xf>
    <xf numFmtId="0" fontId="13" fillId="0" borderId="10" xfId="4" applyBorder="1" applyAlignment="1">
      <alignment horizontal="left" vertical="center" wrapText="1" indent="1"/>
    </xf>
    <xf numFmtId="0" fontId="13" fillId="0" borderId="10" xfId="4" applyBorder="1" applyAlignment="1">
      <alignment horizontal="left" vertical="top" wrapText="1" indent="2"/>
    </xf>
    <xf numFmtId="0" fontId="18" fillId="2" borderId="0" xfId="3" applyFont="1" applyFill="1" applyAlignment="1" applyProtection="1">
      <alignment vertical="center"/>
      <protection locked="0"/>
    </xf>
    <xf numFmtId="0" fontId="14" fillId="0" borderId="10" xfId="4" applyFont="1" applyBorder="1" applyAlignment="1">
      <alignment horizontal="left" indent="1"/>
    </xf>
    <xf numFmtId="0" fontId="13" fillId="0" borderId="4" xfId="4" applyBorder="1" applyAlignment="1">
      <alignment horizontal="left" indent="1"/>
    </xf>
    <xf numFmtId="49" fontId="4" fillId="3" borderId="0" xfId="0" applyNumberFormat="1" applyFont="1" applyFill="1" applyAlignment="1">
      <alignment horizontal="left" vertical="center" indent="9"/>
    </xf>
    <xf numFmtId="49" fontId="7" fillId="5" borderId="0" xfId="0" applyNumberFormat="1" applyFont="1" applyFill="1" applyAlignment="1">
      <alignment horizontal="left" vertical="center" indent="9"/>
    </xf>
    <xf numFmtId="49" fontId="2" fillId="2" borderId="0" xfId="0" applyNumberFormat="1" applyFont="1" applyFill="1" applyAlignment="1">
      <alignment vertical="center"/>
    </xf>
    <xf numFmtId="0" fontId="0" fillId="2" borderId="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 applyAlignment="1">
      <alignment horizontal="center" vertical="center"/>
    </xf>
    <xf numFmtId="0" fontId="11" fillId="10" borderId="24" xfId="0" applyFont="1" applyFill="1" applyBorder="1" applyAlignment="1">
      <alignment horizontal="center" vertical="center" wrapText="1"/>
    </xf>
    <xf numFmtId="0" fontId="11" fillId="10" borderId="25" xfId="0" applyFont="1" applyFill="1" applyBorder="1" applyAlignment="1">
      <alignment horizontal="center" vertical="center" wrapText="1"/>
    </xf>
    <xf numFmtId="0" fontId="11" fillId="11" borderId="8" xfId="0" applyFont="1" applyFill="1" applyBorder="1" applyAlignment="1">
      <alignment horizontal="centerContinuous" vertical="center"/>
    </xf>
    <xf numFmtId="0" fontId="12" fillId="11" borderId="8" xfId="0" applyFont="1" applyFill="1" applyBorder="1" applyAlignment="1">
      <alignment horizontal="centerContinuous" vertical="center"/>
    </xf>
    <xf numFmtId="0" fontId="25" fillId="13" borderId="8" xfId="0" applyFont="1" applyFill="1" applyBorder="1" applyAlignment="1">
      <alignment horizontal="right" vertical="center" indent="1"/>
    </xf>
    <xf numFmtId="0" fontId="25" fillId="13" borderId="8" xfId="0" applyFont="1" applyFill="1" applyBorder="1" applyAlignment="1">
      <alignment horizontal="right" indent="1"/>
    </xf>
    <xf numFmtId="0" fontId="1" fillId="12" borderId="40" xfId="0" applyFont="1" applyFill="1" applyBorder="1" applyAlignment="1">
      <alignment horizontal="center" vertical="center"/>
    </xf>
    <xf numFmtId="0" fontId="1" fillId="12" borderId="41" xfId="0" applyFont="1" applyFill="1" applyBorder="1" applyAlignment="1">
      <alignment horizontal="center" vertical="center"/>
    </xf>
    <xf numFmtId="0" fontId="1" fillId="12" borderId="41" xfId="0" applyFont="1" applyFill="1" applyBorder="1" applyAlignment="1">
      <alignment horizontal="center" vertical="center" wrapText="1"/>
    </xf>
    <xf numFmtId="0" fontId="1" fillId="12" borderId="42" xfId="0" applyFont="1" applyFill="1" applyBorder="1" applyAlignment="1">
      <alignment horizontal="center" vertical="center" wrapText="1"/>
    </xf>
    <xf numFmtId="0" fontId="0" fillId="0" borderId="36" xfId="0" applyFill="1" applyBorder="1" applyAlignment="1" applyProtection="1">
      <alignment horizontal="center" vertical="center"/>
      <protection locked="0"/>
    </xf>
    <xf numFmtId="164" fontId="0" fillId="0" borderId="43" xfId="0" applyNumberFormat="1" applyFill="1" applyBorder="1" applyAlignment="1" applyProtection="1">
      <alignment horizontal="center" vertical="center"/>
      <protection locked="0"/>
    </xf>
    <xf numFmtId="0" fontId="0" fillId="0" borderId="35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164" fontId="0" fillId="0" borderId="44" xfId="0" applyNumberFormat="1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2" fillId="2" borderId="33" xfId="0" applyFont="1" applyFill="1" applyBorder="1"/>
    <xf numFmtId="0" fontId="0" fillId="14" borderId="37" xfId="0" applyFill="1" applyBorder="1" applyAlignment="1" applyProtection="1">
      <alignment horizontal="center" vertical="center"/>
    </xf>
    <xf numFmtId="164" fontId="0" fillId="14" borderId="38" xfId="0" applyNumberFormat="1" applyFill="1" applyBorder="1" applyAlignment="1" applyProtection="1">
      <alignment horizontal="center" vertical="center"/>
    </xf>
    <xf numFmtId="0" fontId="0" fillId="14" borderId="39" xfId="0" applyFill="1" applyBorder="1" applyAlignment="1" applyProtection="1">
      <alignment horizontal="center" vertical="center"/>
    </xf>
    <xf numFmtId="0" fontId="0" fillId="14" borderId="26" xfId="0" applyFill="1" applyBorder="1" applyAlignment="1" applyProtection="1">
      <alignment horizontal="center" vertical="center"/>
    </xf>
    <xf numFmtId="164" fontId="0" fillId="14" borderId="27" xfId="0" applyNumberFormat="1" applyFill="1" applyBorder="1" applyAlignment="1" applyProtection="1">
      <alignment horizontal="center" vertical="center"/>
    </xf>
    <xf numFmtId="0" fontId="0" fillId="14" borderId="28" xfId="0" applyFill="1" applyBorder="1" applyAlignment="1" applyProtection="1">
      <alignment horizontal="center" vertical="center"/>
    </xf>
    <xf numFmtId="165" fontId="0" fillId="14" borderId="27" xfId="0" applyNumberFormat="1" applyFill="1" applyBorder="1" applyAlignment="1" applyProtection="1">
      <alignment horizontal="center" vertical="center"/>
    </xf>
    <xf numFmtId="0" fontId="0" fillId="14" borderId="29" xfId="0" applyFill="1" applyBorder="1" applyAlignment="1" applyProtection="1">
      <alignment horizontal="center" vertical="center"/>
    </xf>
    <xf numFmtId="164" fontId="0" fillId="14" borderId="30" xfId="0" applyNumberFormat="1" applyFill="1" applyBorder="1" applyAlignment="1" applyProtection="1">
      <alignment horizontal="center" vertical="center"/>
    </xf>
    <xf numFmtId="0" fontId="0" fillId="14" borderId="31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1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0" fontId="22" fillId="0" borderId="1" xfId="0" applyFont="1" applyBorder="1" applyAlignment="1" applyProtection="1">
      <alignment horizontal="center" vertical="center"/>
      <protection hidden="1"/>
    </xf>
    <xf numFmtId="0" fontId="22" fillId="0" borderId="14" xfId="0" applyFont="1" applyBorder="1" applyAlignment="1" applyProtection="1">
      <alignment horizontal="center" vertical="center"/>
      <protection hidden="1"/>
    </xf>
    <xf numFmtId="0" fontId="22" fillId="0" borderId="15" xfId="0" applyFont="1" applyBorder="1" applyAlignment="1" applyProtection="1">
      <alignment horizontal="centerContinuous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" fontId="1" fillId="2" borderId="1" xfId="0" applyNumberFormat="1" applyFont="1" applyFill="1" applyBorder="1" applyAlignment="1" applyProtection="1">
      <alignment horizontal="center" vertical="center"/>
      <protection hidden="1"/>
    </xf>
    <xf numFmtId="1" fontId="1" fillId="2" borderId="3" xfId="0" applyNumberFormat="1" applyFont="1" applyFill="1" applyBorder="1" applyAlignment="1" applyProtection="1">
      <alignment horizontal="center" vertical="center"/>
      <protection hidden="1"/>
    </xf>
    <xf numFmtId="1" fontId="0" fillId="2" borderId="1" xfId="0" applyNumberFormat="1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horizontal="centerContinuous" vertical="center"/>
      <protection hidden="1"/>
    </xf>
    <xf numFmtId="0" fontId="0" fillId="2" borderId="3" xfId="0" applyFill="1" applyBorder="1" applyAlignment="1" applyProtection="1">
      <alignment horizontal="centerContinuous" vertical="center"/>
      <protection hidden="1"/>
    </xf>
    <xf numFmtId="1" fontId="1" fillId="2" borderId="1" xfId="0" applyNumberFormat="1" applyFont="1" applyFill="1" applyBorder="1" applyAlignment="1" applyProtection="1">
      <alignment horizontal="center" vertical="center" shrinkToFit="1"/>
      <protection hidden="1"/>
    </xf>
    <xf numFmtId="0" fontId="22" fillId="2" borderId="1" xfId="0" applyFont="1" applyFill="1" applyBorder="1" applyAlignment="1" applyProtection="1">
      <alignment horizontal="center" vertical="center"/>
      <protection hidden="1"/>
    </xf>
    <xf numFmtId="0" fontId="22" fillId="2" borderId="1" xfId="0" applyFont="1" applyFill="1" applyBorder="1" applyAlignment="1" applyProtection="1">
      <alignment horizontal="centerContinuous" vertical="center"/>
      <protection hidden="1"/>
    </xf>
    <xf numFmtId="0" fontId="1" fillId="2" borderId="2" xfId="0" applyFont="1" applyFill="1" applyBorder="1" applyAlignment="1" applyProtection="1">
      <alignment horizontal="centerContinuous" vertical="center" shrinkToFit="1"/>
      <protection hidden="1"/>
    </xf>
    <xf numFmtId="0" fontId="1" fillId="2" borderId="1" xfId="0" applyFont="1" applyFill="1" applyBorder="1" applyAlignment="1" applyProtection="1">
      <alignment horizontal="center" vertical="center" shrinkToFit="1"/>
      <protection hidden="1"/>
    </xf>
    <xf numFmtId="0" fontId="1" fillId="2" borderId="1" xfId="0" applyFont="1" applyFill="1" applyBorder="1" applyAlignment="1" applyProtection="1">
      <alignment horizontal="centerContinuous" vertical="center" shrinkToFit="1"/>
      <protection hidden="1"/>
    </xf>
    <xf numFmtId="0" fontId="0" fillId="13" borderId="1" xfId="0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horizontal="centerContinuous" vertical="center" wrapText="1"/>
      <protection hidden="1"/>
    </xf>
    <xf numFmtId="0" fontId="1" fillId="2" borderId="3" xfId="0" applyFont="1" applyFill="1" applyBorder="1" applyAlignment="1" applyProtection="1">
      <alignment horizontal="centerContinuous" vertical="center" wrapText="1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164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4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2" borderId="1" xfId="0" applyFill="1" applyBorder="1" applyAlignment="1" applyProtection="1">
      <alignment horizontal="center" vertical="center" wrapText="1"/>
      <protection hidden="1"/>
    </xf>
    <xf numFmtId="0" fontId="1" fillId="2" borderId="4" xfId="0" applyFont="1" applyFill="1" applyBorder="1" applyAlignment="1" applyProtection="1">
      <alignment horizontal="center" vertical="center" wrapText="1"/>
      <protection hidden="1"/>
    </xf>
    <xf numFmtId="0" fontId="1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left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1" fontId="0" fillId="0" borderId="1" xfId="0" applyNumberFormat="1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14" fontId="2" fillId="0" borderId="1" xfId="0" applyNumberFormat="1" applyFont="1" applyFill="1" applyBorder="1" applyAlignment="1" applyProtection="1">
      <alignment horizontal="center" vertical="center"/>
      <protection hidden="1"/>
    </xf>
    <xf numFmtId="1" fontId="2" fillId="0" borderId="1" xfId="0" applyNumberFormat="1" applyFont="1" applyFill="1" applyBorder="1" applyAlignment="1" applyProtection="1">
      <alignment horizontal="center" vertical="center"/>
      <protection hidden="1"/>
    </xf>
    <xf numFmtId="1" fontId="2" fillId="0" borderId="1" xfId="0" applyNumberFormat="1" applyFont="1" applyFill="1" applyBorder="1" applyAlignment="1" applyProtection="1">
      <alignment horizontal="center" vertical="center" shrinkToFit="1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left" vertical="center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/>
      <protection hidden="1"/>
    </xf>
    <xf numFmtId="0" fontId="1" fillId="8" borderId="1" xfId="0" applyFont="1" applyFill="1" applyBorder="1" applyAlignment="1" applyProtection="1">
      <alignment horizontal="center"/>
      <protection hidden="1"/>
    </xf>
    <xf numFmtId="0" fontId="1" fillId="8" borderId="1" xfId="0" applyFont="1" applyFill="1" applyBorder="1" applyAlignment="1" applyProtection="1">
      <alignment horizontal="center" wrapText="1"/>
      <protection hidden="1"/>
    </xf>
    <xf numFmtId="1" fontId="0" fillId="0" borderId="0" xfId="0" applyNumberFormat="1" applyAlignment="1" applyProtection="1">
      <alignment wrapText="1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9" xfId="0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1" fontId="2" fillId="0" borderId="5" xfId="0" applyNumberFormat="1" applyFont="1" applyFill="1" applyBorder="1" applyAlignment="1" applyProtection="1">
      <alignment horizontal="center" vertical="center"/>
      <protection hidden="1"/>
    </xf>
    <xf numFmtId="1" fontId="2" fillId="0" borderId="6" xfId="0" applyNumberFormat="1" applyFont="1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1" fontId="2" fillId="0" borderId="0" xfId="0" applyNumberFormat="1" applyFont="1" applyFill="1" applyBorder="1" applyAlignment="1" applyProtection="1">
      <alignment horizontal="center" vertical="center"/>
      <protection hidden="1"/>
    </xf>
    <xf numFmtId="1" fontId="2" fillId="0" borderId="7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164" fontId="0" fillId="0" borderId="0" xfId="0" applyNumberFormat="1" applyBorder="1" applyAlignment="1" applyProtection="1">
      <alignment horizontal="center" vertical="center"/>
      <protection hidden="1"/>
    </xf>
    <xf numFmtId="0" fontId="0" fillId="0" borderId="5" xfId="0" applyFill="1" applyBorder="1"/>
    <xf numFmtId="0" fontId="0" fillId="0" borderId="6" xfId="0" applyFill="1" applyBorder="1"/>
    <xf numFmtId="0" fontId="0" fillId="0" borderId="12" xfId="0" applyFill="1" applyBorder="1"/>
    <xf numFmtId="0" fontId="0" fillId="0" borderId="7" xfId="0" applyFill="1" applyBorder="1"/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9" borderId="0" xfId="0" applyFill="1"/>
    <xf numFmtId="0" fontId="26" fillId="0" borderId="0" xfId="0" applyFont="1" applyAlignment="1" applyProtection="1">
      <alignment horizontal="center" vertical="center"/>
    </xf>
    <xf numFmtId="49" fontId="4" fillId="3" borderId="0" xfId="0" applyNumberFormat="1" applyFont="1" applyFill="1" applyAlignment="1" applyProtection="1">
      <alignment horizontal="left" vertical="center" indent="8"/>
    </xf>
    <xf numFmtId="0" fontId="0" fillId="0" borderId="1" xfId="0" applyBorder="1" applyAlignment="1" applyProtection="1">
      <alignment horizontal="center" vertical="center"/>
      <protection locked="0" hidden="1"/>
    </xf>
  </cellXfs>
  <cellStyles count="5">
    <cellStyle name="Hyperlink" xfId="1" builtinId="8"/>
    <cellStyle name="Normal" xfId="0" builtinId="0"/>
    <cellStyle name="Normal 2" xfId="2" xr:uid="{7A50864D-A962-48C7-9588-9F54314EA54A}"/>
    <cellStyle name="Normal 2 2" xfId="3" xr:uid="{EDE90CFD-71A2-4B56-87C0-A3E4E745FBE0}"/>
    <cellStyle name="Normal 3 2" xfId="4" xr:uid="{820E2807-9B0B-4C77-BBAE-A08BF12457E3}"/>
  </cellStyles>
  <dxfs count="4">
    <dxf>
      <fill>
        <patternFill patternType="solid">
          <fgColor indexed="64"/>
          <bgColor rgb="FFCCCCCC"/>
        </patternFill>
      </fill>
      <alignment horizontal="center" vertical="center" textRotation="0" wrapText="0" indent="0" justifyLastLine="0" shrinkToFit="0" readingOrder="0"/>
      <protection locked="1" hidden="1"/>
    </dxf>
    <dxf>
      <numFmt numFmtId="164" formatCode="d/mm/yyyy;@"/>
      <fill>
        <patternFill patternType="solid">
          <fgColor indexed="64"/>
          <bgColor rgb="FFCCCCCC"/>
        </patternFill>
      </fill>
      <alignment horizontal="center" vertical="center" textRotation="0" wrapText="0" indent="0" justifyLastLine="0" shrinkToFit="0" readingOrder="0"/>
      <protection locked="1" hidden="1"/>
    </dxf>
    <dxf>
      <numFmt numFmtId="164" formatCode="d/mm/yyyy;@"/>
      <fill>
        <patternFill patternType="solid">
          <fgColor indexed="64"/>
          <bgColor rgb="FFCCCCCC"/>
        </patternFill>
      </fill>
      <alignment horizontal="center" vertical="center" textRotation="0" wrapText="0" indent="0" justifyLastLine="0" shrinkToFit="0" readingOrder="0"/>
      <protection locked="1" hidden="1"/>
    </dxf>
    <dxf>
      <fill>
        <patternFill patternType="solid">
          <fgColor indexed="64"/>
          <bgColor rgb="FFCCCCCC"/>
        </patternFill>
      </fill>
      <alignment horizontal="center" vertical="center" textRotation="0" wrapText="0" indent="0" justifyLastLine="0" shrinkToFit="0" readingOrder="0"/>
      <protection locked="1" hidden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FFE699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CCCC"/>
      <color rgb="FF464638"/>
      <color rgb="FF00CB76"/>
      <color rgb="FF50D06E"/>
      <color rgb="FFED7D31"/>
      <color rgb="FF667A90"/>
      <color rgb="FF3C6EBA"/>
      <color rgb="FF4F3E80"/>
      <color rgb="FF80473E"/>
      <color rgb="FFCCE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Timeline!A5"/><Relationship Id="rId12" Type="http://schemas.openxmlformats.org/officeDocument/2006/relationships/image" Target="../media/image7.png"/><Relationship Id="rId2" Type="http://schemas.openxmlformats.org/officeDocument/2006/relationships/image" Target="../media/image1.png"/><Relationship Id="rId6" Type="http://schemas.openxmlformats.org/officeDocument/2006/relationships/image" Target="../media/image3.png"/><Relationship Id="rId11" Type="http://schemas.openxmlformats.org/officeDocument/2006/relationships/image" Target="../media/image6.png"/><Relationship Id="rId5" Type="http://schemas.openxmlformats.org/officeDocument/2006/relationships/hyperlink" Target="#Icons!A6"/><Relationship Id="rId4" Type="http://schemas.openxmlformats.org/officeDocument/2006/relationships/hyperlink" Target="#'Terms of Use'!A4"/><Relationship Id="rId9" Type="http://schemas.openxmlformats.org/officeDocument/2006/relationships/image" Target="../media/image5.png"/><Relationship Id="rId13" Type="http://schemas.openxmlformats.org/officeDocument/2006/relationships/image" Target="../media/image9.png"/><Relationship Id="rId14" Type="http://schemas.openxmlformats.org/officeDocument/2006/relationships/hyperlink" Target="https://masterproductivitykit.com/" TargetMode="External"/><Relationship Id="rId1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7" Type="http://schemas.openxmlformats.org/officeDocument/2006/relationships/image" Target="../media/image1.png"/><Relationship Id="rId2" Type="http://schemas.openxmlformats.org/officeDocument/2006/relationships/image" Target="../media/image6.png"/><Relationship Id="rId5" Type="http://schemas.openxmlformats.org/officeDocument/2006/relationships/image" Target="../media/image8.png"/><Relationship Id="rId4" Type="http://schemas.openxmlformats.org/officeDocument/2006/relationships/hyperlink" Target="#Dashboard!A6"/><Relationship Id="rId8" Type="http://schemas.openxmlformats.org/officeDocument/2006/relationships/image" Target="../media/image10.png"/><Relationship Id="rId9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8.png"/><Relationship Id="rId2" Type="http://schemas.openxmlformats.org/officeDocument/2006/relationships/hyperlink" Target="#Dashboard!A6"/><Relationship Id="rId1" Type="http://schemas.openxmlformats.org/officeDocument/2006/relationships/image" Target="../media/image2.png"/><Relationship Id="rId6" Type="http://schemas.openxmlformats.org/officeDocument/2006/relationships/image" Target="../media/image1.png"/><Relationship Id="rId4" Type="http://schemas.openxmlformats.org/officeDocument/2006/relationships/hyperlink" Target="#'Terms of Use'!A4"/><Relationship Id="rId9" Type="http://schemas.openxmlformats.org/officeDocument/2006/relationships/image" Target="../media/image11.png"/><Relationship Id="rId10" Type="http://schemas.openxmlformats.org/officeDocument/2006/relationships/hyperlink" Target="https://masterproductivitykit.com/" TargetMode="External"/><Relationship Id="rId5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6"/><Relationship Id="rId2" Type="http://schemas.openxmlformats.org/officeDocument/2006/relationships/image" Target="../media/image1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127187</xdr:colOff>
      <xdr:row>1</xdr:row>
      <xdr:rowOff>65555</xdr:rowOff>
    </xdr:from>
    <xdr:to>
      <xdr:col>1</xdr:col>
      <xdr:colOff>559187</xdr:colOff>
      <xdr:row>2</xdr:row>
      <xdr:rowOff>249905</xdr:rowOff>
    </xdr:to>
    <xdr:pic>
      <xdr:nvPicPr>
        <xdr:cNvPr id="17" name="mainicon">
          <a:extLst>
            <a:ext uri="{FF2B5EF4-FFF2-40B4-BE49-F238E27FC236}">
              <a16:creationId xmlns:a16="http://schemas.microsoft.com/office/drawing/2014/main" id="{F496F5EA-169B-4187-8DDA-97C813B3B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74837" y="151280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6</xdr:col>
      <xdr:colOff>1118364</xdr:colOff>
      <xdr:row>256</xdr:row>
      <xdr:rowOff>0</xdr:rowOff>
    </xdr:from>
    <xdr:to>
      <xdr:col>8</xdr:col>
      <xdr:colOff>0</xdr:colOff>
      <xdr:row>256</xdr:row>
      <xdr:rowOff>281281</xdr:rowOff>
    </xdr:to>
    <xdr:sp macro="" textlink="">
      <xdr:nvSpPr>
        <xdr:cNvPr id="23" name="devbysom">
          <a:hlinkClick xmlns:r="http://schemas.openxmlformats.org/officeDocument/2006/relationships" r:id="rId1" tooltip="Someka Excel Solutions"/>
          <a:extLst>
            <a:ext uri="{FF2B5EF4-FFF2-40B4-BE49-F238E27FC236}">
              <a16:creationId xmlns:a16="http://schemas.microsoft.com/office/drawing/2014/main" id="{D497F528-8EBE-4311-9ADC-8DE908708AC8}"/>
            </a:ext>
          </a:extLst>
        </xdr:cNvPr>
        <xdr:cNvSpPr/>
      </xdr:nvSpPr>
      <xdr:spPr>
        <a:xfrm>
          <a:off x="7804914" y="48787050"/>
          <a:ext cx="1834386" cy="2812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54000" rIns="108000" bIns="54000" rtlCol="0" anchor="t">
          <a:spAutoFit/>
        </a:bodyPr>
        <a:lstStyle/>
        <a:p>
          <a:pPr algn="l"/>
          <a:r>
            <a:rPr lang="tr-TR" sz="1100" i="1" u="none">
              <a:solidFill>
                <a:schemeClr val="bg1">
                  <a:lumMod val="95000"/>
                </a:schemeClr>
              </a:solidFill>
            </a:rPr>
            <a:t>Developed by MasterProductivityKit.com ©</a:t>
          </a:r>
        </a:p>
      </xdr:txBody>
    </xdr:sp>
    <xdr:clientData/>
  </xdr:twoCellAnchor>
  <xdr:twoCellAnchor editAs="oneCell">
    <xdr:from>
      <xdr:col>7</xdr:col>
      <xdr:colOff>121422</xdr:colOff>
      <xdr:row>25</xdr:row>
      <xdr:rowOff>20372</xdr:rowOff>
    </xdr:from>
    <xdr:to>
      <xdr:col>7</xdr:col>
      <xdr:colOff>445422</xdr:colOff>
      <xdr:row>26</xdr:row>
      <xdr:rowOff>81872</xdr:rowOff>
    </xdr:to>
    <xdr:sp macro="" textlink="">
      <xdr:nvSpPr>
        <xdr:cNvPr id="16" name="Left Arrow 1">
          <a:extLst>
            <a:ext uri="{FF2B5EF4-FFF2-40B4-BE49-F238E27FC236}">
              <a16:creationId xmlns:a16="http://schemas.microsoft.com/office/drawing/2014/main" id="{604F81B9-D5DD-4613-A80A-EB257340E7B4}"/>
            </a:ext>
          </a:extLst>
        </xdr:cNvPr>
        <xdr:cNvSpPr/>
      </xdr:nvSpPr>
      <xdr:spPr>
        <a:xfrm>
          <a:off x="8322447" y="4906697"/>
          <a:ext cx="324000" cy="252000"/>
        </a:xfrm>
        <a:prstGeom prst="leftArrow">
          <a:avLst/>
        </a:prstGeom>
        <a:solidFill>
          <a:srgbClr val="FFFF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6</xdr:col>
      <xdr:colOff>198813</xdr:colOff>
      <xdr:row>22</xdr:row>
      <xdr:rowOff>76200</xdr:rowOff>
    </xdr:from>
    <xdr:to>
      <xdr:col>7</xdr:col>
      <xdr:colOff>0</xdr:colOff>
      <xdr:row>26</xdr:row>
      <xdr:rowOff>165100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3EFCF2C9-3107-4F3A-B958-F7F400265233}"/>
            </a:ext>
          </a:extLst>
        </xdr:cNvPr>
        <xdr:cNvGrpSpPr/>
      </xdr:nvGrpSpPr>
      <xdr:grpSpPr>
        <a:xfrm>
          <a:off x="6885363" y="4391025"/>
          <a:ext cx="1315662" cy="850900"/>
          <a:chOff x="6504363" y="5238750"/>
          <a:chExt cx="1315662" cy="850900"/>
        </a:xfrm>
      </xdr:grpSpPr>
      <xdr:cxnSp macro="">
        <xdr:nvCxnSpPr>
          <xdr:cNvPr id="161" name="Straight Arrow Connector 160">
            <a:extLst>
              <a:ext uri="{FF2B5EF4-FFF2-40B4-BE49-F238E27FC236}">
                <a16:creationId xmlns:a16="http://schemas.microsoft.com/office/drawing/2014/main" id="{14E3D7F6-DAC9-499A-B079-502BAEDE5674}"/>
              </a:ext>
            </a:extLst>
          </xdr:cNvPr>
          <xdr:cNvCxnSpPr/>
        </xdr:nvCxnSpPr>
        <xdr:spPr>
          <a:xfrm>
            <a:off x="7058024" y="5502275"/>
            <a:ext cx="762000" cy="0"/>
          </a:xfrm>
          <a:prstGeom prst="straightConnector1">
            <a:avLst/>
          </a:prstGeom>
          <a:ln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2" name="Straight Arrow Connector 161">
            <a:extLst>
              <a:ext uri="{FF2B5EF4-FFF2-40B4-BE49-F238E27FC236}">
                <a16:creationId xmlns:a16="http://schemas.microsoft.com/office/drawing/2014/main" id="{66B09595-DE3C-41B0-8EA4-E666F255757E}"/>
              </a:ext>
            </a:extLst>
          </xdr:cNvPr>
          <xdr:cNvCxnSpPr/>
        </xdr:nvCxnSpPr>
        <xdr:spPr>
          <a:xfrm>
            <a:off x="6981824" y="5581650"/>
            <a:ext cx="0" cy="508000"/>
          </a:xfrm>
          <a:prstGeom prst="straightConnector1">
            <a:avLst/>
          </a:prstGeom>
          <a:ln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63" name="TextBox 162">
            <a:extLst>
              <a:ext uri="{FF2B5EF4-FFF2-40B4-BE49-F238E27FC236}">
                <a16:creationId xmlns:a16="http://schemas.microsoft.com/office/drawing/2014/main" id="{AF592BC9-0607-47C5-9058-5B6505AC9F88}"/>
              </a:ext>
            </a:extLst>
          </xdr:cNvPr>
          <xdr:cNvSpPr txBox="1"/>
        </xdr:nvSpPr>
        <xdr:spPr>
          <a:xfrm>
            <a:off x="6504363" y="5695950"/>
            <a:ext cx="369677" cy="2095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  <a:effectLst>
            <a:outerShdw dist="12700" dir="2700000" algn="tl" rotWithShape="0">
              <a:schemeClr val="tx1">
                <a:lumMod val="50000"/>
                <a:lumOff val="50000"/>
                <a:alpha val="40000"/>
              </a:scheme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/>
          <a:lstStyle/>
          <a:p>
            <a:pPr algn="ctr"/>
            <a:r>
              <a:rPr lang="tr-TR" sz="1000"/>
              <a:t>4</a:t>
            </a:r>
            <a:endParaRPr lang="en-US" sz="1000"/>
          </a:p>
        </xdr:txBody>
      </xdr:sp>
      <xdr:sp macro="" textlink="">
        <xdr:nvSpPr>
          <xdr:cNvPr id="164" name="TextBox 163">
            <a:extLst>
              <a:ext uri="{FF2B5EF4-FFF2-40B4-BE49-F238E27FC236}">
                <a16:creationId xmlns:a16="http://schemas.microsoft.com/office/drawing/2014/main" id="{AAA20B99-9605-47B3-A562-5ABE4011A9AA}"/>
              </a:ext>
            </a:extLst>
          </xdr:cNvPr>
          <xdr:cNvSpPr txBox="1"/>
        </xdr:nvSpPr>
        <xdr:spPr>
          <a:xfrm>
            <a:off x="7251900" y="5238750"/>
            <a:ext cx="318333" cy="2095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  <a:effectLst>
            <a:outerShdw dist="12700" dir="2700000" algn="tl" rotWithShape="0">
              <a:schemeClr val="tx1">
                <a:lumMod val="50000"/>
                <a:lumOff val="50000"/>
                <a:alpha val="40000"/>
              </a:scheme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/>
          <a:lstStyle/>
          <a:p>
            <a:pPr algn="ctr"/>
            <a:r>
              <a:rPr lang="tr-TR" sz="1000"/>
              <a:t>6</a:t>
            </a:r>
            <a:endParaRPr lang="en-US" sz="1000"/>
          </a:p>
        </xdr:txBody>
      </xdr:sp>
      <xdr:sp macro="" textlink="">
        <xdr:nvSpPr>
          <xdr:cNvPr id="24" name="Event_1">
            <a:extLst>
              <a:ext uri="{FF2B5EF4-FFF2-40B4-BE49-F238E27FC236}">
                <a16:creationId xmlns:a16="http://schemas.microsoft.com/office/drawing/2014/main" id="{95268267-0591-4312-BEF8-E24B0D55BCD3}"/>
              </a:ext>
            </a:extLst>
          </xdr:cNvPr>
          <xdr:cNvSpPr/>
        </xdr:nvSpPr>
        <xdr:spPr>
          <a:xfrm>
            <a:off x="7058025" y="5581650"/>
            <a:ext cx="762000" cy="508000"/>
          </a:xfrm>
          <a:prstGeom prst="roundRect">
            <a:avLst/>
          </a:prstGeom>
          <a:solidFill>
            <a:schemeClr val="accent4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t"/>
          <a:lstStyle/>
          <a:p>
            <a:pPr marL="0" indent="0" algn="l"/>
            <a:endParaRPr lang="en-US" sz="1100">
              <a:solidFill>
                <a:schemeClr val="lt1"/>
              </a:solidFill>
              <a:latin typeface="Arial"/>
              <a:ea typeface="+mn-ea"/>
              <a:cs typeface="Arial"/>
            </a:endParaRPr>
          </a:p>
        </xdr:txBody>
      </xdr:sp>
    </xdr:grpSp>
    <xdr:clientData fPrintsWithSheet="0"/>
  </xdr:twoCellAnchor>
  <xdr:twoCellAnchor editAs="oneCell">
    <xdr:from>
      <xdr:col>7</xdr:col>
      <xdr:colOff>38100</xdr:colOff>
      <xdr:row>19</xdr:row>
      <xdr:rowOff>57150</xdr:rowOff>
    </xdr:from>
    <xdr:to>
      <xdr:col>7</xdr:col>
      <xdr:colOff>1298100</xdr:colOff>
      <xdr:row>21</xdr:row>
      <xdr:rowOff>36150</xdr:rowOff>
    </xdr:to>
    <xdr:grpSp>
      <xdr:nvGrpSpPr>
        <xdr:cNvPr id="3" name="Group 2">
          <a:hlinkClick xmlns:r="http://schemas.openxmlformats.org/officeDocument/2006/relationships" r:id="rId5" tooltip="Go to:"/>
          <a:extLst>
            <a:ext uri="{FF2B5EF4-FFF2-40B4-BE49-F238E27FC236}">
              <a16:creationId xmlns:a16="http://schemas.microsoft.com/office/drawing/2014/main" id="{DAA294EA-CFDB-4C23-BA51-1E961D29274A}"/>
            </a:ext>
          </a:extLst>
        </xdr:cNvPr>
        <xdr:cNvGrpSpPr/>
      </xdr:nvGrpSpPr>
      <xdr:grpSpPr>
        <a:xfrm>
          <a:off x="8239125" y="3800475"/>
          <a:ext cx="1260000" cy="360000"/>
          <a:chOff x="6848475" y="4524375"/>
          <a:chExt cx="1260000" cy="360000"/>
        </a:xfrm>
      </xdr:grpSpPr>
      <xdr:sp macro="" textlink="">
        <xdr:nvSpPr>
          <xdr:cNvPr id="20" name="Rectangle: Rounded Corners 19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EDCAF003-A6F1-4B26-B4F3-3EF3DEFFC6A6}"/>
              </a:ext>
            </a:extLst>
          </xdr:cNvPr>
          <xdr:cNvSpPr/>
        </xdr:nvSpPr>
        <xdr:spPr>
          <a:xfrm>
            <a:off x="6848475" y="4524375"/>
            <a:ext cx="1260000" cy="360000"/>
          </a:xfrm>
          <a:prstGeom prst="roundRect">
            <a:avLst/>
          </a:prstGeom>
          <a:solidFill>
            <a:srgbClr val="FFC000"/>
          </a:solidFill>
          <a:ln w="19050">
            <a:solidFill>
              <a:schemeClr val="bg1"/>
            </a:solidFill>
          </a:ln>
          <a:effectLst>
            <a:outerShdw blurRad="25400" algn="ctr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6"/>
          </a:lnRef>
          <a:fillRef idx="3">
            <a:schemeClr val="accent6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180000" algn="ctr"/>
            <a:r>
              <a:rPr lang="tr-TR" sz="1000" b="1"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/>
              </a:rPr>
              <a:t>GO</a:t>
            </a:r>
            <a:r>
              <a:rPr lang="tr-TR" sz="1000" b="1" baseline="0"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/>
              </a:rPr>
              <a:t> TO</a:t>
            </a:r>
          </a:p>
          <a:p>
            <a:pPr marL="180000" algn="ctr"/>
            <a:r>
              <a:rPr lang="tr-TR" sz="1000" b="1"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/>
              </a:rPr>
              <a:t>ICONS LIST</a:t>
            </a:r>
            <a:endParaRPr lang="en-US" sz="10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</a:endParaRPr>
          </a:p>
        </xdr:txBody>
      </xdr:sp>
      <xdr:pic>
        <xdr:nvPicPr>
          <xdr:cNvPr id="12" name="Picture 11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53C1EFCB-8166-45C2-B77E-557D5E47B1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flipH="1">
            <a:off x="6997853" y="4596375"/>
            <a:ext cx="216000" cy="216000"/>
          </a:xfrm>
          <a:prstGeom prst="rect">
            <a:avLst/>
          </a:prstGeom>
        </xdr:spPr>
      </xdr:pic>
    </xdr:grpSp>
    <xdr:clientData/>
  </xdr:twoCellAnchor>
  <xdr:twoCellAnchor editAs="oneCell">
    <xdr:from>
      <xdr:col>6</xdr:col>
      <xdr:colOff>161925</xdr:colOff>
      <xdr:row>19</xdr:row>
      <xdr:rowOff>57150</xdr:rowOff>
    </xdr:from>
    <xdr:to>
      <xdr:col>6</xdr:col>
      <xdr:colOff>1421925</xdr:colOff>
      <xdr:row>21</xdr:row>
      <xdr:rowOff>36150</xdr:rowOff>
    </xdr:to>
    <xdr:grpSp>
      <xdr:nvGrpSpPr>
        <xdr:cNvPr id="2" name="Group 1">
          <a:hlinkClick xmlns:r="http://schemas.openxmlformats.org/officeDocument/2006/relationships" r:id="rId7" tooltip="Go to:"/>
          <a:extLst>
            <a:ext uri="{FF2B5EF4-FFF2-40B4-BE49-F238E27FC236}">
              <a16:creationId xmlns:a16="http://schemas.microsoft.com/office/drawing/2014/main" id="{1299286A-FE9F-410B-8261-FC7E3C204179}"/>
            </a:ext>
          </a:extLst>
        </xdr:cNvPr>
        <xdr:cNvGrpSpPr/>
      </xdr:nvGrpSpPr>
      <xdr:grpSpPr>
        <a:xfrm>
          <a:off x="6848475" y="3800475"/>
          <a:ext cx="1260000" cy="360000"/>
          <a:chOff x="6848475" y="3905250"/>
          <a:chExt cx="1260000" cy="360000"/>
        </a:xfrm>
      </xdr:grpSpPr>
      <xdr:sp macro="" textlink="">
        <xdr:nvSpPr>
          <xdr:cNvPr id="19" name="Rectangle: Rounded Corners 18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C5214615-53DD-4F1D-8CF8-12F8D610F02A}"/>
              </a:ext>
            </a:extLst>
          </xdr:cNvPr>
          <xdr:cNvSpPr/>
        </xdr:nvSpPr>
        <xdr:spPr>
          <a:xfrm>
            <a:off x="6848475" y="3905250"/>
            <a:ext cx="1260000" cy="360000"/>
          </a:xfrm>
          <a:prstGeom prst="roundRect">
            <a:avLst/>
          </a:prstGeom>
          <a:solidFill>
            <a:srgbClr val="FFC000"/>
          </a:solidFill>
          <a:ln w="19050">
            <a:solidFill>
              <a:schemeClr val="bg1"/>
            </a:solidFill>
          </a:ln>
          <a:effectLst>
            <a:outerShdw blurRad="25400" algn="ctr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6"/>
          </a:lnRef>
          <a:fillRef idx="3">
            <a:schemeClr val="accent6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180000" algn="ctr"/>
            <a:r>
              <a:rPr lang="tr-TR" sz="1000" b="1"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/>
              </a:rPr>
              <a:t>GO TO</a:t>
            </a:r>
            <a:r>
              <a:rPr lang="tr-TR" sz="1000" b="1" baseline="0"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/>
              </a:rPr>
              <a:t> </a:t>
            </a:r>
          </a:p>
          <a:p>
            <a:pPr marL="180000" algn="ctr"/>
            <a:r>
              <a:rPr lang="tr-TR" sz="1000" b="1"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/>
              </a:rPr>
              <a:t>TIMELINE</a:t>
            </a:r>
            <a:endParaRPr lang="en-US" sz="10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</a:endParaRPr>
          </a:p>
        </xdr:txBody>
      </xdr:sp>
      <xdr:pic>
        <xdr:nvPicPr>
          <xdr:cNvPr id="29" name="Picture 28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B6E8DB9F-9D3C-43F9-81D3-7686A74F74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flipH="1">
            <a:off x="6997853" y="3977250"/>
            <a:ext cx="216000" cy="216000"/>
          </a:xfrm>
          <a:prstGeom prst="rect">
            <a:avLst/>
          </a:prstGeom>
        </xdr:spPr>
      </xdr:pic>
    </xdr:grpSp>
    <xdr:clientData/>
  </xdr:twoCellAnchor>
  <xdr:twoCellAnchor editAs="oneCell">
    <xdr:from>
      <xdr:col>6</xdr:col>
      <xdr:colOff>161925</xdr:colOff>
      <xdr:row>16</xdr:row>
      <xdr:rowOff>152400</xdr:rowOff>
    </xdr:from>
    <xdr:to>
      <xdr:col>7</xdr:col>
      <xdr:colOff>159450</xdr:colOff>
      <xdr:row>18</xdr:row>
      <xdr:rowOff>131400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C996BBA1-BFB6-499E-831E-2A0C880F5D6B}"/>
            </a:ext>
          </a:extLst>
        </xdr:cNvPr>
        <xdr:cNvGrpSpPr/>
      </xdr:nvGrpSpPr>
      <xdr:grpSpPr>
        <a:xfrm>
          <a:off x="6848475" y="3324225"/>
          <a:ext cx="1512000" cy="360000"/>
          <a:chOff x="6844464" y="3330241"/>
          <a:chExt cx="1511499" cy="360000"/>
        </a:xfrm>
      </xdr:grpSpPr>
      <xdr:sp macro="[0]!drawTimeLine" textlink="">
        <xdr:nvSpPr>
          <xdr:cNvPr id="165" name="Rectangle: Rounded Corners 164">
            <a:extLst>
              <a:ext uri="{FF2B5EF4-FFF2-40B4-BE49-F238E27FC236}">
                <a16:creationId xmlns:a16="http://schemas.microsoft.com/office/drawing/2014/main" id="{FF186CB5-6EF2-4DFD-9830-0D5C1B029DD9}"/>
              </a:ext>
            </a:extLst>
          </xdr:cNvPr>
          <xdr:cNvSpPr/>
        </xdr:nvSpPr>
        <xdr:spPr>
          <a:xfrm>
            <a:off x="6844464" y="3330241"/>
            <a:ext cx="1511499" cy="360000"/>
          </a:xfrm>
          <a:prstGeom prst="roundRect">
            <a:avLst/>
          </a:prstGeom>
          <a:solidFill>
            <a:srgbClr val="C00000"/>
          </a:solidFill>
          <a:ln w="28575">
            <a:solidFill>
              <a:schemeClr val="bg1"/>
            </a:solidFill>
          </a:ln>
          <a:effectLst>
            <a:outerShdw blurRad="25400" algn="ctr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6"/>
          </a:lnRef>
          <a:fillRef idx="3">
            <a:schemeClr val="accent6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180000" algn="ctr"/>
            <a:r>
              <a:rPr lang="tr-TR" sz="1100" b="1"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/>
              </a:rPr>
              <a:t>DRAW TIMELINE</a:t>
            </a:r>
            <a:endParaRPr lang="en-US" sz="11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</a:endParaRPr>
          </a:p>
        </xdr:txBody>
      </xdr:sp>
      <xdr:pic macro="[0]!drawTimeLine">
        <xdr:nvPicPr>
          <xdr:cNvPr id="27" name="Picture 26">
            <a:extLst>
              <a:ext uri="{FF2B5EF4-FFF2-40B4-BE49-F238E27FC236}">
                <a16:creationId xmlns:a16="http://schemas.microsoft.com/office/drawing/2014/main" id="{4AFD5356-E0B9-4A07-A189-40AB355A50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916723" y="3374191"/>
            <a:ext cx="252000" cy="252000"/>
          </a:xfrm>
          <a:prstGeom prst="rect">
            <a:avLst/>
          </a:prstGeom>
        </xdr:spPr>
      </xdr:pic>
    </xdr:grpSp>
    <xdr:clientData/>
  </xdr:twoCellAnchor>
  <xdr:twoCellAnchor editAs="oneCell">
    <xdr:from>
      <xdr:col>7</xdr:col>
      <xdr:colOff>326100</xdr:colOff>
      <xdr:row>16</xdr:row>
      <xdr:rowOff>152400</xdr:rowOff>
    </xdr:from>
    <xdr:to>
      <xdr:col>7</xdr:col>
      <xdr:colOff>1298100</xdr:colOff>
      <xdr:row>18</xdr:row>
      <xdr:rowOff>131400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6282EB99-080B-4C5E-891A-B9A622221329}"/>
            </a:ext>
          </a:extLst>
        </xdr:cNvPr>
        <xdr:cNvGrpSpPr/>
      </xdr:nvGrpSpPr>
      <xdr:grpSpPr>
        <a:xfrm>
          <a:off x="8527125" y="3324225"/>
          <a:ext cx="972000" cy="360000"/>
          <a:chOff x="8499213" y="3330241"/>
          <a:chExt cx="972000" cy="360000"/>
        </a:xfrm>
      </xdr:grpSpPr>
      <xdr:sp macro="[0]!clearTable" textlink="">
        <xdr:nvSpPr>
          <xdr:cNvPr id="25" name="Rectangle: Rounded Corners 24">
            <a:extLst>
              <a:ext uri="{FF2B5EF4-FFF2-40B4-BE49-F238E27FC236}">
                <a16:creationId xmlns:a16="http://schemas.microsoft.com/office/drawing/2014/main" id="{BD0E9D6C-8840-46B1-885C-4663D0F47CD4}"/>
              </a:ext>
            </a:extLst>
          </xdr:cNvPr>
          <xdr:cNvSpPr/>
        </xdr:nvSpPr>
        <xdr:spPr>
          <a:xfrm>
            <a:off x="8499213" y="3330241"/>
            <a:ext cx="972000" cy="360000"/>
          </a:xfrm>
          <a:prstGeom prst="roundRect">
            <a:avLst/>
          </a:prstGeom>
          <a:solidFill>
            <a:srgbClr val="2E86AB"/>
          </a:solidFill>
          <a:ln w="19050">
            <a:solidFill>
              <a:schemeClr val="bg1"/>
            </a:solidFill>
          </a:ln>
          <a:effectLst>
            <a:outerShdw blurRad="25400" algn="ctr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6"/>
          </a:lnRef>
          <a:fillRef idx="3">
            <a:schemeClr val="accent6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180000" algn="ctr"/>
            <a:r>
              <a:rPr lang="tr-TR" sz="1000" b="1"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/>
              </a:rPr>
              <a:t>CLEAR</a:t>
            </a:r>
          </a:p>
          <a:p>
            <a:pPr marL="180000" algn="ctr"/>
            <a:r>
              <a:rPr lang="tr-TR" sz="1000" b="1">
                <a:effectLst>
                  <a:outerShdw blurRad="50800" dist="38100" dir="8100000" algn="tr" rotWithShape="0">
                    <a:prstClr val="black">
                      <a:alpha val="40000"/>
                    </a:prstClr>
                  </a:outerShdw>
                </a:effectLst>
                <a:latin typeface="Arial"/>
              </a:rPr>
              <a:t>TABLE</a:t>
            </a:r>
            <a:endParaRPr lang="en-US" sz="10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</a:endParaRPr>
          </a:p>
        </xdr:txBody>
      </xdr:sp>
      <xdr:pic macro="[0]!clearTable">
        <xdr:nvPicPr>
          <xdr:cNvPr id="32" name="Picture 31">
            <a:extLst>
              <a:ext uri="{FF2B5EF4-FFF2-40B4-BE49-F238E27FC236}">
                <a16:creationId xmlns:a16="http://schemas.microsoft.com/office/drawing/2014/main" id="{6B9BC381-4E24-4C94-A0B3-C2437B62A7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609700" y="3392191"/>
            <a:ext cx="216000" cy="216000"/>
          </a:xfrm>
          <a:prstGeom prst="rect">
            <a:avLst/>
          </a:prstGeom>
        </xdr:spPr>
      </xdr:pic>
    </xdr:grpSp>
    <xdr:clientData/>
  </xdr:twoCellAnchor>
  <xdr:twoCellAnchor editAs="oneCell">
    <xdr:from>
      <xdr:col>5</xdr:col>
      <xdr:colOff>171450</xdr:colOff>
      <xdr:row>1</xdr:row>
      <xdr:rowOff>28575</xdr:rowOff>
    </xdr:from>
    <xdr:to>
      <xdr:col>6</xdr:col>
      <xdr:colOff>1406909</xdr:colOff>
      <xdr:row>2</xdr:row>
      <xdr:rowOff>292018</xdr:rowOff>
    </xdr:to>
    <xdr:sp macro="" textlink="">
      <xdr:nvSpPr>
        <xdr:cNvPr id="26" name="headerinfobox">
          <a:extLst>
            <a:ext uri="{FF2B5EF4-FFF2-40B4-BE49-F238E27FC236}">
              <a16:creationId xmlns:a16="http://schemas.microsoft.com/office/drawing/2014/main" id="{FD1F9A7D-EBBC-4FD2-BA3E-BB762462E91B}"/>
            </a:ext>
          </a:extLst>
        </xdr:cNvPr>
        <xdr:cNvSpPr txBox="1"/>
      </xdr:nvSpPr>
      <xdr:spPr>
        <a:xfrm>
          <a:off x="6477000" y="114300"/>
          <a:ext cx="1616459" cy="5110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6000" tIns="36000" rIns="36000" bIns="36000" rtlCol="0" anchor="t">
          <a:spAutoFit/>
        </a:bodyPr>
        <a:lstStyle/>
        <a:p>
          <a:pPr algn="r"/>
          <a:r>
            <a:rPr lang="tr-TR" sz="1050">
              <a:solidFill>
                <a:schemeClr val="bg1">
                  <a:lumMod val="95000"/>
                </a:schemeClr>
              </a:solidFill>
            </a:rPr>
            <a:t>For more templates, </a:t>
          </a:r>
          <a:r>
            <a:rPr lang="tr-TR" sz="1050" b="1">
              <a:solidFill>
                <a:schemeClr val="bg1">
                  <a:lumMod val="95000"/>
                </a:schemeClr>
              </a:solidFill>
            </a:rPr>
            <a:t>click →</a:t>
          </a:r>
        </a:p>
        <a:p>
          <a:pPr algn="r"/>
          <a:endParaRPr lang="tr-TR" sz="600">
            <a:solidFill>
              <a:schemeClr val="bg1">
                <a:lumMod val="95000"/>
              </a:schemeClr>
            </a:solidFill>
          </a:endParaRPr>
        </a:p>
        <a:p>
          <a:pPr algn="r"/>
          <a:r>
            <a:rPr lang="tr-TR" sz="1050" i="1">
              <a:solidFill>
                <a:schemeClr val="bg1">
                  <a:lumMod val="95000"/>
                </a:schemeClr>
              </a:solidFill>
            </a:rPr>
            <a:t/>
          </a:r>
        </a:p>
      </xdr:txBody>
    </xdr:sp>
    <xdr:clientData fPrintsWithSheet="0"/>
  </xdr:twoCellAnchor>
  <xdr:oneCellAnchor>
    <xdr:from>
      <xdr:col>7</xdr:col>
      <xdr:colOff>17929</xdr:colOff>
      <xdr:row>1</xdr:row>
      <xdr:rowOff>47625</xdr:rowOff>
    </xdr:from>
    <xdr:ext cx="1325166" cy="381000"/>
    <xdr:pic>
      <xdr:nvPicPr>
        <xdr:cNvPr id="1165" name="mpkLogo">
          <a:hlinkClick xmlns:a="http://schemas.openxmlformats.org/drawingml/2006/main" xmlns:r="http://schemas.openxmlformats.org/officeDocument/2006/relationships" r:id="rId14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3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0</xdr:colOff>
      <xdr:row>15</xdr:row>
      <xdr:rowOff>0</xdr:rowOff>
    </xdr:from>
    <xdr:to>
      <xdr:col>37</xdr:col>
      <xdr:colOff>0</xdr:colOff>
      <xdr:row>17</xdr:row>
      <xdr:rowOff>127000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72F435A1-603A-4D05-A280-73B5B240862D}"/>
            </a:ext>
          </a:extLst>
        </xdr:cNvPr>
        <xdr:cNvCxnSpPr>
          <a:stCxn id="17" idx="4"/>
          <a:endCxn id="34" idx="0"/>
        </xdr:cNvCxnSpPr>
      </xdr:nvCxnSpPr>
      <xdr:spPr>
        <a:xfrm>
          <a:off x="7105650" y="2657475"/>
          <a:ext cx="0" cy="508000"/>
        </a:xfrm>
        <a:prstGeom prst="straightConnector1">
          <a:avLst/>
        </a:prstGeom>
        <a:ln w="38100" cap="flat" cmpd="sng" algn="ctr">
          <a:solidFill>
            <a:srgbClr val="2E86AB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43</xdr:col>
      <xdr:colOff>0</xdr:colOff>
      <xdr:row>7</xdr:row>
      <xdr:rowOff>63500</xdr:rowOff>
    </xdr:from>
    <xdr:to>
      <xdr:col>43</xdr:col>
      <xdr:colOff>0</xdr:colOff>
      <xdr:row>11</xdr:row>
      <xdr:rowOff>0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53A01118-0713-4FA4-A190-AF87D1C2B664}"/>
            </a:ext>
          </a:extLst>
        </xdr:cNvPr>
        <xdr:cNvCxnSpPr>
          <a:stCxn id="31" idx="0"/>
          <a:endCxn id="19" idx="0"/>
        </xdr:cNvCxnSpPr>
      </xdr:nvCxnSpPr>
      <xdr:spPr>
        <a:xfrm>
          <a:off x="8248650" y="1196975"/>
          <a:ext cx="0" cy="698500"/>
        </a:xfrm>
        <a:prstGeom prst="straightConnector1">
          <a:avLst/>
        </a:prstGeom>
        <a:ln w="38100" cap="flat" cmpd="sng" algn="ctr">
          <a:solidFill>
            <a:srgbClr val="D9E9F2"/>
          </a:solidFill>
          <a:prstDash val="sysDot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31</xdr:col>
      <xdr:colOff>0</xdr:colOff>
      <xdr:row>7</xdr:row>
      <xdr:rowOff>63500</xdr:rowOff>
    </xdr:from>
    <xdr:to>
      <xdr:col>31</xdr:col>
      <xdr:colOff>0</xdr:colOff>
      <xdr:row>11</xdr:row>
      <xdr:rowOff>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EF991717-5602-49F6-995D-37FD23667E21}"/>
            </a:ext>
          </a:extLst>
        </xdr:cNvPr>
        <xdr:cNvCxnSpPr>
          <a:stCxn id="31" idx="2"/>
          <a:endCxn id="15" idx="0"/>
        </xdr:cNvCxnSpPr>
      </xdr:nvCxnSpPr>
      <xdr:spPr>
        <a:xfrm>
          <a:off x="5962650" y="1196975"/>
          <a:ext cx="0" cy="698500"/>
        </a:xfrm>
        <a:prstGeom prst="straightConnector1">
          <a:avLst/>
        </a:prstGeom>
        <a:ln w="38100" cap="flat" cmpd="sng" algn="ctr">
          <a:solidFill>
            <a:srgbClr val="D9E9F2"/>
          </a:solidFill>
          <a:prstDash val="sysDot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31</xdr:col>
      <xdr:colOff>0</xdr:colOff>
      <xdr:row>15</xdr:row>
      <xdr:rowOff>0</xdr:rowOff>
    </xdr:from>
    <xdr:to>
      <xdr:col>31</xdr:col>
      <xdr:colOff>0</xdr:colOff>
      <xdr:row>17</xdr:row>
      <xdr:rowOff>127000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D54C9977-5D58-4839-969B-960DD61BBD9B}"/>
            </a:ext>
          </a:extLst>
        </xdr:cNvPr>
        <xdr:cNvCxnSpPr>
          <a:stCxn id="15" idx="4"/>
          <a:endCxn id="29" idx="0"/>
        </xdr:cNvCxnSpPr>
      </xdr:nvCxnSpPr>
      <xdr:spPr>
        <a:xfrm>
          <a:off x="5962650" y="2657475"/>
          <a:ext cx="0" cy="508000"/>
        </a:xfrm>
        <a:prstGeom prst="straightConnector1">
          <a:avLst/>
        </a:prstGeom>
        <a:ln w="38100" cap="flat" cmpd="sng" algn="ctr">
          <a:solidFill>
            <a:srgbClr val="2E86AB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25</xdr:col>
      <xdr:colOff>0</xdr:colOff>
      <xdr:row>8</xdr:row>
      <xdr:rowOff>63500</xdr:rowOff>
    </xdr:from>
    <xdr:to>
      <xdr:col>25</xdr:col>
      <xdr:colOff>0</xdr:colOff>
      <xdr:row>11</xdr:row>
      <xdr:rowOff>0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2064A8CC-5C3E-4D7A-8622-634136F48BFF}"/>
            </a:ext>
          </a:extLst>
        </xdr:cNvPr>
        <xdr:cNvCxnSpPr>
          <a:stCxn id="13" idx="0"/>
          <a:endCxn id="27" idx="2"/>
        </xdr:cNvCxnSpPr>
      </xdr:nvCxnSpPr>
      <xdr:spPr>
        <a:xfrm flipV="1">
          <a:off x="4819650" y="1387475"/>
          <a:ext cx="0" cy="508000"/>
        </a:xfrm>
        <a:prstGeom prst="straightConnector1">
          <a:avLst/>
        </a:prstGeom>
        <a:ln w="38100" cap="flat" cmpd="sng" algn="ctr">
          <a:solidFill>
            <a:srgbClr val="2E86AB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19</xdr:col>
      <xdr:colOff>0</xdr:colOff>
      <xdr:row>15</xdr:row>
      <xdr:rowOff>0</xdr:rowOff>
    </xdr:from>
    <xdr:to>
      <xdr:col>19</xdr:col>
      <xdr:colOff>0</xdr:colOff>
      <xdr:row>17</xdr:row>
      <xdr:rowOff>127000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5273F20E-3DF3-4277-92F3-A54E0D881A72}"/>
            </a:ext>
          </a:extLst>
        </xdr:cNvPr>
        <xdr:cNvCxnSpPr>
          <a:stCxn id="11" idx="4"/>
          <a:endCxn id="25" idx="0"/>
        </xdr:cNvCxnSpPr>
      </xdr:nvCxnSpPr>
      <xdr:spPr>
        <a:xfrm>
          <a:off x="3676650" y="2657475"/>
          <a:ext cx="0" cy="508000"/>
        </a:xfrm>
        <a:prstGeom prst="straightConnector1">
          <a:avLst/>
        </a:prstGeom>
        <a:ln w="38100" cap="flat" cmpd="sng" algn="ctr">
          <a:solidFill>
            <a:srgbClr val="2E86AB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13</xdr:col>
      <xdr:colOff>0</xdr:colOff>
      <xdr:row>8</xdr:row>
      <xdr:rowOff>63500</xdr:rowOff>
    </xdr:from>
    <xdr:to>
      <xdr:col>13</xdr:col>
      <xdr:colOff>0</xdr:colOff>
      <xdr:row>11</xdr:row>
      <xdr:rowOff>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69E2F370-01A1-4F53-86B6-03261D57BD0C}"/>
            </a:ext>
          </a:extLst>
        </xdr:cNvPr>
        <xdr:cNvCxnSpPr>
          <a:stCxn id="7" idx="0"/>
          <a:endCxn id="23" idx="2"/>
        </xdr:cNvCxnSpPr>
      </xdr:nvCxnSpPr>
      <xdr:spPr>
        <a:xfrm flipV="1">
          <a:off x="2533650" y="1387475"/>
          <a:ext cx="0" cy="508000"/>
        </a:xfrm>
        <a:prstGeom prst="straightConnector1">
          <a:avLst/>
        </a:prstGeom>
        <a:ln w="38100" cap="flat" cmpd="sng" algn="ctr">
          <a:solidFill>
            <a:srgbClr val="2E86AB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0</xdr:colOff>
      <xdr:row>17</xdr:row>
      <xdr:rowOff>127000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731A17BB-FE9B-47FE-94EE-9C67E3D3338B}"/>
            </a:ext>
          </a:extLst>
        </xdr:cNvPr>
        <xdr:cNvCxnSpPr>
          <a:stCxn id="5" idx="4"/>
          <a:endCxn id="21" idx="0"/>
        </xdr:cNvCxnSpPr>
      </xdr:nvCxnSpPr>
      <xdr:spPr>
        <a:xfrm>
          <a:off x="1390650" y="2657475"/>
          <a:ext cx="0" cy="508000"/>
        </a:xfrm>
        <a:prstGeom prst="straightConnector1">
          <a:avLst/>
        </a:prstGeom>
        <a:ln w="38100" cap="flat" cmpd="sng" algn="ctr">
          <a:solidFill>
            <a:srgbClr val="2E86AB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39</xdr:col>
      <xdr:colOff>0</xdr:colOff>
      <xdr:row>13</xdr:row>
      <xdr:rowOff>0</xdr:rowOff>
    </xdr:from>
    <xdr:to>
      <xdr:col>41</xdr:col>
      <xdr:colOff>0</xdr:colOff>
      <xdr:row>13</xdr:row>
      <xdr:rowOff>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45F3C82B-E53C-485D-A7EB-B7233846328A}"/>
            </a:ext>
          </a:extLst>
        </xdr:cNvPr>
        <xdr:cNvCxnSpPr>
          <a:stCxn id="17" idx="6"/>
          <a:endCxn id="19" idx="2"/>
        </xdr:cNvCxnSpPr>
      </xdr:nvCxnSpPr>
      <xdr:spPr>
        <a:xfrm>
          <a:off x="7486650" y="2276475"/>
          <a:ext cx="381000" cy="0"/>
        </a:xfrm>
        <a:prstGeom prst="straightConnector1">
          <a:avLst/>
        </a:prstGeom>
        <a:ln w="38100" cap="flat" cmpd="sng" algn="ctr">
          <a:solidFill>
            <a:srgbClr val="2E86AB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33</xdr:col>
      <xdr:colOff>0</xdr:colOff>
      <xdr:row>13</xdr:row>
      <xdr:rowOff>0</xdr:rowOff>
    </xdr:from>
    <xdr:to>
      <xdr:col>35</xdr:col>
      <xdr:colOff>0</xdr:colOff>
      <xdr:row>13</xdr:row>
      <xdr:rowOff>0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D776C481-983B-4689-844A-09BDC87EF25C}"/>
            </a:ext>
          </a:extLst>
        </xdr:cNvPr>
        <xdr:cNvCxnSpPr>
          <a:stCxn id="15" idx="6"/>
          <a:endCxn id="17" idx="2"/>
        </xdr:cNvCxnSpPr>
      </xdr:nvCxnSpPr>
      <xdr:spPr>
        <a:xfrm>
          <a:off x="6343650" y="2276475"/>
          <a:ext cx="381000" cy="0"/>
        </a:xfrm>
        <a:prstGeom prst="straightConnector1">
          <a:avLst/>
        </a:prstGeom>
        <a:ln w="38100" cap="flat" cmpd="sng" algn="ctr">
          <a:solidFill>
            <a:srgbClr val="2E86AB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27</xdr:col>
      <xdr:colOff>0</xdr:colOff>
      <xdr:row>13</xdr:row>
      <xdr:rowOff>0</xdr:rowOff>
    </xdr:from>
    <xdr:to>
      <xdr:col>29</xdr:col>
      <xdr:colOff>0</xdr:colOff>
      <xdr:row>13</xdr:row>
      <xdr:rowOff>0</xdr:rowOff>
    </xdr:to>
    <xdr:cxnSp macro="">
      <xdr:nvCxnSpPr>
        <xdr:cNvPr id="16" name="Straight Arrow Connector 15">
          <a:extLst>
            <a:ext uri="{FF2B5EF4-FFF2-40B4-BE49-F238E27FC236}">
              <a16:creationId xmlns:a16="http://schemas.microsoft.com/office/drawing/2014/main" id="{B337634C-2291-46F1-9528-F79AE1A59E84}"/>
            </a:ext>
          </a:extLst>
        </xdr:cNvPr>
        <xdr:cNvCxnSpPr>
          <a:stCxn id="13" idx="6"/>
          <a:endCxn id="15" idx="2"/>
        </xdr:cNvCxnSpPr>
      </xdr:nvCxnSpPr>
      <xdr:spPr>
        <a:xfrm>
          <a:off x="5200650" y="2276475"/>
          <a:ext cx="381000" cy="0"/>
        </a:xfrm>
        <a:prstGeom prst="straightConnector1">
          <a:avLst/>
        </a:prstGeom>
        <a:ln w="38100" cap="flat" cmpd="sng" algn="ctr">
          <a:solidFill>
            <a:srgbClr val="2E86AB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21</xdr:col>
      <xdr:colOff>0</xdr:colOff>
      <xdr:row>13</xdr:row>
      <xdr:rowOff>0</xdr:rowOff>
    </xdr:from>
    <xdr:to>
      <xdr:col>23</xdr:col>
      <xdr:colOff>0</xdr:colOff>
      <xdr:row>13</xdr:row>
      <xdr:rowOff>0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59EF8EE3-7D4D-44EA-B5C3-CAFE4FC6988A}"/>
            </a:ext>
          </a:extLst>
        </xdr:cNvPr>
        <xdr:cNvCxnSpPr>
          <a:stCxn id="11" idx="6"/>
          <a:endCxn id="13" idx="2"/>
        </xdr:cNvCxnSpPr>
      </xdr:nvCxnSpPr>
      <xdr:spPr>
        <a:xfrm>
          <a:off x="4057650" y="2276475"/>
          <a:ext cx="381000" cy="0"/>
        </a:xfrm>
        <a:prstGeom prst="straightConnector1">
          <a:avLst/>
        </a:prstGeom>
        <a:ln w="38100" cap="flat" cmpd="sng" algn="ctr">
          <a:solidFill>
            <a:srgbClr val="2E86AB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15</xdr:col>
      <xdr:colOff>0</xdr:colOff>
      <xdr:row>13</xdr:row>
      <xdr:rowOff>0</xdr:rowOff>
    </xdr:from>
    <xdr:to>
      <xdr:col>17</xdr:col>
      <xdr:colOff>0</xdr:colOff>
      <xdr:row>13</xdr:row>
      <xdr:rowOff>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C9486219-1B70-45C8-B63F-0ED154B565E9}"/>
            </a:ext>
          </a:extLst>
        </xdr:cNvPr>
        <xdr:cNvCxnSpPr>
          <a:stCxn id="7" idx="6"/>
          <a:endCxn id="11" idx="2"/>
        </xdr:cNvCxnSpPr>
      </xdr:nvCxnSpPr>
      <xdr:spPr>
        <a:xfrm>
          <a:off x="2914650" y="2276475"/>
          <a:ext cx="381000" cy="0"/>
        </a:xfrm>
        <a:prstGeom prst="straightConnector1">
          <a:avLst/>
        </a:prstGeom>
        <a:ln w="38100" cap="flat" cmpd="sng" algn="ctr">
          <a:solidFill>
            <a:srgbClr val="2E86AB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9</xdr:col>
      <xdr:colOff>0</xdr:colOff>
      <xdr:row>13</xdr:row>
      <xdr:rowOff>0</xdr:rowOff>
    </xdr:from>
    <xdr:to>
      <xdr:col>11</xdr:col>
      <xdr:colOff>0</xdr:colOff>
      <xdr:row>13</xdr:row>
      <xdr:rowOff>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96699CC4-DF93-4152-A0E5-7BBC105AA337}"/>
            </a:ext>
          </a:extLst>
        </xdr:cNvPr>
        <xdr:cNvCxnSpPr>
          <a:stCxn id="5" idx="6"/>
          <a:endCxn id="7" idx="2"/>
        </xdr:cNvCxnSpPr>
      </xdr:nvCxnSpPr>
      <xdr:spPr>
        <a:xfrm>
          <a:off x="1771650" y="2276475"/>
          <a:ext cx="381000" cy="0"/>
        </a:xfrm>
        <a:prstGeom prst="straightConnector1">
          <a:avLst/>
        </a:prstGeom>
        <a:ln w="38100" cap="flat" cmpd="sng" algn="ctr">
          <a:solidFill>
            <a:srgbClr val="2E86AB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0</xdr:colOff>
      <xdr:row>1</xdr:row>
      <xdr:rowOff>47065</xdr:rowOff>
    </xdr:from>
    <xdr:to>
      <xdr:col>4</xdr:col>
      <xdr:colOff>51000</xdr:colOff>
      <xdr:row>2</xdr:row>
      <xdr:rowOff>231415</xdr:rowOff>
    </xdr:to>
    <xdr:pic>
      <xdr:nvPicPr>
        <xdr:cNvPr id="3827" name="mainicon">
          <a:extLst>
            <a:ext uri="{FF2B5EF4-FFF2-40B4-BE49-F238E27FC236}">
              <a16:creationId xmlns:a16="http://schemas.microsoft.com/office/drawing/2014/main" id="{1DB30528-EA21-4780-887C-95873DDA4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8150" y="132790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35</xdr:col>
      <xdr:colOff>25213</xdr:colOff>
      <xdr:row>1</xdr:row>
      <xdr:rowOff>28575</xdr:rowOff>
    </xdr:from>
    <xdr:to>
      <xdr:col>40</xdr:col>
      <xdr:colOff>158032</xdr:colOff>
      <xdr:row>2</xdr:row>
      <xdr:rowOff>258686</xdr:rowOff>
    </xdr:to>
    <xdr:grpSp>
      <xdr:nvGrpSpPr>
        <xdr:cNvPr id="3829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27E7AC93-0441-4881-A348-4BEF86739DA7}"/>
            </a:ext>
          </a:extLst>
        </xdr:cNvPr>
        <xdr:cNvGrpSpPr/>
      </xdr:nvGrpSpPr>
      <xdr:grpSpPr>
        <a:xfrm>
          <a:off x="6749863" y="114300"/>
          <a:ext cx="1085319" cy="477761"/>
          <a:chOff x="7332133" y="217525"/>
          <a:chExt cx="1131771" cy="451203"/>
        </a:xfrm>
      </xdr:grpSpPr>
      <xdr:sp macro="" textlink="">
        <xdr:nvSpPr>
          <xdr:cNvPr id="3830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6733B954-3654-44E2-8CC1-386B8715F743}"/>
              </a:ext>
            </a:extLst>
          </xdr:cNvPr>
          <xdr:cNvSpPr/>
        </xdr:nvSpPr>
        <xdr:spPr>
          <a:xfrm>
            <a:off x="7332133" y="222010"/>
            <a:ext cx="1116756" cy="446718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3831" name="Picture 3830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40515E56-0640-4D4A-AFA6-EE922C3CA048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388041" y="217525"/>
            <a:ext cx="496172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832" name="TextBox 3831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CDBE3B72-B3B5-4D8E-AFEB-703899A3DE64}"/>
              </a:ext>
            </a:extLst>
          </xdr:cNvPr>
          <xdr:cNvSpPr txBox="1"/>
        </xdr:nvSpPr>
        <xdr:spPr>
          <a:xfrm>
            <a:off x="7792377" y="255855"/>
            <a:ext cx="671527" cy="36819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36000" tIns="36000" rIns="36000" bIns="36000" rtlCol="0" anchor="ctr">
            <a:spAutoFit/>
          </a:bodyPr>
          <a:lstStyle/>
          <a:p>
            <a:pPr algn="ctr"/>
            <a:r>
              <a:rPr lang="tr-TR" sz="1000" b="1" i="1">
                <a:solidFill>
                  <a:srgbClr val="FFFFFF"/>
                </a:solidFill>
              </a:rPr>
              <a:t>Back</a:t>
            </a:r>
            <a:r>
              <a:rPr lang="tr-TR" sz="1000" b="1" i="1" baseline="0">
                <a:solidFill>
                  <a:srgbClr val="FFFFFF"/>
                </a:solidFill>
              </a:rPr>
              <a:t> to </a:t>
            </a:r>
          </a:p>
          <a:p>
            <a:pPr algn="ctr"/>
            <a:r>
              <a:rPr lang="tr-TR" sz="1000" b="1" i="1" baseline="0">
                <a:solidFill>
                  <a:srgbClr val="FFFFFF"/>
                </a:solidFill>
              </a:rPr>
              <a:t>Menu</a:t>
            </a:r>
            <a:endParaRPr lang="tr-TR" sz="1000" b="1" i="1"/>
          </a:p>
        </xdr:txBody>
      </xdr:sp>
    </xdr:grpSp>
    <xdr:clientData fPrintsWithSheet="0"/>
  </xdr:twoCellAnchor>
  <xdr:twoCellAnchor editAs="oneCell">
    <xdr:from>
      <xdr:col>15</xdr:col>
      <xdr:colOff>132708</xdr:colOff>
      <xdr:row>1</xdr:row>
      <xdr:rowOff>170090</xdr:rowOff>
    </xdr:from>
    <xdr:to>
      <xdr:col>20</xdr:col>
      <xdr:colOff>188208</xdr:colOff>
      <xdr:row>2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5BC191C0-2E1D-4A3E-8FA2-24EBC1A3731C}"/>
            </a:ext>
          </a:extLst>
        </xdr:cNvPr>
        <xdr:cNvGrpSpPr/>
      </xdr:nvGrpSpPr>
      <xdr:grpSpPr>
        <a:xfrm>
          <a:off x="3047358" y="255815"/>
          <a:ext cx="1008000" cy="220434"/>
          <a:chOff x="3045964" y="253724"/>
          <a:chExt cx="1008000" cy="219040"/>
        </a:xfrm>
      </xdr:grpSpPr>
      <xdr:sp macro="[0]!ExportJPG" textlink="">
        <xdr:nvSpPr>
          <xdr:cNvPr id="3833" name="exportJPG">
            <a:extLst>
              <a:ext uri="{FF2B5EF4-FFF2-40B4-BE49-F238E27FC236}">
                <a16:creationId xmlns:a16="http://schemas.microsoft.com/office/drawing/2014/main" id="{7EBDB94D-9322-4051-B835-5779CD4B9400}"/>
              </a:ext>
            </a:extLst>
          </xdr:cNvPr>
          <xdr:cNvSpPr/>
        </xdr:nvSpPr>
        <xdr:spPr>
          <a:xfrm>
            <a:off x="3045964" y="253724"/>
            <a:ext cx="1008000" cy="219040"/>
          </a:xfrm>
          <a:prstGeom prst="roundRect">
            <a:avLst>
              <a:gd name="adj" fmla="val 7812"/>
            </a:avLst>
          </a:prstGeom>
          <a:solidFill>
            <a:srgbClr val="70AD47"/>
          </a:solidFill>
          <a:ln w="19050">
            <a:solidFill>
              <a:schemeClr val="bg1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/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l"/>
            <a:r>
              <a:rPr lang="tr-TR" sz="1000" b="1" baseline="0"/>
              <a:t>  Export to JPG</a:t>
            </a:r>
            <a:endParaRPr lang="en-US" sz="1000" b="1"/>
          </a:p>
        </xdr:txBody>
      </xdr:sp>
      <xdr:grpSp>
        <xdr:nvGrpSpPr>
          <xdr:cNvPr id="10" name="Group 9">
            <a:extLst>
              <a:ext uri="{FF2B5EF4-FFF2-40B4-BE49-F238E27FC236}">
                <a16:creationId xmlns:a16="http://schemas.microsoft.com/office/drawing/2014/main" id="{92CB396C-D29E-4899-9680-677B2D20C857}"/>
              </a:ext>
            </a:extLst>
          </xdr:cNvPr>
          <xdr:cNvGrpSpPr/>
        </xdr:nvGrpSpPr>
        <xdr:grpSpPr>
          <a:xfrm>
            <a:off x="3871785" y="332613"/>
            <a:ext cx="122949" cy="74838"/>
            <a:chOff x="1721303" y="1524001"/>
            <a:chExt cx="156482" cy="95249"/>
          </a:xfr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grpSpPr>
        <xdr:sp macro="[0]!ExportJPG" textlink="">
          <xdr:nvSpPr>
            <xdr:cNvPr id="6" name="Arrow: Down 5">
              <a:extLst>
                <a:ext uri="{FF2B5EF4-FFF2-40B4-BE49-F238E27FC236}">
                  <a16:creationId xmlns:a16="http://schemas.microsoft.com/office/drawing/2014/main" id="{ED47CFF2-C2E8-4743-A8C5-B059FFE0FF43}"/>
                </a:ext>
              </a:extLst>
            </xdr:cNvPr>
            <xdr:cNvSpPr/>
          </xdr:nvSpPr>
          <xdr:spPr>
            <a:xfrm>
              <a:off x="1775732" y="1524001"/>
              <a:ext cx="47626" cy="74838"/>
            </a:xfrm>
            <a:prstGeom prst="downArrow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lIns="0" tIns="0" rIns="0" bIns="0" rtlCol="0" anchor="t"/>
            <a:lstStyle/>
            <a:p>
              <a:pPr algn="l"/>
              <a:endParaRPr lang="tr-TR" sz="1100"/>
            </a:p>
          </xdr:txBody>
        </xdr:sp>
        <xdr:cxnSp macro="[0]!ExportJPG">
          <xdr:nvCxnSpPr>
            <xdr:cNvPr id="9" name="Straight Connector 8">
              <a:extLst>
                <a:ext uri="{FF2B5EF4-FFF2-40B4-BE49-F238E27FC236}">
                  <a16:creationId xmlns:a16="http://schemas.microsoft.com/office/drawing/2014/main" id="{420B15DC-1A1E-4D21-9F30-6E9BD2E4F4B0}"/>
                </a:ext>
              </a:extLst>
            </xdr:cNvPr>
            <xdr:cNvCxnSpPr/>
          </xdr:nvCxnSpPr>
          <xdr:spPr>
            <a:xfrm>
              <a:off x="1721303" y="1619250"/>
              <a:ext cx="156482" cy="0"/>
            </a:xfrm>
            <a:prstGeom prst="line">
              <a:avLst/>
            </a:prstGeom>
            <a:ln w="19050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 editAs="oneCell">
    <xdr:from>
      <xdr:col>21</xdr:col>
      <xdr:colOff>140193</xdr:colOff>
      <xdr:row>1</xdr:row>
      <xdr:rowOff>163287</xdr:rowOff>
    </xdr:from>
    <xdr:to>
      <xdr:col>27</xdr:col>
      <xdr:colOff>5193</xdr:colOff>
      <xdr:row>2</xdr:row>
      <xdr:rowOff>136071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7DB0FD80-20C3-47C8-BFEE-0122B6B1C178}"/>
            </a:ext>
          </a:extLst>
        </xdr:cNvPr>
        <xdr:cNvGrpSpPr/>
      </xdr:nvGrpSpPr>
      <xdr:grpSpPr>
        <a:xfrm>
          <a:off x="4197843" y="249012"/>
          <a:ext cx="1008000" cy="220434"/>
          <a:chOff x="4105961" y="246921"/>
          <a:chExt cx="1008000" cy="219040"/>
        </a:xfrm>
      </xdr:grpSpPr>
      <xdr:sp macro="[0]!ExportPNG" textlink="">
        <xdr:nvSpPr>
          <xdr:cNvPr id="3834" name="exportPNG">
            <a:extLst>
              <a:ext uri="{FF2B5EF4-FFF2-40B4-BE49-F238E27FC236}">
                <a16:creationId xmlns:a16="http://schemas.microsoft.com/office/drawing/2014/main" id="{5077E6F5-4FAC-4E94-860B-CEB137F0925A}"/>
              </a:ext>
            </a:extLst>
          </xdr:cNvPr>
          <xdr:cNvSpPr/>
        </xdr:nvSpPr>
        <xdr:spPr>
          <a:xfrm>
            <a:off x="4105961" y="246921"/>
            <a:ext cx="1008000" cy="219040"/>
          </a:xfrm>
          <a:prstGeom prst="roundRect">
            <a:avLst>
              <a:gd name="adj" fmla="val 9583"/>
            </a:avLst>
          </a:prstGeom>
          <a:solidFill>
            <a:srgbClr val="70AD47"/>
          </a:solidFill>
          <a:ln w="19050">
            <a:solidFill>
              <a:schemeClr val="bg1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/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l"/>
            <a:r>
              <a:rPr lang="tr-TR" sz="1000" b="1" baseline="0"/>
              <a:t>  Export to PNG</a:t>
            </a:r>
            <a:endParaRPr lang="en-US" sz="1000" b="1"/>
          </a:p>
        </xdr:txBody>
      </xdr:sp>
      <xdr:grpSp>
        <xdr:nvGrpSpPr>
          <xdr:cNvPr id="97" name="Group 96">
            <a:extLst>
              <a:ext uri="{FF2B5EF4-FFF2-40B4-BE49-F238E27FC236}">
                <a16:creationId xmlns:a16="http://schemas.microsoft.com/office/drawing/2014/main" id="{F1390743-DEDA-4D4B-A213-0FE210E8ACC3}"/>
              </a:ext>
            </a:extLst>
          </xdr:cNvPr>
          <xdr:cNvGrpSpPr/>
        </xdr:nvGrpSpPr>
        <xdr:grpSpPr>
          <a:xfrm>
            <a:off x="4931782" y="332613"/>
            <a:ext cx="122949" cy="74838"/>
            <a:chOff x="1721303" y="1524001"/>
            <a:chExt cx="156482" cy="95249"/>
          </a:xfr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grpSpPr>
        <xdr:sp macro="[0]!ExportPNG" textlink="">
          <xdr:nvSpPr>
            <xdr:cNvPr id="98" name="Arrow: Down 97">
              <a:extLst>
                <a:ext uri="{FF2B5EF4-FFF2-40B4-BE49-F238E27FC236}">
                  <a16:creationId xmlns:a16="http://schemas.microsoft.com/office/drawing/2014/main" id="{CE08DC0C-3B7A-48F4-A311-8FDBFB4DB9F2}"/>
                </a:ext>
              </a:extLst>
            </xdr:cNvPr>
            <xdr:cNvSpPr/>
          </xdr:nvSpPr>
          <xdr:spPr>
            <a:xfrm>
              <a:off x="1775732" y="1524001"/>
              <a:ext cx="47626" cy="74838"/>
            </a:xfrm>
            <a:prstGeom prst="downArrow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lIns="0" tIns="0" rIns="0" bIns="0" rtlCol="0" anchor="t"/>
            <a:lstStyle/>
            <a:p>
              <a:pPr algn="l"/>
              <a:endParaRPr lang="tr-TR" sz="1100"/>
            </a:p>
          </xdr:txBody>
        </xdr:sp>
        <xdr:cxnSp macro="[0]!ExportPNG">
          <xdr:nvCxnSpPr>
            <xdr:cNvPr id="99" name="Straight Connector 98">
              <a:extLst>
                <a:ext uri="{FF2B5EF4-FFF2-40B4-BE49-F238E27FC236}">
                  <a16:creationId xmlns:a16="http://schemas.microsoft.com/office/drawing/2014/main" id="{BAE3957B-79EF-4622-8191-60E0E57B5653}"/>
                </a:ext>
              </a:extLst>
            </xdr:cNvPr>
            <xdr:cNvCxnSpPr/>
          </xdr:nvCxnSpPr>
          <xdr:spPr>
            <a:xfrm>
              <a:off x="1721303" y="1619250"/>
              <a:ext cx="156482" cy="0"/>
            </a:xfrm>
            <a:prstGeom prst="line">
              <a:avLst/>
            </a:prstGeom>
            <a:ln w="19050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 editAs="oneCell">
    <xdr:from>
      <xdr:col>27</xdr:col>
      <xdr:colOff>147677</xdr:colOff>
      <xdr:row>1</xdr:row>
      <xdr:rowOff>163288</xdr:rowOff>
    </xdr:from>
    <xdr:to>
      <xdr:col>33</xdr:col>
      <xdr:colOff>12677</xdr:colOff>
      <xdr:row>2</xdr:row>
      <xdr:rowOff>136072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DF2945B4-4B21-4BCC-83F4-298196BF1FE4}"/>
            </a:ext>
          </a:extLst>
        </xdr:cNvPr>
        <xdr:cNvGrpSpPr/>
      </xdr:nvGrpSpPr>
      <xdr:grpSpPr>
        <a:xfrm>
          <a:off x="5348327" y="249013"/>
          <a:ext cx="1008000" cy="220434"/>
          <a:chOff x="5165958" y="246922"/>
          <a:chExt cx="1008000" cy="219040"/>
        </a:xfrm>
      </xdr:grpSpPr>
      <xdr:sp macro="[0]!ExportPDF" textlink="">
        <xdr:nvSpPr>
          <xdr:cNvPr id="3835" name="exportPDF">
            <a:extLst>
              <a:ext uri="{FF2B5EF4-FFF2-40B4-BE49-F238E27FC236}">
                <a16:creationId xmlns:a16="http://schemas.microsoft.com/office/drawing/2014/main" id="{5F9EB90F-E5EA-48FD-AD7F-C879D995D367}"/>
              </a:ext>
            </a:extLst>
          </xdr:cNvPr>
          <xdr:cNvSpPr/>
        </xdr:nvSpPr>
        <xdr:spPr>
          <a:xfrm>
            <a:off x="5165958" y="246922"/>
            <a:ext cx="1008000" cy="219040"/>
          </a:xfrm>
          <a:prstGeom prst="roundRect">
            <a:avLst>
              <a:gd name="adj" fmla="val 9583"/>
            </a:avLst>
          </a:prstGeom>
          <a:solidFill>
            <a:srgbClr val="70AD47"/>
          </a:solidFill>
          <a:ln w="19050">
            <a:solidFill>
              <a:schemeClr val="bg1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/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l"/>
            <a:r>
              <a:rPr lang="tr-TR" sz="1000" b="1" baseline="0"/>
              <a:t>  Export to PDF</a:t>
            </a:r>
            <a:endParaRPr lang="en-US" sz="1000" b="1"/>
          </a:p>
        </xdr:txBody>
      </xdr:sp>
      <xdr:grpSp>
        <xdr:nvGrpSpPr>
          <xdr:cNvPr id="100" name="Group 99">
            <a:extLst>
              <a:ext uri="{FF2B5EF4-FFF2-40B4-BE49-F238E27FC236}">
                <a16:creationId xmlns:a16="http://schemas.microsoft.com/office/drawing/2014/main" id="{1D20202F-ADB4-48BB-A574-D8D9CA4008E3}"/>
              </a:ext>
            </a:extLst>
          </xdr:cNvPr>
          <xdr:cNvGrpSpPr/>
        </xdr:nvGrpSpPr>
        <xdr:grpSpPr>
          <a:xfrm>
            <a:off x="5991779" y="332613"/>
            <a:ext cx="122949" cy="74838"/>
            <a:chOff x="1721303" y="1524001"/>
            <a:chExt cx="156482" cy="95249"/>
          </a:xfr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grpSpPr>
        <xdr:sp macro="[0]!ExportPDF" textlink="">
          <xdr:nvSpPr>
            <xdr:cNvPr id="101" name="Arrow: Down 100">
              <a:extLst>
                <a:ext uri="{FF2B5EF4-FFF2-40B4-BE49-F238E27FC236}">
                  <a16:creationId xmlns:a16="http://schemas.microsoft.com/office/drawing/2014/main" id="{DE380EB4-287A-41A8-8C66-F6441D5C6A4B}"/>
                </a:ext>
              </a:extLst>
            </xdr:cNvPr>
            <xdr:cNvSpPr/>
          </xdr:nvSpPr>
          <xdr:spPr>
            <a:xfrm>
              <a:off x="1775732" y="1524001"/>
              <a:ext cx="47626" cy="74838"/>
            </a:xfrm>
            <a:prstGeom prst="downArrow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lIns="0" tIns="0" rIns="0" bIns="0" rtlCol="0" anchor="t"/>
            <a:lstStyle/>
            <a:p>
              <a:pPr algn="l"/>
              <a:endParaRPr lang="tr-TR" sz="1100"/>
            </a:p>
          </xdr:txBody>
        </xdr:sp>
        <xdr:cxnSp macro="[0]!ExportPDF">
          <xdr:nvCxnSpPr>
            <xdr:cNvPr id="102" name="Straight Connector 101">
              <a:extLst>
                <a:ext uri="{FF2B5EF4-FFF2-40B4-BE49-F238E27FC236}">
                  <a16:creationId xmlns:a16="http://schemas.microsoft.com/office/drawing/2014/main" id="{7D631B91-4C1A-467B-B295-9E0E25B44677}"/>
                </a:ext>
              </a:extLst>
            </xdr:cNvPr>
            <xdr:cNvCxnSpPr/>
          </xdr:nvCxnSpPr>
          <xdr:spPr>
            <a:xfrm>
              <a:off x="1721303" y="1619250"/>
              <a:ext cx="156482" cy="0"/>
            </a:xfrm>
            <a:prstGeom prst="line">
              <a:avLst/>
            </a:prstGeom>
            <a:ln w="19050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 editAs="oneCell">
    <xdr:from>
      <xdr:col>5</xdr:col>
      <xdr:colOff>0</xdr:colOff>
      <xdr:row>11</xdr:row>
      <xdr:rowOff>0</xdr:rowOff>
    </xdr:from>
    <xdr:to>
      <xdr:col>9</xdr:col>
      <xdr:colOff>0</xdr:colOff>
      <xdr:row>15</xdr:row>
      <xdr:rowOff>0</xdr:rowOff>
    </xdr:to>
    <xdr:sp macro="" textlink="" fLocksText="0">
      <xdr:nvSpPr>
        <xdr:cNvPr id="5" name="date_1">
          <a:extLst>
            <a:ext uri="{FF2B5EF4-FFF2-40B4-BE49-F238E27FC236}">
              <a16:creationId xmlns:a16="http://schemas.microsoft.com/office/drawing/2014/main" id="{905315B7-D2EC-4FC7-A6C8-C57A67A90FE0}"/>
            </a:ext>
          </a:extLst>
        </xdr:cNvPr>
        <xdr:cNvSpPr/>
      </xdr:nvSpPr>
      <xdr:spPr>
        <a:xfrm>
          <a:off x="1009650" y="1895475"/>
          <a:ext cx="762000" cy="762000"/>
        </a:xfrm>
        <a:prstGeom prst="ellipse">
          <a:avLst/>
        </a:prstGeom>
        <a:solidFill>
          <a:srgbClr val="2E86A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="1" baseline="0">
              <a:solidFill>
                <a:srgbClr val="FFFFFF"/>
              </a:solidFill>
            </a:rPr>
            <a:t>30.03.2004</a:t>
          </a:r>
        </a:p>
      </xdr:txBody>
    </xdr:sp>
    <xdr:clientData fLocksWithSheet="0"/>
  </xdr:twoCellAnchor>
  <xdr:twoCellAnchor editAs="oneCell">
    <xdr:from>
      <xdr:col>11</xdr:col>
      <xdr:colOff>0</xdr:colOff>
      <xdr:row>11</xdr:row>
      <xdr:rowOff>0</xdr:rowOff>
    </xdr:from>
    <xdr:to>
      <xdr:col>15</xdr:col>
      <xdr:colOff>0</xdr:colOff>
      <xdr:row>15</xdr:row>
      <xdr:rowOff>0</xdr:rowOff>
    </xdr:to>
    <xdr:sp macro="" textlink="" fLocksText="0">
      <xdr:nvSpPr>
        <xdr:cNvPr id="7" name="date_2">
          <a:extLst>
            <a:ext uri="{FF2B5EF4-FFF2-40B4-BE49-F238E27FC236}">
              <a16:creationId xmlns:a16="http://schemas.microsoft.com/office/drawing/2014/main" id="{97FD87E0-55B7-4431-B862-D62678DA9BE6}"/>
            </a:ext>
          </a:extLst>
        </xdr:cNvPr>
        <xdr:cNvSpPr/>
      </xdr:nvSpPr>
      <xdr:spPr>
        <a:xfrm>
          <a:off x="2152650" y="1895475"/>
          <a:ext cx="762000" cy="762000"/>
        </a:xfrm>
        <a:prstGeom prst="ellipse">
          <a:avLst/>
        </a:prstGeom>
        <a:solidFill>
          <a:srgbClr val="2E86A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="1" baseline="0">
              <a:solidFill>
                <a:srgbClr val="FFFFFF"/>
              </a:solidFill>
            </a:rPr>
            <a:t>15.06.2004</a:t>
          </a:r>
        </a:p>
      </xdr:txBody>
    </xdr:sp>
    <xdr:clientData fLocksWithSheet="0"/>
  </xdr:twoCellAnchor>
  <xdr:twoCellAnchor editAs="oneCell">
    <xdr:from>
      <xdr:col>17</xdr:col>
      <xdr:colOff>0</xdr:colOff>
      <xdr:row>11</xdr:row>
      <xdr:rowOff>0</xdr:rowOff>
    </xdr:from>
    <xdr:to>
      <xdr:col>21</xdr:col>
      <xdr:colOff>0</xdr:colOff>
      <xdr:row>15</xdr:row>
      <xdr:rowOff>0</xdr:rowOff>
    </xdr:to>
    <xdr:sp macro="" textlink="" fLocksText="0">
      <xdr:nvSpPr>
        <xdr:cNvPr id="11" name="date_3">
          <a:extLst>
            <a:ext uri="{FF2B5EF4-FFF2-40B4-BE49-F238E27FC236}">
              <a16:creationId xmlns:a16="http://schemas.microsoft.com/office/drawing/2014/main" id="{C5EB8869-9739-44C7-90B8-CDF2C52A8EA7}"/>
            </a:ext>
          </a:extLst>
        </xdr:cNvPr>
        <xdr:cNvSpPr/>
      </xdr:nvSpPr>
      <xdr:spPr>
        <a:xfrm>
          <a:off x="3295650" y="1895475"/>
          <a:ext cx="762000" cy="762000"/>
        </a:xfrm>
        <a:prstGeom prst="ellipse">
          <a:avLst/>
        </a:prstGeom>
        <a:solidFill>
          <a:srgbClr val="2E86A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="1" baseline="0">
              <a:solidFill>
                <a:srgbClr val="FFFFFF"/>
              </a:solidFill>
            </a:rPr>
            <a:t>1.10.2004</a:t>
          </a:r>
        </a:p>
      </xdr:txBody>
    </xdr:sp>
    <xdr:clientData fLocksWithSheet="0"/>
  </xdr:twoCellAnchor>
  <xdr:twoCellAnchor editAs="oneCell">
    <xdr:from>
      <xdr:col>23</xdr:col>
      <xdr:colOff>0</xdr:colOff>
      <xdr:row>11</xdr:row>
      <xdr:rowOff>0</xdr:rowOff>
    </xdr:from>
    <xdr:to>
      <xdr:col>27</xdr:col>
      <xdr:colOff>0</xdr:colOff>
      <xdr:row>15</xdr:row>
      <xdr:rowOff>0</xdr:rowOff>
    </xdr:to>
    <xdr:sp macro="" textlink="" fLocksText="0">
      <xdr:nvSpPr>
        <xdr:cNvPr id="13" name="date_4">
          <a:extLst>
            <a:ext uri="{FF2B5EF4-FFF2-40B4-BE49-F238E27FC236}">
              <a16:creationId xmlns:a16="http://schemas.microsoft.com/office/drawing/2014/main" id="{BB59B479-869B-4313-9446-D0EDF57D974F}"/>
            </a:ext>
          </a:extLst>
        </xdr:cNvPr>
        <xdr:cNvSpPr/>
      </xdr:nvSpPr>
      <xdr:spPr>
        <a:xfrm>
          <a:off x="4438650" y="1895475"/>
          <a:ext cx="762000" cy="762000"/>
        </a:xfrm>
        <a:prstGeom prst="ellipse">
          <a:avLst/>
        </a:prstGeom>
        <a:solidFill>
          <a:srgbClr val="2E86A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="1" baseline="0">
              <a:solidFill>
                <a:srgbClr val="FFFFFF"/>
              </a:solidFill>
            </a:rPr>
            <a:t>4.05.2010</a:t>
          </a:r>
        </a:p>
      </xdr:txBody>
    </xdr:sp>
    <xdr:clientData fLocksWithSheet="0"/>
  </xdr:twoCellAnchor>
  <xdr:twoCellAnchor editAs="oneCell">
    <xdr:from>
      <xdr:col>29</xdr:col>
      <xdr:colOff>0</xdr:colOff>
      <xdr:row>11</xdr:row>
      <xdr:rowOff>0</xdr:rowOff>
    </xdr:from>
    <xdr:to>
      <xdr:col>33</xdr:col>
      <xdr:colOff>0</xdr:colOff>
      <xdr:row>15</xdr:row>
      <xdr:rowOff>0</xdr:rowOff>
    </xdr:to>
    <xdr:sp macro="" textlink="" fLocksText="0">
      <xdr:nvSpPr>
        <xdr:cNvPr id="15" name="date_5">
          <a:extLst>
            <a:ext uri="{FF2B5EF4-FFF2-40B4-BE49-F238E27FC236}">
              <a16:creationId xmlns:a16="http://schemas.microsoft.com/office/drawing/2014/main" id="{09D2114A-B6EC-46FD-9AB7-682B900439D1}"/>
            </a:ext>
          </a:extLst>
        </xdr:cNvPr>
        <xdr:cNvSpPr/>
      </xdr:nvSpPr>
      <xdr:spPr>
        <a:xfrm>
          <a:off x="5581650" y="1895475"/>
          <a:ext cx="762000" cy="762000"/>
        </a:xfrm>
        <a:prstGeom prst="ellipse">
          <a:avLst/>
        </a:prstGeom>
        <a:solidFill>
          <a:srgbClr val="2E86A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="1" baseline="0">
              <a:solidFill>
                <a:srgbClr val="FFFFFF"/>
              </a:solidFill>
            </a:rPr>
            <a:t>17.08.2010</a:t>
          </a:r>
        </a:p>
      </xdr:txBody>
    </xdr:sp>
    <xdr:clientData fLocksWithSheet="0"/>
  </xdr:twoCellAnchor>
  <xdr:twoCellAnchor editAs="oneCell">
    <xdr:from>
      <xdr:col>35</xdr:col>
      <xdr:colOff>0</xdr:colOff>
      <xdr:row>11</xdr:row>
      <xdr:rowOff>0</xdr:rowOff>
    </xdr:from>
    <xdr:to>
      <xdr:col>39</xdr:col>
      <xdr:colOff>0</xdr:colOff>
      <xdr:row>15</xdr:row>
      <xdr:rowOff>0</xdr:rowOff>
    </xdr:to>
    <xdr:sp macro="" textlink="" fLocksText="0">
      <xdr:nvSpPr>
        <xdr:cNvPr id="17" name="date_6">
          <a:extLst>
            <a:ext uri="{FF2B5EF4-FFF2-40B4-BE49-F238E27FC236}">
              <a16:creationId xmlns:a16="http://schemas.microsoft.com/office/drawing/2014/main" id="{72E97029-6E9E-4DD1-9776-B2489014F678}"/>
            </a:ext>
          </a:extLst>
        </xdr:cNvPr>
        <xdr:cNvSpPr/>
      </xdr:nvSpPr>
      <xdr:spPr>
        <a:xfrm>
          <a:off x="6724650" y="1895475"/>
          <a:ext cx="762000" cy="762000"/>
        </a:xfrm>
        <a:prstGeom prst="ellipse">
          <a:avLst/>
        </a:prstGeom>
        <a:solidFill>
          <a:srgbClr val="2E86A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="1" baseline="0">
              <a:solidFill>
                <a:srgbClr val="FFFFFF"/>
              </a:solidFill>
            </a:rPr>
            <a:t>15.04.2017</a:t>
          </a:r>
        </a:p>
      </xdr:txBody>
    </xdr:sp>
    <xdr:clientData fLocksWithSheet="0"/>
  </xdr:twoCellAnchor>
  <xdr:twoCellAnchor editAs="oneCell">
    <xdr:from>
      <xdr:col>41</xdr:col>
      <xdr:colOff>0</xdr:colOff>
      <xdr:row>11</xdr:row>
      <xdr:rowOff>0</xdr:rowOff>
    </xdr:from>
    <xdr:to>
      <xdr:col>45</xdr:col>
      <xdr:colOff>0</xdr:colOff>
      <xdr:row>15</xdr:row>
      <xdr:rowOff>0</xdr:rowOff>
    </xdr:to>
    <xdr:sp macro="" textlink="" fLocksText="0">
      <xdr:nvSpPr>
        <xdr:cNvPr id="19" name="date_7">
          <a:extLst>
            <a:ext uri="{FF2B5EF4-FFF2-40B4-BE49-F238E27FC236}">
              <a16:creationId xmlns:a16="http://schemas.microsoft.com/office/drawing/2014/main" id="{47D8F5F1-3769-4E96-BD49-7B8C84089C2A}"/>
            </a:ext>
          </a:extLst>
        </xdr:cNvPr>
        <xdr:cNvSpPr/>
      </xdr:nvSpPr>
      <xdr:spPr>
        <a:xfrm>
          <a:off x="7867650" y="1895475"/>
          <a:ext cx="762000" cy="762000"/>
        </a:xfrm>
        <a:prstGeom prst="ellipse">
          <a:avLst/>
        </a:prstGeom>
        <a:solidFill>
          <a:srgbClr val="2E86A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non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="1" baseline="0">
              <a:solidFill>
                <a:srgbClr val="FFFFFF"/>
              </a:solidFill>
            </a:rPr>
            <a:t>17.08.2017</a:t>
          </a:r>
        </a:p>
      </xdr:txBody>
    </xdr:sp>
    <xdr:clientData fLocksWithSheet="0"/>
  </xdr:twoCellAnchor>
  <xdr:twoCellAnchor editAs="oneCell">
    <xdr:from>
      <xdr:col>4</xdr:col>
      <xdr:colOff>127000</xdr:colOff>
      <xdr:row>17</xdr:row>
      <xdr:rowOff>127000</xdr:rowOff>
    </xdr:from>
    <xdr:to>
      <xdr:col>9</xdr:col>
      <xdr:colOff>63500</xdr:colOff>
      <xdr:row>20</xdr:row>
      <xdr:rowOff>63500</xdr:rowOff>
    </xdr:to>
    <xdr:sp macro="" textlink="" fLocksText="0">
      <xdr:nvSpPr>
        <xdr:cNvPr id="21" name="Event_1">
          <a:extLst>
            <a:ext uri="{FF2B5EF4-FFF2-40B4-BE49-F238E27FC236}">
              <a16:creationId xmlns:a16="http://schemas.microsoft.com/office/drawing/2014/main" id="{17660FC9-8DAF-49F3-95D1-3804D6FE3C14}"/>
            </a:ext>
          </a:extLst>
        </xdr:cNvPr>
        <xdr:cNvSpPr/>
      </xdr:nvSpPr>
      <xdr:spPr>
        <a:xfrm>
          <a:off x="946150" y="3165475"/>
          <a:ext cx="889000" cy="508000"/>
        </a:xfrm>
        <a:prstGeom prst="roundRect">
          <a:avLst/>
        </a:prstGeom>
        <a:solidFill>
          <a:srgbClr val="D9E2EC"/>
        </a:solidFill>
        <a:ln w="12700" cap="flat" cmpd="sng" algn="ctr">
          <a:noFill/>
          <a:prstDash val="solid"/>
          <a:miter lim="800000"/>
        </a:ln>
        <a:effectLst>
          <a:outerShdw blurRad="50800" dist="38100" dir="8100000" algn="tr">
            <a:prstClr val="black">
              <a:alpha val="40000"/>
            </a:prstClr>
          </a:outerShdw>
        </a:effectLst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aseline="0">
              <a:solidFill>
                <a:srgbClr val="1F4E78"/>
              </a:solidFill>
            </a:rPr>
            <a:t>Highschool prom</a:t>
          </a:r>
        </a:p>
      </xdr:txBody>
    </xdr:sp>
    <xdr:clientData fLocksWithSheet="0"/>
  </xdr:twoCellAnchor>
  <xdr:twoCellAnchor editAs="oneCell">
    <xdr:from>
      <xdr:col>4</xdr:col>
      <xdr:colOff>0</xdr:colOff>
      <xdr:row>17</xdr:row>
      <xdr:rowOff>0</xdr:rowOff>
    </xdr:from>
    <xdr:to>
      <xdr:col>5</xdr:col>
      <xdr:colOff>157108</xdr:colOff>
      <xdr:row>18</xdr:row>
      <xdr:rowOff>94500</xdr:rowOff>
    </xdr:to>
    <xdr:grpSp>
      <xdr:nvGrpSpPr>
        <xdr:cNvPr id="103" name="fireworks" descr="Fireworks outline">
          <a:extLst>
            <a:ext uri="{FF2B5EF4-FFF2-40B4-BE49-F238E27FC236}">
              <a16:creationId xmlns:a16="http://schemas.microsoft.com/office/drawing/2014/main" id="{E5EEC10E-CFFB-42A8-879B-B75898F51FE3}"/>
            </a:ext>
          </a:extLst>
        </xdr:cNvPr>
        <xdr:cNvGrpSpPr>
          <a:grpSpLocks noChangeAspect="1"/>
        </xdr:cNvGrpSpPr>
      </xdr:nvGrpSpPr>
      <xdr:grpSpPr>
        <a:xfrm>
          <a:off x="819150" y="3038475"/>
          <a:ext cx="347608" cy="285000"/>
          <a:chOff x="11744332" y="10572814"/>
          <a:chExt cx="347608" cy="285000"/>
        </a:xfrm>
        <a:solidFill>
          <a:srgbClr val="1F4E78"/>
        </a:solidFill>
      </xdr:grpSpPr>
      <xdr:sp macro="" textlink="">
        <xdr:nvSpPr>
          <xdr:cNvPr id="104" name="Freeform: Shape 103">
            <a:extLst>
              <a:ext uri="{FF2B5EF4-FFF2-40B4-BE49-F238E27FC236}">
                <a16:creationId xmlns:a16="http://schemas.microsoft.com/office/drawing/2014/main" id="{7A1F63F3-08F8-4B92-96B3-2D6BA1FE5131}"/>
              </a:ext>
            </a:extLst>
          </xdr:cNvPr>
          <xdr:cNvSpPr/>
        </xdr:nvSpPr>
        <xdr:spPr>
          <a:xfrm>
            <a:off x="11832331" y="10691117"/>
            <a:ext cx="53912" cy="27792"/>
          </a:xfrm>
          <a:custGeom>
            <a:avLst/>
            <a:gdLst>
              <a:gd name="connsiteX0" fmla="*/ 53865 w 53912"/>
              <a:gd name="connsiteY0" fmla="*/ 3159 h 27792"/>
              <a:gd name="connsiteX1" fmla="*/ 49539 w 53912"/>
              <a:gd name="connsiteY1" fmla="*/ 46 h 27792"/>
              <a:gd name="connsiteX2" fmla="*/ 1474 w 53912"/>
              <a:gd name="connsiteY2" fmla="*/ 21071 h 27792"/>
              <a:gd name="connsiteX3" fmla="*/ 785 w 53912"/>
              <a:gd name="connsiteY3" fmla="*/ 26330 h 27792"/>
              <a:gd name="connsiteX4" fmla="*/ 6083 w 53912"/>
              <a:gd name="connsiteY4" fmla="*/ 27014 h 27792"/>
              <a:gd name="connsiteX5" fmla="*/ 50728 w 53912"/>
              <a:gd name="connsiteY5" fmla="*/ 7453 h 27792"/>
              <a:gd name="connsiteX6" fmla="*/ 53865 w 53912"/>
              <a:gd name="connsiteY6" fmla="*/ 3159 h 277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53912" h="27792">
                <a:moveTo>
                  <a:pt x="53865" y="3159"/>
                </a:moveTo>
                <a:cubicBezTo>
                  <a:pt x="53533" y="1116"/>
                  <a:pt x="51599" y="-276"/>
                  <a:pt x="49539" y="46"/>
                </a:cubicBezTo>
                <a:cubicBezTo>
                  <a:pt x="32005" y="2979"/>
                  <a:pt x="15485" y="10205"/>
                  <a:pt x="1474" y="21071"/>
                </a:cubicBezTo>
                <a:cubicBezTo>
                  <a:pt x="-180" y="22334"/>
                  <a:pt x="-488" y="24689"/>
                  <a:pt x="785" y="26330"/>
                </a:cubicBezTo>
                <a:cubicBezTo>
                  <a:pt x="2057" y="27971"/>
                  <a:pt x="4430" y="28277"/>
                  <a:pt x="6083" y="27014"/>
                </a:cubicBezTo>
                <a:cubicBezTo>
                  <a:pt x="19095" y="16911"/>
                  <a:pt x="34440" y="10188"/>
                  <a:pt x="50728" y="7453"/>
                </a:cubicBezTo>
                <a:cubicBezTo>
                  <a:pt x="52789" y="7126"/>
                  <a:pt x="54193" y="5204"/>
                  <a:pt x="53865" y="315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05" name="Freeform: Shape 104">
            <a:extLst>
              <a:ext uri="{FF2B5EF4-FFF2-40B4-BE49-F238E27FC236}">
                <a16:creationId xmlns:a16="http://schemas.microsoft.com/office/drawing/2014/main" id="{0D3C6D58-FFEE-4097-ABBB-0160A728AB09}"/>
              </a:ext>
            </a:extLst>
          </xdr:cNvPr>
          <xdr:cNvSpPr/>
        </xdr:nvSpPr>
        <xdr:spPr>
          <a:xfrm>
            <a:off x="11792674" y="10744946"/>
            <a:ext cx="18193" cy="44043"/>
          </a:xfrm>
          <a:custGeom>
            <a:avLst/>
            <a:gdLst>
              <a:gd name="connsiteX0" fmla="*/ 11068 w 18193"/>
              <a:gd name="connsiteY0" fmla="*/ 2010 h 44043"/>
              <a:gd name="connsiteX1" fmla="*/ 4 w 18193"/>
              <a:gd name="connsiteY1" fmla="*/ 40118 h 44043"/>
              <a:gd name="connsiteX2" fmla="*/ 3602 w 18193"/>
              <a:gd name="connsiteY2" fmla="*/ 44039 h 44043"/>
              <a:gd name="connsiteX3" fmla="*/ 3783 w 18193"/>
              <a:gd name="connsiteY3" fmla="*/ 44043 h 44043"/>
              <a:gd name="connsiteX4" fmla="*/ 7553 w 18193"/>
              <a:gd name="connsiteY4" fmla="*/ 40469 h 44043"/>
              <a:gd name="connsiteX5" fmla="*/ 17721 w 18193"/>
              <a:gd name="connsiteY5" fmla="*/ 5565 h 44043"/>
              <a:gd name="connsiteX6" fmla="*/ 16243 w 18193"/>
              <a:gd name="connsiteY6" fmla="*/ 469 h 44043"/>
              <a:gd name="connsiteX7" fmla="*/ 11108 w 18193"/>
              <a:gd name="connsiteY7" fmla="*/ 1936 h 44043"/>
              <a:gd name="connsiteX8" fmla="*/ 11068 w 18193"/>
              <a:gd name="connsiteY8" fmla="*/ 2010 h 440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8193" h="44043">
                <a:moveTo>
                  <a:pt x="11068" y="2010"/>
                </a:moveTo>
                <a:cubicBezTo>
                  <a:pt x="4575" y="13740"/>
                  <a:pt x="796" y="26757"/>
                  <a:pt x="4" y="40118"/>
                </a:cubicBezTo>
                <a:cubicBezTo>
                  <a:pt x="-93" y="42186"/>
                  <a:pt x="1517" y="43942"/>
                  <a:pt x="3602" y="44039"/>
                </a:cubicBezTo>
                <a:cubicBezTo>
                  <a:pt x="3663" y="44042"/>
                  <a:pt x="3722" y="44043"/>
                  <a:pt x="3783" y="44043"/>
                </a:cubicBezTo>
                <a:cubicBezTo>
                  <a:pt x="5799" y="44042"/>
                  <a:pt x="7459" y="42468"/>
                  <a:pt x="7553" y="40469"/>
                </a:cubicBezTo>
                <a:cubicBezTo>
                  <a:pt x="8291" y="28230"/>
                  <a:pt x="11764" y="16307"/>
                  <a:pt x="17721" y="5565"/>
                </a:cubicBezTo>
                <a:cubicBezTo>
                  <a:pt x="18731" y="3753"/>
                  <a:pt x="18069" y="1471"/>
                  <a:pt x="16243" y="469"/>
                </a:cubicBezTo>
                <a:cubicBezTo>
                  <a:pt x="14417" y="-533"/>
                  <a:pt x="12118" y="123"/>
                  <a:pt x="11108" y="1936"/>
                </a:cubicBezTo>
                <a:cubicBezTo>
                  <a:pt x="11094" y="1960"/>
                  <a:pt x="11081" y="1985"/>
                  <a:pt x="11068" y="201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06" name="Freeform: Shape 105">
            <a:extLst>
              <a:ext uri="{FF2B5EF4-FFF2-40B4-BE49-F238E27FC236}">
                <a16:creationId xmlns:a16="http://schemas.microsoft.com/office/drawing/2014/main" id="{E11C31B9-85CD-4D92-B245-C81A46628BD0}"/>
              </a:ext>
            </a:extLst>
          </xdr:cNvPr>
          <xdr:cNvSpPr/>
        </xdr:nvSpPr>
        <xdr:spPr>
          <a:xfrm>
            <a:off x="11752677" y="10664657"/>
            <a:ext cx="121796" cy="28548"/>
          </a:xfrm>
          <a:custGeom>
            <a:avLst/>
            <a:gdLst>
              <a:gd name="connsiteX0" fmla="*/ 117156 w 121796"/>
              <a:gd name="connsiteY0" fmla="*/ 11565 h 28548"/>
              <a:gd name="connsiteX1" fmla="*/ 121696 w 121796"/>
              <a:gd name="connsiteY1" fmla="*/ 8769 h 28548"/>
              <a:gd name="connsiteX2" fmla="*/ 118879 w 121796"/>
              <a:gd name="connsiteY2" fmla="*/ 4263 h 28548"/>
              <a:gd name="connsiteX3" fmla="*/ 80446 w 121796"/>
              <a:gd name="connsiteY3" fmla="*/ 1 h 28548"/>
              <a:gd name="connsiteX4" fmla="*/ 1514 w 121796"/>
              <a:gd name="connsiteY4" fmla="*/ 21795 h 28548"/>
              <a:gd name="connsiteX5" fmla="*/ 755 w 121796"/>
              <a:gd name="connsiteY5" fmla="*/ 27046 h 28548"/>
              <a:gd name="connsiteX6" fmla="*/ 6045 w 121796"/>
              <a:gd name="connsiteY6" fmla="*/ 27799 h 28548"/>
              <a:gd name="connsiteX7" fmla="*/ 80446 w 121796"/>
              <a:gd name="connsiteY7" fmla="*/ 7501 h 28548"/>
              <a:gd name="connsiteX8" fmla="*/ 117156 w 121796"/>
              <a:gd name="connsiteY8" fmla="*/ 11565 h 2854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1796" h="28548">
                <a:moveTo>
                  <a:pt x="117156" y="11565"/>
                </a:moveTo>
                <a:cubicBezTo>
                  <a:pt x="119187" y="12037"/>
                  <a:pt x="121220" y="10786"/>
                  <a:pt x="121696" y="8769"/>
                </a:cubicBezTo>
                <a:cubicBezTo>
                  <a:pt x="122172" y="6753"/>
                  <a:pt x="120911" y="4735"/>
                  <a:pt x="118879" y="4263"/>
                </a:cubicBezTo>
                <a:cubicBezTo>
                  <a:pt x="106275" y="1385"/>
                  <a:pt x="93379" y="-45"/>
                  <a:pt x="80446" y="1"/>
                </a:cubicBezTo>
                <a:cubicBezTo>
                  <a:pt x="49383" y="1"/>
                  <a:pt x="19876" y="8149"/>
                  <a:pt x="1514" y="21795"/>
                </a:cubicBezTo>
                <a:cubicBezTo>
                  <a:pt x="-157" y="23037"/>
                  <a:pt x="-497" y="25388"/>
                  <a:pt x="755" y="27046"/>
                </a:cubicBezTo>
                <a:cubicBezTo>
                  <a:pt x="2006" y="28704"/>
                  <a:pt x="4374" y="29041"/>
                  <a:pt x="6045" y="27799"/>
                </a:cubicBezTo>
                <a:cubicBezTo>
                  <a:pt x="23145" y="15089"/>
                  <a:pt x="50959" y="7501"/>
                  <a:pt x="80446" y="7501"/>
                </a:cubicBezTo>
                <a:cubicBezTo>
                  <a:pt x="92799" y="7455"/>
                  <a:pt x="105116" y="8819"/>
                  <a:pt x="117156" y="1156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07" name="Freeform: Shape 106">
            <a:extLst>
              <a:ext uri="{FF2B5EF4-FFF2-40B4-BE49-F238E27FC236}">
                <a16:creationId xmlns:a16="http://schemas.microsoft.com/office/drawing/2014/main" id="{11CD65A6-407E-4D15-94AB-4FD172EE62F5}"/>
              </a:ext>
            </a:extLst>
          </xdr:cNvPr>
          <xdr:cNvSpPr/>
        </xdr:nvSpPr>
        <xdr:spPr>
          <a:xfrm>
            <a:off x="11798039" y="10598732"/>
            <a:ext cx="107633" cy="67850"/>
          </a:xfrm>
          <a:custGeom>
            <a:avLst/>
            <a:gdLst>
              <a:gd name="connsiteX0" fmla="*/ 3776 w 107633"/>
              <a:gd name="connsiteY0" fmla="*/ 7500 h 67850"/>
              <a:gd name="connsiteX1" fmla="*/ 68069 w 107633"/>
              <a:gd name="connsiteY1" fmla="*/ 32576 h 67850"/>
              <a:gd name="connsiteX2" fmla="*/ 100694 w 107633"/>
              <a:gd name="connsiteY2" fmla="*/ 66156 h 67850"/>
              <a:gd name="connsiteX3" fmla="*/ 105926 w 107633"/>
              <a:gd name="connsiteY3" fmla="*/ 67236 h 67850"/>
              <a:gd name="connsiteX4" fmla="*/ 107014 w 107633"/>
              <a:gd name="connsiteY4" fmla="*/ 62043 h 67850"/>
              <a:gd name="connsiteX5" fmla="*/ 72585 w 107633"/>
              <a:gd name="connsiteY5" fmla="*/ 26563 h 67850"/>
              <a:gd name="connsiteX6" fmla="*/ 3787 w 107633"/>
              <a:gd name="connsiteY6" fmla="*/ 0 h 67850"/>
              <a:gd name="connsiteX7" fmla="*/ 3781 w 107633"/>
              <a:gd name="connsiteY7" fmla="*/ 0 h 67850"/>
              <a:gd name="connsiteX8" fmla="*/ 0 w 107633"/>
              <a:gd name="connsiteY8" fmla="*/ 3747 h 67850"/>
              <a:gd name="connsiteX9" fmla="*/ 3776 w 107633"/>
              <a:gd name="connsiteY9" fmla="*/ 7500 h 678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107633" h="67850">
                <a:moveTo>
                  <a:pt x="3776" y="7500"/>
                </a:moveTo>
                <a:cubicBezTo>
                  <a:pt x="22852" y="7526"/>
                  <a:pt x="46887" y="16900"/>
                  <a:pt x="68069" y="32576"/>
                </a:cubicBezTo>
                <a:cubicBezTo>
                  <a:pt x="80810" y="41822"/>
                  <a:pt x="91847" y="53182"/>
                  <a:pt x="100694" y="66156"/>
                </a:cubicBezTo>
                <a:cubicBezTo>
                  <a:pt x="101838" y="67889"/>
                  <a:pt x="104180" y="68372"/>
                  <a:pt x="105926" y="67236"/>
                </a:cubicBezTo>
                <a:cubicBezTo>
                  <a:pt x="107671" y="66101"/>
                  <a:pt x="108158" y="63776"/>
                  <a:pt x="107014" y="62043"/>
                </a:cubicBezTo>
                <a:cubicBezTo>
                  <a:pt x="97682" y="48337"/>
                  <a:pt x="86034" y="36334"/>
                  <a:pt x="72585" y="26563"/>
                </a:cubicBezTo>
                <a:cubicBezTo>
                  <a:pt x="50147" y="9958"/>
                  <a:pt x="24427" y="27"/>
                  <a:pt x="3787" y="0"/>
                </a:cubicBezTo>
                <a:lnTo>
                  <a:pt x="3781" y="0"/>
                </a:lnTo>
                <a:cubicBezTo>
                  <a:pt x="1694" y="-2"/>
                  <a:pt x="2" y="1676"/>
                  <a:pt x="0" y="3747"/>
                </a:cubicBezTo>
                <a:cubicBezTo>
                  <a:pt x="-2" y="5818"/>
                  <a:pt x="1689" y="7498"/>
                  <a:pt x="3776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08" name="Freeform: Shape 107">
            <a:extLst>
              <a:ext uri="{FF2B5EF4-FFF2-40B4-BE49-F238E27FC236}">
                <a16:creationId xmlns:a16="http://schemas.microsoft.com/office/drawing/2014/main" id="{E215E94C-A8ED-4F9E-BBE5-8E34B5768B93}"/>
              </a:ext>
            </a:extLst>
          </xdr:cNvPr>
          <xdr:cNvSpPr/>
        </xdr:nvSpPr>
        <xdr:spPr>
          <a:xfrm>
            <a:off x="11962512" y="10689597"/>
            <a:ext cx="84959" cy="65801"/>
          </a:xfrm>
          <a:custGeom>
            <a:avLst/>
            <a:gdLst>
              <a:gd name="connsiteX0" fmla="*/ 33900 w 84959"/>
              <a:gd name="connsiteY0" fmla="*/ 9854 h 65801"/>
              <a:gd name="connsiteX1" fmla="*/ 4529 w 84959"/>
              <a:gd name="connsiteY1" fmla="*/ 75 h 65801"/>
              <a:gd name="connsiteX2" fmla="*/ 76 w 84959"/>
              <a:gd name="connsiteY2" fmla="*/ 3006 h 65801"/>
              <a:gd name="connsiteX3" fmla="*/ 3029 w 84959"/>
              <a:gd name="connsiteY3" fmla="*/ 7426 h 65801"/>
              <a:gd name="connsiteX4" fmla="*/ 3113 w 84959"/>
              <a:gd name="connsiteY4" fmla="*/ 7442 h 65801"/>
              <a:gd name="connsiteX5" fmla="*/ 30596 w 84959"/>
              <a:gd name="connsiteY5" fmla="*/ 16599 h 65801"/>
              <a:gd name="connsiteX6" fmla="*/ 77645 w 84959"/>
              <a:gd name="connsiteY6" fmla="*/ 63376 h 65801"/>
              <a:gd name="connsiteX7" fmla="*/ 82517 w 84959"/>
              <a:gd name="connsiteY7" fmla="*/ 65558 h 65801"/>
              <a:gd name="connsiteX8" fmla="*/ 84714 w 84959"/>
              <a:gd name="connsiteY8" fmla="*/ 60723 h 65801"/>
              <a:gd name="connsiteX9" fmla="*/ 33900 w 84959"/>
              <a:gd name="connsiteY9" fmla="*/ 9854 h 658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84959" h="65801">
                <a:moveTo>
                  <a:pt x="33900" y="9854"/>
                </a:moveTo>
                <a:cubicBezTo>
                  <a:pt x="24586" y="5326"/>
                  <a:pt x="14711" y="2039"/>
                  <a:pt x="4529" y="75"/>
                </a:cubicBezTo>
                <a:cubicBezTo>
                  <a:pt x="2484" y="-336"/>
                  <a:pt x="490" y="976"/>
                  <a:pt x="76" y="3006"/>
                </a:cubicBezTo>
                <a:cubicBezTo>
                  <a:pt x="-338" y="5036"/>
                  <a:pt x="984" y="7015"/>
                  <a:pt x="3029" y="7426"/>
                </a:cubicBezTo>
                <a:cubicBezTo>
                  <a:pt x="3057" y="7432"/>
                  <a:pt x="3085" y="7437"/>
                  <a:pt x="3113" y="7442"/>
                </a:cubicBezTo>
                <a:cubicBezTo>
                  <a:pt x="12640" y="9282"/>
                  <a:pt x="21881" y="12360"/>
                  <a:pt x="30596" y="16599"/>
                </a:cubicBezTo>
                <a:cubicBezTo>
                  <a:pt x="53016" y="27416"/>
                  <a:pt x="70605" y="44903"/>
                  <a:pt x="77645" y="63376"/>
                </a:cubicBezTo>
                <a:cubicBezTo>
                  <a:pt x="78383" y="65314"/>
                  <a:pt x="80564" y="66291"/>
                  <a:pt x="82517" y="65558"/>
                </a:cubicBezTo>
                <a:cubicBezTo>
                  <a:pt x="84468" y="64825"/>
                  <a:pt x="85453" y="62660"/>
                  <a:pt x="84714" y="60723"/>
                </a:cubicBezTo>
                <a:cubicBezTo>
                  <a:pt x="77007" y="40505"/>
                  <a:pt x="58011" y="21488"/>
                  <a:pt x="33900" y="985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09" name="Freeform: Shape 108">
            <a:extLst>
              <a:ext uri="{FF2B5EF4-FFF2-40B4-BE49-F238E27FC236}">
                <a16:creationId xmlns:a16="http://schemas.microsoft.com/office/drawing/2014/main" id="{EF54DD68-02B2-43E0-81FB-4366B49A91CE}"/>
              </a:ext>
            </a:extLst>
          </xdr:cNvPr>
          <xdr:cNvSpPr/>
        </xdr:nvSpPr>
        <xdr:spPr>
          <a:xfrm>
            <a:off x="11941212" y="10709087"/>
            <a:ext cx="36274" cy="55014"/>
          </a:xfrm>
          <a:custGeom>
            <a:avLst/>
            <a:gdLst>
              <a:gd name="connsiteX0" fmla="*/ 5790 w 36274"/>
              <a:gd name="connsiteY0" fmla="*/ 576 h 55014"/>
              <a:gd name="connsiteX1" fmla="*/ 580 w 36274"/>
              <a:gd name="connsiteY1" fmla="*/ 1754 h 55014"/>
              <a:gd name="connsiteX2" fmla="*/ 1732 w 36274"/>
              <a:gd name="connsiteY2" fmla="*/ 6902 h 55014"/>
              <a:gd name="connsiteX3" fmla="*/ 14030 w 36274"/>
              <a:gd name="connsiteY3" fmla="*/ 17219 h 55014"/>
              <a:gd name="connsiteX4" fmla="*/ 28716 w 36274"/>
              <a:gd name="connsiteY4" fmla="*/ 51189 h 55014"/>
              <a:gd name="connsiteX5" fmla="*/ 32415 w 36274"/>
              <a:gd name="connsiteY5" fmla="*/ 55014 h 55014"/>
              <a:gd name="connsiteX6" fmla="*/ 32496 w 36274"/>
              <a:gd name="connsiteY6" fmla="*/ 55014 h 55014"/>
              <a:gd name="connsiteX7" fmla="*/ 36274 w 36274"/>
              <a:gd name="connsiteY7" fmla="*/ 51342 h 55014"/>
              <a:gd name="connsiteX8" fmla="*/ 19607 w 36274"/>
              <a:gd name="connsiteY8" fmla="*/ 12156 h 55014"/>
              <a:gd name="connsiteX9" fmla="*/ 5790 w 36274"/>
              <a:gd name="connsiteY9" fmla="*/ 576 h 5501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36274" h="55014">
                <a:moveTo>
                  <a:pt x="5790" y="576"/>
                </a:moveTo>
                <a:cubicBezTo>
                  <a:pt x="4024" y="-526"/>
                  <a:pt x="1691" y="1"/>
                  <a:pt x="580" y="1754"/>
                </a:cubicBezTo>
                <a:cubicBezTo>
                  <a:pt x="-522" y="3493"/>
                  <a:pt x="-8" y="5789"/>
                  <a:pt x="1732" y="6902"/>
                </a:cubicBezTo>
                <a:cubicBezTo>
                  <a:pt x="6269" y="9791"/>
                  <a:pt x="10404" y="13260"/>
                  <a:pt x="14030" y="17219"/>
                </a:cubicBezTo>
                <a:cubicBezTo>
                  <a:pt x="22999" y="26344"/>
                  <a:pt x="28233" y="38450"/>
                  <a:pt x="28716" y="51189"/>
                </a:cubicBezTo>
                <a:cubicBezTo>
                  <a:pt x="28673" y="53259"/>
                  <a:pt x="30329" y="54971"/>
                  <a:pt x="32415" y="55014"/>
                </a:cubicBezTo>
                <a:lnTo>
                  <a:pt x="32496" y="55014"/>
                </a:lnTo>
                <a:cubicBezTo>
                  <a:pt x="34552" y="55014"/>
                  <a:pt x="36231" y="53382"/>
                  <a:pt x="36274" y="51342"/>
                </a:cubicBezTo>
                <a:cubicBezTo>
                  <a:pt x="35820" y="36678"/>
                  <a:pt x="29878" y="22707"/>
                  <a:pt x="19607" y="12156"/>
                </a:cubicBezTo>
                <a:cubicBezTo>
                  <a:pt x="15534" y="7711"/>
                  <a:pt x="10888" y="3818"/>
                  <a:pt x="5790" y="57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10" name="Freeform: Shape 109">
            <a:extLst>
              <a:ext uri="{FF2B5EF4-FFF2-40B4-BE49-F238E27FC236}">
                <a16:creationId xmlns:a16="http://schemas.microsoft.com/office/drawing/2014/main" id="{8D08E4CD-5509-4876-AD1A-9BA2998C7B34}"/>
              </a:ext>
            </a:extLst>
          </xdr:cNvPr>
          <xdr:cNvSpPr/>
        </xdr:nvSpPr>
        <xdr:spPr>
          <a:xfrm>
            <a:off x="11940186" y="10659335"/>
            <a:ext cx="36738" cy="17980"/>
          </a:xfrm>
          <a:custGeom>
            <a:avLst/>
            <a:gdLst>
              <a:gd name="connsiteX0" fmla="*/ 32056 w 36738"/>
              <a:gd name="connsiteY0" fmla="*/ 108 h 17980"/>
              <a:gd name="connsiteX1" fmla="*/ 2045 w 36738"/>
              <a:gd name="connsiteY1" fmla="*/ 10898 h 17980"/>
              <a:gd name="connsiteX2" fmla="*/ 423 w 36738"/>
              <a:gd name="connsiteY2" fmla="*/ 15951 h 17980"/>
              <a:gd name="connsiteX3" fmla="*/ 5514 w 36738"/>
              <a:gd name="connsiteY3" fmla="*/ 17561 h 17980"/>
              <a:gd name="connsiteX4" fmla="*/ 5576 w 36738"/>
              <a:gd name="connsiteY4" fmla="*/ 17529 h 17980"/>
              <a:gd name="connsiteX5" fmla="*/ 33756 w 36738"/>
              <a:gd name="connsiteY5" fmla="*/ 7416 h 17980"/>
              <a:gd name="connsiteX6" fmla="*/ 36652 w 36738"/>
              <a:gd name="connsiteY6" fmla="*/ 2960 h 17980"/>
              <a:gd name="connsiteX7" fmla="*/ 32162 w 36738"/>
              <a:gd name="connsiteY7" fmla="*/ 85 h 17980"/>
              <a:gd name="connsiteX8" fmla="*/ 32059 w 36738"/>
              <a:gd name="connsiteY8" fmla="*/ 109 h 179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36738" h="17980">
                <a:moveTo>
                  <a:pt x="32056" y="108"/>
                </a:moveTo>
                <a:cubicBezTo>
                  <a:pt x="21624" y="2402"/>
                  <a:pt x="11537" y="6029"/>
                  <a:pt x="2045" y="10898"/>
                </a:cubicBezTo>
                <a:cubicBezTo>
                  <a:pt x="191" y="11849"/>
                  <a:pt x="-536" y="14111"/>
                  <a:pt x="423" y="15951"/>
                </a:cubicBezTo>
                <a:cubicBezTo>
                  <a:pt x="1380" y="17791"/>
                  <a:pt x="3660" y="18512"/>
                  <a:pt x="5514" y="17561"/>
                </a:cubicBezTo>
                <a:cubicBezTo>
                  <a:pt x="5535" y="17550"/>
                  <a:pt x="5555" y="17540"/>
                  <a:pt x="5576" y="17529"/>
                </a:cubicBezTo>
                <a:cubicBezTo>
                  <a:pt x="14490" y="12964"/>
                  <a:pt x="23962" y="9565"/>
                  <a:pt x="33756" y="7416"/>
                </a:cubicBezTo>
                <a:cubicBezTo>
                  <a:pt x="35796" y="6980"/>
                  <a:pt x="37093" y="4984"/>
                  <a:pt x="36652" y="2960"/>
                </a:cubicBezTo>
                <a:cubicBezTo>
                  <a:pt x="36212" y="935"/>
                  <a:pt x="34202" y="-352"/>
                  <a:pt x="32162" y="85"/>
                </a:cubicBezTo>
                <a:cubicBezTo>
                  <a:pt x="32127" y="93"/>
                  <a:pt x="32093" y="101"/>
                  <a:pt x="32059" y="10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11" name="Freeform: Shape 110">
            <a:extLst>
              <a:ext uri="{FF2B5EF4-FFF2-40B4-BE49-F238E27FC236}">
                <a16:creationId xmlns:a16="http://schemas.microsoft.com/office/drawing/2014/main" id="{5019DCD4-BC15-4F7E-880B-B506401F4122}"/>
              </a:ext>
            </a:extLst>
          </xdr:cNvPr>
          <xdr:cNvSpPr/>
        </xdr:nvSpPr>
        <xdr:spPr>
          <a:xfrm>
            <a:off x="12017474" y="10655869"/>
            <a:ext cx="64269" cy="24033"/>
          </a:xfrm>
          <a:custGeom>
            <a:avLst/>
            <a:gdLst>
              <a:gd name="connsiteX0" fmla="*/ 63605 w 64269"/>
              <a:gd name="connsiteY0" fmla="*/ 22406 h 24033"/>
              <a:gd name="connsiteX1" fmla="*/ 62632 w 64269"/>
              <a:gd name="connsiteY1" fmla="*/ 17195 h 24033"/>
              <a:gd name="connsiteX2" fmla="*/ 62629 w 64269"/>
              <a:gd name="connsiteY2" fmla="*/ 17193 h 24033"/>
              <a:gd name="connsiteX3" fmla="*/ 4055 w 64269"/>
              <a:gd name="connsiteY3" fmla="*/ 10 h 24033"/>
              <a:gd name="connsiteX4" fmla="*/ 10 w 64269"/>
              <a:gd name="connsiteY4" fmla="*/ 3476 h 24033"/>
              <a:gd name="connsiteX5" fmla="*/ 3502 w 64269"/>
              <a:gd name="connsiteY5" fmla="*/ 7490 h 24033"/>
              <a:gd name="connsiteX6" fmla="*/ 58353 w 64269"/>
              <a:gd name="connsiteY6" fmla="*/ 23375 h 24033"/>
              <a:gd name="connsiteX7" fmla="*/ 63603 w 64269"/>
              <a:gd name="connsiteY7" fmla="*/ 22409 h 24033"/>
              <a:gd name="connsiteX8" fmla="*/ 63605 w 64269"/>
              <a:gd name="connsiteY8" fmla="*/ 22407 h 240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64269" h="24033">
                <a:moveTo>
                  <a:pt x="63605" y="22406"/>
                </a:moveTo>
                <a:cubicBezTo>
                  <a:pt x="64786" y="20700"/>
                  <a:pt x="64350" y="18368"/>
                  <a:pt x="62632" y="17195"/>
                </a:cubicBezTo>
                <a:cubicBezTo>
                  <a:pt x="62631" y="17195"/>
                  <a:pt x="62630" y="17194"/>
                  <a:pt x="62629" y="17193"/>
                </a:cubicBezTo>
                <a:cubicBezTo>
                  <a:pt x="49148" y="8006"/>
                  <a:pt x="27799" y="1743"/>
                  <a:pt x="4055" y="10"/>
                </a:cubicBezTo>
                <a:cubicBezTo>
                  <a:pt x="1974" y="-141"/>
                  <a:pt x="163" y="1410"/>
                  <a:pt x="10" y="3476"/>
                </a:cubicBezTo>
                <a:cubicBezTo>
                  <a:pt x="-143" y="5541"/>
                  <a:pt x="1421" y="7339"/>
                  <a:pt x="3502" y="7490"/>
                </a:cubicBezTo>
                <a:cubicBezTo>
                  <a:pt x="25620" y="9103"/>
                  <a:pt x="46124" y="15041"/>
                  <a:pt x="58353" y="23375"/>
                </a:cubicBezTo>
                <a:cubicBezTo>
                  <a:pt x="60071" y="24547"/>
                  <a:pt x="62422" y="24114"/>
                  <a:pt x="63603" y="22409"/>
                </a:cubicBezTo>
                <a:cubicBezTo>
                  <a:pt x="63604" y="22408"/>
                  <a:pt x="63604" y="22407"/>
                  <a:pt x="63605" y="2240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12" name="Freeform: Shape 111">
            <a:extLst>
              <a:ext uri="{FF2B5EF4-FFF2-40B4-BE49-F238E27FC236}">
                <a16:creationId xmlns:a16="http://schemas.microsoft.com/office/drawing/2014/main" id="{3BAB761A-BBDF-4811-8036-D63878A97A1C}"/>
              </a:ext>
            </a:extLst>
          </xdr:cNvPr>
          <xdr:cNvSpPr/>
        </xdr:nvSpPr>
        <xdr:spPr>
          <a:xfrm>
            <a:off x="11926256" y="10582334"/>
            <a:ext cx="86610" cy="75450"/>
          </a:xfrm>
          <a:custGeom>
            <a:avLst/>
            <a:gdLst>
              <a:gd name="connsiteX0" fmla="*/ 7206 w 86610"/>
              <a:gd name="connsiteY0" fmla="*/ 73282 h 75450"/>
              <a:gd name="connsiteX1" fmla="*/ 27263 w 86610"/>
              <a:gd name="connsiteY1" fmla="*/ 43125 h 75450"/>
              <a:gd name="connsiteX2" fmla="*/ 83533 w 86610"/>
              <a:gd name="connsiteY2" fmla="*/ 7435 h 75450"/>
              <a:gd name="connsiteX3" fmla="*/ 86544 w 86610"/>
              <a:gd name="connsiteY3" fmla="*/ 3055 h 75450"/>
              <a:gd name="connsiteX4" fmla="*/ 82172 w 86610"/>
              <a:gd name="connsiteY4" fmla="*/ 58 h 75450"/>
              <a:gd name="connsiteX5" fmla="*/ 21578 w 86610"/>
              <a:gd name="connsiteY5" fmla="*/ 38184 h 75450"/>
              <a:gd name="connsiteX6" fmla="*/ 354 w 86610"/>
              <a:gd name="connsiteY6" fmla="*/ 70116 h 75450"/>
              <a:gd name="connsiteX7" fmla="*/ 2185 w 86610"/>
              <a:gd name="connsiteY7" fmla="*/ 75099 h 75450"/>
              <a:gd name="connsiteX8" fmla="*/ 7206 w 86610"/>
              <a:gd name="connsiteY8" fmla="*/ 73282 h 754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86610" h="75450">
                <a:moveTo>
                  <a:pt x="7206" y="73282"/>
                </a:moveTo>
                <a:cubicBezTo>
                  <a:pt x="12420" y="62338"/>
                  <a:pt x="19174" y="52185"/>
                  <a:pt x="27263" y="43125"/>
                </a:cubicBezTo>
                <a:cubicBezTo>
                  <a:pt x="44011" y="24140"/>
                  <a:pt x="65047" y="10800"/>
                  <a:pt x="83533" y="7435"/>
                </a:cubicBezTo>
                <a:cubicBezTo>
                  <a:pt x="85583" y="7051"/>
                  <a:pt x="86931" y="5089"/>
                  <a:pt x="86544" y="3055"/>
                </a:cubicBezTo>
                <a:cubicBezTo>
                  <a:pt x="86160" y="1036"/>
                  <a:pt x="84210" y="-300"/>
                  <a:pt x="82172" y="58"/>
                </a:cubicBezTo>
                <a:cubicBezTo>
                  <a:pt x="62064" y="3717"/>
                  <a:pt x="39412" y="17967"/>
                  <a:pt x="21578" y="38184"/>
                </a:cubicBezTo>
                <a:cubicBezTo>
                  <a:pt x="13018" y="47779"/>
                  <a:pt x="5872" y="58530"/>
                  <a:pt x="354" y="70116"/>
                </a:cubicBezTo>
                <a:cubicBezTo>
                  <a:pt x="-527" y="71994"/>
                  <a:pt x="293" y="74225"/>
                  <a:pt x="2185" y="75099"/>
                </a:cubicBezTo>
                <a:cubicBezTo>
                  <a:pt x="4077" y="75973"/>
                  <a:pt x="6325" y="75160"/>
                  <a:pt x="7206" y="7328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13" name="Freeform: Shape 112">
            <a:extLst>
              <a:ext uri="{FF2B5EF4-FFF2-40B4-BE49-F238E27FC236}">
                <a16:creationId xmlns:a16="http://schemas.microsoft.com/office/drawing/2014/main" id="{10093B34-5AD4-42B1-9DC4-DCD63FD69B49}"/>
              </a:ext>
            </a:extLst>
          </xdr:cNvPr>
          <xdr:cNvSpPr/>
        </xdr:nvSpPr>
        <xdr:spPr>
          <a:xfrm>
            <a:off x="11885127" y="10722848"/>
            <a:ext cx="24390" cy="124783"/>
          </a:xfrm>
          <a:custGeom>
            <a:avLst/>
            <a:gdLst>
              <a:gd name="connsiteX0" fmla="*/ 22118 w 24390"/>
              <a:gd name="connsiteY0" fmla="*/ 312 h 124783"/>
              <a:gd name="connsiteX1" fmla="*/ 17146 w 24390"/>
              <a:gd name="connsiteY1" fmla="*/ 2255 h 124783"/>
              <a:gd name="connsiteX2" fmla="*/ 17146 w 24390"/>
              <a:gd name="connsiteY2" fmla="*/ 2256 h 124783"/>
              <a:gd name="connsiteX3" fmla="*/ 1977 w 24390"/>
              <a:gd name="connsiteY3" fmla="*/ 63106 h 124783"/>
              <a:gd name="connsiteX4" fmla="*/ 1691 w 24390"/>
              <a:gd name="connsiteY4" fmla="*/ 121558 h 124783"/>
              <a:gd name="connsiteX5" fmla="*/ 5427 w 24390"/>
              <a:gd name="connsiteY5" fmla="*/ 124783 h 124783"/>
              <a:gd name="connsiteX6" fmla="*/ 5962 w 24390"/>
              <a:gd name="connsiteY6" fmla="*/ 124746 h 124783"/>
              <a:gd name="connsiteX7" fmla="*/ 9174 w 24390"/>
              <a:gd name="connsiteY7" fmla="*/ 120508 h 124783"/>
              <a:gd name="connsiteX8" fmla="*/ 9482 w 24390"/>
              <a:gd name="connsiteY8" fmla="*/ 63993 h 124783"/>
              <a:gd name="connsiteX9" fmla="*/ 24075 w 24390"/>
              <a:gd name="connsiteY9" fmla="*/ 5249 h 124783"/>
              <a:gd name="connsiteX10" fmla="*/ 22120 w 24390"/>
              <a:gd name="connsiteY10" fmla="*/ 313 h 124783"/>
              <a:gd name="connsiteX11" fmla="*/ 22118 w 24390"/>
              <a:gd name="connsiteY11" fmla="*/ 312 h 12478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24390" h="124783">
                <a:moveTo>
                  <a:pt x="22118" y="312"/>
                </a:moveTo>
                <a:cubicBezTo>
                  <a:pt x="20204" y="-514"/>
                  <a:pt x="17978" y="356"/>
                  <a:pt x="17146" y="2255"/>
                </a:cubicBezTo>
                <a:cubicBezTo>
                  <a:pt x="17146" y="2255"/>
                  <a:pt x="17146" y="2256"/>
                  <a:pt x="17146" y="2256"/>
                </a:cubicBezTo>
                <a:cubicBezTo>
                  <a:pt x="9258" y="21739"/>
                  <a:pt x="4153" y="42220"/>
                  <a:pt x="1977" y="63106"/>
                </a:cubicBezTo>
                <a:cubicBezTo>
                  <a:pt x="-560" y="82503"/>
                  <a:pt x="-656" y="102137"/>
                  <a:pt x="1691" y="121558"/>
                </a:cubicBezTo>
                <a:cubicBezTo>
                  <a:pt x="1954" y="123406"/>
                  <a:pt x="3547" y="124781"/>
                  <a:pt x="5427" y="124783"/>
                </a:cubicBezTo>
                <a:cubicBezTo>
                  <a:pt x="5606" y="124784"/>
                  <a:pt x="5785" y="124771"/>
                  <a:pt x="5962" y="124746"/>
                </a:cubicBezTo>
                <a:cubicBezTo>
                  <a:pt x="8028" y="124456"/>
                  <a:pt x="9465" y="122558"/>
                  <a:pt x="9174" y="120508"/>
                </a:cubicBezTo>
                <a:cubicBezTo>
                  <a:pt x="6917" y="101730"/>
                  <a:pt x="7020" y="82746"/>
                  <a:pt x="9482" y="63993"/>
                </a:cubicBezTo>
                <a:cubicBezTo>
                  <a:pt x="11568" y="43833"/>
                  <a:pt x="16480" y="24061"/>
                  <a:pt x="24075" y="5249"/>
                </a:cubicBezTo>
                <a:cubicBezTo>
                  <a:pt x="24908" y="3350"/>
                  <a:pt x="24033" y="1141"/>
                  <a:pt x="22120" y="313"/>
                </a:cubicBezTo>
                <a:cubicBezTo>
                  <a:pt x="22120" y="313"/>
                  <a:pt x="22119" y="313"/>
                  <a:pt x="22118" y="31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14" name="Freeform: Shape 113">
            <a:extLst>
              <a:ext uri="{FF2B5EF4-FFF2-40B4-BE49-F238E27FC236}">
                <a16:creationId xmlns:a16="http://schemas.microsoft.com/office/drawing/2014/main" id="{5B225F23-3E59-4249-BA24-130627EC37A6}"/>
              </a:ext>
            </a:extLst>
          </xdr:cNvPr>
          <xdr:cNvSpPr/>
        </xdr:nvSpPr>
        <xdr:spPr>
          <a:xfrm>
            <a:off x="11856873" y="10716895"/>
            <a:ext cx="26354" cy="41127"/>
          </a:xfrm>
          <a:custGeom>
            <a:avLst/>
            <a:gdLst>
              <a:gd name="connsiteX0" fmla="*/ 19821 w 26354"/>
              <a:gd name="connsiteY0" fmla="*/ 1183 h 41127"/>
              <a:gd name="connsiteX1" fmla="*/ 12712 w 26354"/>
              <a:gd name="connsiteY1" fmla="*/ 9763 h 41127"/>
              <a:gd name="connsiteX2" fmla="*/ 84 w 26354"/>
              <a:gd name="connsiteY2" fmla="*/ 36594 h 41127"/>
              <a:gd name="connsiteX3" fmla="*/ 2990 w 26354"/>
              <a:gd name="connsiteY3" fmla="*/ 41044 h 41127"/>
              <a:gd name="connsiteX4" fmla="*/ 3783 w 26354"/>
              <a:gd name="connsiteY4" fmla="*/ 41128 h 41127"/>
              <a:gd name="connsiteX5" fmla="*/ 7475 w 26354"/>
              <a:gd name="connsiteY5" fmla="*/ 38160 h 41127"/>
              <a:gd name="connsiteX6" fmla="*/ 18845 w 26354"/>
              <a:gd name="connsiteY6" fmla="*/ 14146 h 41127"/>
              <a:gd name="connsiteX7" fmla="*/ 25331 w 26354"/>
              <a:gd name="connsiteY7" fmla="*/ 6317 h 41127"/>
              <a:gd name="connsiteX8" fmla="*/ 25162 w 26354"/>
              <a:gd name="connsiteY8" fmla="*/ 1016 h 41127"/>
              <a:gd name="connsiteX9" fmla="*/ 19822 w 26354"/>
              <a:gd name="connsiteY9" fmla="*/ 1183 h 411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26354" h="41127">
                <a:moveTo>
                  <a:pt x="19821" y="1183"/>
                </a:moveTo>
                <a:cubicBezTo>
                  <a:pt x="17268" y="3888"/>
                  <a:pt x="14894" y="6754"/>
                  <a:pt x="12712" y="9763"/>
                </a:cubicBezTo>
                <a:cubicBezTo>
                  <a:pt x="6728" y="17773"/>
                  <a:pt x="2433" y="26898"/>
                  <a:pt x="84" y="36594"/>
                </a:cubicBezTo>
                <a:cubicBezTo>
                  <a:pt x="-352" y="38619"/>
                  <a:pt x="949" y="40611"/>
                  <a:pt x="2990" y="41044"/>
                </a:cubicBezTo>
                <a:cubicBezTo>
                  <a:pt x="3250" y="41099"/>
                  <a:pt x="3516" y="41127"/>
                  <a:pt x="3783" y="41128"/>
                </a:cubicBezTo>
                <a:cubicBezTo>
                  <a:pt x="5565" y="41125"/>
                  <a:pt x="7102" y="39889"/>
                  <a:pt x="7475" y="38160"/>
                </a:cubicBezTo>
                <a:cubicBezTo>
                  <a:pt x="9602" y="29479"/>
                  <a:pt x="13469" y="21312"/>
                  <a:pt x="18845" y="14146"/>
                </a:cubicBezTo>
                <a:cubicBezTo>
                  <a:pt x="20834" y="11400"/>
                  <a:pt x="23001" y="8785"/>
                  <a:pt x="25331" y="6317"/>
                </a:cubicBezTo>
                <a:cubicBezTo>
                  <a:pt x="26759" y="4807"/>
                  <a:pt x="26684" y="2434"/>
                  <a:pt x="25162" y="1016"/>
                </a:cubicBezTo>
                <a:cubicBezTo>
                  <a:pt x="23641" y="-401"/>
                  <a:pt x="21250" y="-327"/>
                  <a:pt x="19822" y="118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15" name="Freeform: Shape 114">
            <a:extLst>
              <a:ext uri="{FF2B5EF4-FFF2-40B4-BE49-F238E27FC236}">
                <a16:creationId xmlns:a16="http://schemas.microsoft.com/office/drawing/2014/main" id="{248F7420-D12F-4A21-83A4-39FA81BC8BAE}"/>
              </a:ext>
            </a:extLst>
          </xdr:cNvPr>
          <xdr:cNvSpPr/>
        </xdr:nvSpPr>
        <xdr:spPr>
          <a:xfrm>
            <a:off x="11893355" y="10576946"/>
            <a:ext cx="16299" cy="35423"/>
          </a:xfrm>
          <a:custGeom>
            <a:avLst/>
            <a:gdLst>
              <a:gd name="connsiteX0" fmla="*/ 8804 w 16299"/>
              <a:gd name="connsiteY0" fmla="*/ 32355 h 35423"/>
              <a:gd name="connsiteX1" fmla="*/ 13208 w 16299"/>
              <a:gd name="connsiteY1" fmla="*/ 35360 h 35423"/>
              <a:gd name="connsiteX2" fmla="*/ 16235 w 16299"/>
              <a:gd name="connsiteY2" fmla="*/ 30989 h 35423"/>
              <a:gd name="connsiteX3" fmla="*/ 7167 w 16299"/>
              <a:gd name="connsiteY3" fmla="*/ 2092 h 35423"/>
              <a:gd name="connsiteX4" fmla="*/ 2107 w 16299"/>
              <a:gd name="connsiteY4" fmla="*/ 388 h 35423"/>
              <a:gd name="connsiteX5" fmla="*/ 391 w 16299"/>
              <a:gd name="connsiteY5" fmla="*/ 5410 h 35423"/>
              <a:gd name="connsiteX6" fmla="*/ 459 w 16299"/>
              <a:gd name="connsiteY6" fmla="*/ 5542 h 35423"/>
              <a:gd name="connsiteX7" fmla="*/ 8804 w 16299"/>
              <a:gd name="connsiteY7" fmla="*/ 32355 h 3542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16299" h="35423">
                <a:moveTo>
                  <a:pt x="8804" y="32355"/>
                </a:moveTo>
                <a:cubicBezTo>
                  <a:pt x="9184" y="34392"/>
                  <a:pt x="11156" y="35737"/>
                  <a:pt x="13208" y="35360"/>
                </a:cubicBezTo>
                <a:cubicBezTo>
                  <a:pt x="15260" y="34983"/>
                  <a:pt x="16616" y="33026"/>
                  <a:pt x="16235" y="30989"/>
                </a:cubicBezTo>
                <a:cubicBezTo>
                  <a:pt x="14560" y="20990"/>
                  <a:pt x="11509" y="11266"/>
                  <a:pt x="7167" y="2092"/>
                </a:cubicBezTo>
                <a:cubicBezTo>
                  <a:pt x="6244" y="234"/>
                  <a:pt x="3978" y="-529"/>
                  <a:pt x="2107" y="388"/>
                </a:cubicBezTo>
                <a:cubicBezTo>
                  <a:pt x="236" y="1304"/>
                  <a:pt x="-533" y="3553"/>
                  <a:pt x="391" y="5410"/>
                </a:cubicBezTo>
                <a:cubicBezTo>
                  <a:pt x="413" y="5455"/>
                  <a:pt x="435" y="5498"/>
                  <a:pt x="459" y="5542"/>
                </a:cubicBezTo>
                <a:cubicBezTo>
                  <a:pt x="4458" y="14060"/>
                  <a:pt x="7266" y="23082"/>
                  <a:pt x="8804" y="3235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16" name="Freeform: Shape 115">
            <a:extLst>
              <a:ext uri="{FF2B5EF4-FFF2-40B4-BE49-F238E27FC236}">
                <a16:creationId xmlns:a16="http://schemas.microsoft.com/office/drawing/2014/main" id="{97566034-DA89-4121-A2F1-B7D975241522}"/>
              </a:ext>
            </a:extLst>
          </xdr:cNvPr>
          <xdr:cNvSpPr/>
        </xdr:nvSpPr>
        <xdr:spPr>
          <a:xfrm>
            <a:off x="11930749" y="10734032"/>
            <a:ext cx="24711" cy="82585"/>
          </a:xfrm>
          <a:custGeom>
            <a:avLst/>
            <a:gdLst>
              <a:gd name="connsiteX0" fmla="*/ 20928 w 24711"/>
              <a:gd name="connsiteY0" fmla="*/ 82585 h 82585"/>
              <a:gd name="connsiteX1" fmla="*/ 24712 w 24711"/>
              <a:gd name="connsiteY1" fmla="*/ 78833 h 82585"/>
              <a:gd name="connsiteX2" fmla="*/ 24684 w 24711"/>
              <a:gd name="connsiteY2" fmla="*/ 78377 h 82585"/>
              <a:gd name="connsiteX3" fmla="*/ 7344 w 24711"/>
              <a:gd name="connsiteY3" fmla="*/ 2506 h 82585"/>
              <a:gd name="connsiteX4" fmla="*/ 2525 w 24711"/>
              <a:gd name="connsiteY4" fmla="*/ 214 h 82585"/>
              <a:gd name="connsiteX5" fmla="*/ 215 w 24711"/>
              <a:gd name="connsiteY5" fmla="*/ 4997 h 82585"/>
              <a:gd name="connsiteX6" fmla="*/ 17183 w 24711"/>
              <a:gd name="connsiteY6" fmla="*/ 79293 h 82585"/>
              <a:gd name="connsiteX7" fmla="*/ 20928 w 24711"/>
              <a:gd name="connsiteY7" fmla="*/ 82585 h 8258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24711" h="82585">
                <a:moveTo>
                  <a:pt x="20928" y="82585"/>
                </a:moveTo>
                <a:cubicBezTo>
                  <a:pt x="23017" y="82586"/>
                  <a:pt x="24711" y="80906"/>
                  <a:pt x="24712" y="78833"/>
                </a:cubicBezTo>
                <a:cubicBezTo>
                  <a:pt x="24712" y="78680"/>
                  <a:pt x="24703" y="78528"/>
                  <a:pt x="24684" y="78377"/>
                </a:cubicBezTo>
                <a:cubicBezTo>
                  <a:pt x="21662" y="52543"/>
                  <a:pt x="15849" y="27106"/>
                  <a:pt x="7344" y="2506"/>
                </a:cubicBezTo>
                <a:cubicBezTo>
                  <a:pt x="6651" y="552"/>
                  <a:pt x="4494" y="-474"/>
                  <a:pt x="2525" y="214"/>
                </a:cubicBezTo>
                <a:cubicBezTo>
                  <a:pt x="557" y="902"/>
                  <a:pt x="-478" y="3043"/>
                  <a:pt x="215" y="4997"/>
                </a:cubicBezTo>
                <a:cubicBezTo>
                  <a:pt x="8540" y="29087"/>
                  <a:pt x="14228" y="53996"/>
                  <a:pt x="17183" y="79293"/>
                </a:cubicBezTo>
                <a:cubicBezTo>
                  <a:pt x="17416" y="81171"/>
                  <a:pt x="19022" y="82583"/>
                  <a:pt x="20928" y="8258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17" name="Freeform: Shape 116">
            <a:extLst>
              <a:ext uri="{FF2B5EF4-FFF2-40B4-BE49-F238E27FC236}">
                <a16:creationId xmlns:a16="http://schemas.microsoft.com/office/drawing/2014/main" id="{58D47DEF-2739-4F54-A99A-539B112954C8}"/>
              </a:ext>
            </a:extLst>
          </xdr:cNvPr>
          <xdr:cNvSpPr/>
        </xdr:nvSpPr>
        <xdr:spPr>
          <a:xfrm>
            <a:off x="11763223" y="1071156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18" name="Freeform: Shape 117">
            <a:extLst>
              <a:ext uri="{FF2B5EF4-FFF2-40B4-BE49-F238E27FC236}">
                <a16:creationId xmlns:a16="http://schemas.microsoft.com/office/drawing/2014/main" id="{0A4BD12C-F673-4F5F-B78F-DC980D915F93}"/>
              </a:ext>
            </a:extLst>
          </xdr:cNvPr>
          <xdr:cNvSpPr/>
        </xdr:nvSpPr>
        <xdr:spPr>
          <a:xfrm>
            <a:off x="11842568" y="1077531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19" name="Freeform: Shape 118">
            <a:extLst>
              <a:ext uri="{FF2B5EF4-FFF2-40B4-BE49-F238E27FC236}">
                <a16:creationId xmlns:a16="http://schemas.microsoft.com/office/drawing/2014/main" id="{CA9030E4-7345-45ED-9D53-42011C9DEE28}"/>
              </a:ext>
            </a:extLst>
          </xdr:cNvPr>
          <xdr:cNvSpPr/>
        </xdr:nvSpPr>
        <xdr:spPr>
          <a:xfrm>
            <a:off x="11997481" y="1075656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20" name="Freeform: Shape 119">
            <a:extLst>
              <a:ext uri="{FF2B5EF4-FFF2-40B4-BE49-F238E27FC236}">
                <a16:creationId xmlns:a16="http://schemas.microsoft.com/office/drawing/2014/main" id="{567B3DAA-3779-4775-8C7D-23EF5400A291}"/>
              </a:ext>
            </a:extLst>
          </xdr:cNvPr>
          <xdr:cNvSpPr/>
        </xdr:nvSpPr>
        <xdr:spPr>
          <a:xfrm>
            <a:off x="11948362" y="1084281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21" name="Freeform: Shape 120">
            <a:extLst>
              <a:ext uri="{FF2B5EF4-FFF2-40B4-BE49-F238E27FC236}">
                <a16:creationId xmlns:a16="http://schemas.microsoft.com/office/drawing/2014/main" id="{A7F10140-343E-4FC1-8931-050CBBBEDB77}"/>
              </a:ext>
            </a:extLst>
          </xdr:cNvPr>
          <xdr:cNvSpPr/>
        </xdr:nvSpPr>
        <xdr:spPr>
          <a:xfrm>
            <a:off x="11933249" y="1058406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22" name="Freeform: Shape 121">
            <a:extLst>
              <a:ext uri="{FF2B5EF4-FFF2-40B4-BE49-F238E27FC236}">
                <a16:creationId xmlns:a16="http://schemas.microsoft.com/office/drawing/2014/main" id="{F4BF7E0D-847A-4831-A4C2-3E4CAD2C0BC2}"/>
              </a:ext>
            </a:extLst>
          </xdr:cNvPr>
          <xdr:cNvSpPr/>
        </xdr:nvSpPr>
        <xdr:spPr>
          <a:xfrm>
            <a:off x="11846347" y="1057281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23" name="Freeform: Shape 122">
            <a:extLst>
              <a:ext uri="{FF2B5EF4-FFF2-40B4-BE49-F238E27FC236}">
                <a16:creationId xmlns:a16="http://schemas.microsoft.com/office/drawing/2014/main" id="{DA3A221E-8559-4C69-B2C1-03674E6BA713}"/>
              </a:ext>
            </a:extLst>
          </xdr:cNvPr>
          <xdr:cNvSpPr/>
        </xdr:nvSpPr>
        <xdr:spPr>
          <a:xfrm>
            <a:off x="11989924" y="1065156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24" name="Freeform: Shape 123">
            <a:extLst>
              <a:ext uri="{FF2B5EF4-FFF2-40B4-BE49-F238E27FC236}">
                <a16:creationId xmlns:a16="http://schemas.microsoft.com/office/drawing/2014/main" id="{64D1969E-0849-4AB2-BD88-F4FC981E6682}"/>
              </a:ext>
            </a:extLst>
          </xdr:cNvPr>
          <xdr:cNvSpPr/>
        </xdr:nvSpPr>
        <xdr:spPr>
          <a:xfrm>
            <a:off x="11812342" y="1072281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25" name="Freeform: Shape 124">
            <a:extLst>
              <a:ext uri="{FF2B5EF4-FFF2-40B4-BE49-F238E27FC236}">
                <a16:creationId xmlns:a16="http://schemas.microsoft.com/office/drawing/2014/main" id="{5BE40313-26A7-41EC-A6C0-0448138B4E53}"/>
              </a:ext>
            </a:extLst>
          </xdr:cNvPr>
          <xdr:cNvSpPr/>
        </xdr:nvSpPr>
        <xdr:spPr>
          <a:xfrm>
            <a:off x="11903022" y="10625157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26" name="Freeform: Shape 125">
            <a:extLst>
              <a:ext uri="{FF2B5EF4-FFF2-40B4-BE49-F238E27FC236}">
                <a16:creationId xmlns:a16="http://schemas.microsoft.com/office/drawing/2014/main" id="{4AF48E65-AB52-475E-A58E-B0D288D93DB0}"/>
              </a:ext>
            </a:extLst>
          </xdr:cNvPr>
          <xdr:cNvSpPr/>
        </xdr:nvSpPr>
        <xdr:spPr>
          <a:xfrm>
            <a:off x="11774558" y="10812857"/>
            <a:ext cx="37769" cy="37412"/>
          </a:xfrm>
          <a:custGeom>
            <a:avLst/>
            <a:gdLst>
              <a:gd name="connsiteX0" fmla="*/ 35296 w 37769"/>
              <a:gd name="connsiteY0" fmla="*/ 12053 h 37412"/>
              <a:gd name="connsiteX1" fmla="*/ 26621 w 37769"/>
              <a:gd name="connsiteY1" fmla="*/ 12053 h 37412"/>
              <a:gd name="connsiteX2" fmla="*/ 24254 w 37769"/>
              <a:gd name="connsiteY2" fmla="*/ 10331 h 37412"/>
              <a:gd name="connsiteX3" fmla="*/ 21415 w 37769"/>
              <a:gd name="connsiteY3" fmla="*/ 1878 h 37412"/>
              <a:gd name="connsiteX4" fmla="*/ 18891 w 37769"/>
              <a:gd name="connsiteY4" fmla="*/ 0 h 37412"/>
              <a:gd name="connsiteX5" fmla="*/ 16367 w 37769"/>
              <a:gd name="connsiteY5" fmla="*/ 1721 h 37412"/>
              <a:gd name="connsiteX6" fmla="*/ 13528 w 37769"/>
              <a:gd name="connsiteY6" fmla="*/ 10174 h 37412"/>
              <a:gd name="connsiteX7" fmla="*/ 11162 w 37769"/>
              <a:gd name="connsiteY7" fmla="*/ 11896 h 37412"/>
              <a:gd name="connsiteX8" fmla="*/ 2486 w 37769"/>
              <a:gd name="connsiteY8" fmla="*/ 11896 h 37412"/>
              <a:gd name="connsiteX9" fmla="*/ 120 w 37769"/>
              <a:gd name="connsiteY9" fmla="*/ 13618 h 37412"/>
              <a:gd name="connsiteX10" fmla="*/ 909 w 37769"/>
              <a:gd name="connsiteY10" fmla="*/ 16437 h 37412"/>
              <a:gd name="connsiteX11" fmla="*/ 3906 w 37769"/>
              <a:gd name="connsiteY11" fmla="*/ 19097 h 37412"/>
              <a:gd name="connsiteX12" fmla="*/ 7692 w 37769"/>
              <a:gd name="connsiteY12" fmla="*/ 22541 h 37412"/>
              <a:gd name="connsiteX13" fmla="*/ 8480 w 37769"/>
              <a:gd name="connsiteY13" fmla="*/ 23794 h 37412"/>
              <a:gd name="connsiteX14" fmla="*/ 8480 w 37769"/>
              <a:gd name="connsiteY14" fmla="*/ 25203 h 37412"/>
              <a:gd name="connsiteX15" fmla="*/ 5798 w 37769"/>
              <a:gd name="connsiteY15" fmla="*/ 34125 h 37412"/>
              <a:gd name="connsiteX16" fmla="*/ 6742 w 37769"/>
              <a:gd name="connsiteY16" fmla="*/ 36943 h 37412"/>
              <a:gd name="connsiteX17" fmla="*/ 9739 w 37769"/>
              <a:gd name="connsiteY17" fmla="*/ 36943 h 37412"/>
              <a:gd name="connsiteX18" fmla="*/ 17311 w 37769"/>
              <a:gd name="connsiteY18" fmla="*/ 31620 h 37412"/>
              <a:gd name="connsiteX19" fmla="*/ 20308 w 37769"/>
              <a:gd name="connsiteY19" fmla="*/ 31620 h 37412"/>
              <a:gd name="connsiteX20" fmla="*/ 27884 w 37769"/>
              <a:gd name="connsiteY20" fmla="*/ 36943 h 37412"/>
              <a:gd name="connsiteX21" fmla="*/ 30881 w 37769"/>
              <a:gd name="connsiteY21" fmla="*/ 36943 h 37412"/>
              <a:gd name="connsiteX22" fmla="*/ 31826 w 37769"/>
              <a:gd name="connsiteY22" fmla="*/ 34125 h 37412"/>
              <a:gd name="connsiteX23" fmla="*/ 29143 w 37769"/>
              <a:gd name="connsiteY23" fmla="*/ 25203 h 37412"/>
              <a:gd name="connsiteX24" fmla="*/ 29932 w 37769"/>
              <a:gd name="connsiteY24" fmla="*/ 22540 h 37412"/>
              <a:gd name="connsiteX25" fmla="*/ 36873 w 37769"/>
              <a:gd name="connsiteY25" fmla="*/ 16592 h 37412"/>
              <a:gd name="connsiteX26" fmla="*/ 37661 w 37769"/>
              <a:gd name="connsiteY26" fmla="*/ 13774 h 37412"/>
              <a:gd name="connsiteX27" fmla="*/ 35296 w 37769"/>
              <a:gd name="connsiteY27" fmla="*/ 12053 h 37412"/>
              <a:gd name="connsiteX28" fmla="*/ 21476 w 37769"/>
              <a:gd name="connsiteY28" fmla="*/ 24006 h 37412"/>
              <a:gd name="connsiteX29" fmla="*/ 16144 w 37769"/>
              <a:gd name="connsiteY29" fmla="*/ 24006 h 37412"/>
              <a:gd name="connsiteX30" fmla="*/ 15650 w 37769"/>
              <a:gd name="connsiteY30" fmla="*/ 21418 h 37412"/>
              <a:gd name="connsiteX31" fmla="*/ 14390 w 37769"/>
              <a:gd name="connsiteY31" fmla="*/ 18882 h 37412"/>
              <a:gd name="connsiteX32" fmla="*/ 18849 w 37769"/>
              <a:gd name="connsiteY32" fmla="*/ 15882 h 37412"/>
              <a:gd name="connsiteX33" fmla="*/ 23141 w 37769"/>
              <a:gd name="connsiteY33" fmla="*/ 18930 h 37412"/>
              <a:gd name="connsiteX34" fmla="*/ 21476 w 37769"/>
              <a:gd name="connsiteY34" fmla="*/ 24006 h 374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</a:cxnLst>
            <a:rect l="l" t="t" r="r" b="b"/>
            <a:pathLst>
              <a:path w="37769" h="37412">
                <a:moveTo>
                  <a:pt x="35296" y="12053"/>
                </a:moveTo>
                <a:lnTo>
                  <a:pt x="26621" y="12053"/>
                </a:lnTo>
                <a:cubicBezTo>
                  <a:pt x="25546" y="12028"/>
                  <a:pt x="24602" y="11340"/>
                  <a:pt x="24254" y="10331"/>
                </a:cubicBezTo>
                <a:lnTo>
                  <a:pt x="21415" y="1878"/>
                </a:lnTo>
                <a:cubicBezTo>
                  <a:pt x="21029" y="807"/>
                  <a:pt x="20036" y="68"/>
                  <a:pt x="18891" y="0"/>
                </a:cubicBezTo>
                <a:cubicBezTo>
                  <a:pt x="17793" y="64"/>
                  <a:pt x="16822" y="727"/>
                  <a:pt x="16367" y="1721"/>
                </a:cubicBezTo>
                <a:lnTo>
                  <a:pt x="13528" y="10174"/>
                </a:lnTo>
                <a:cubicBezTo>
                  <a:pt x="13236" y="11222"/>
                  <a:pt x="12257" y="11934"/>
                  <a:pt x="11162" y="11896"/>
                </a:cubicBezTo>
                <a:lnTo>
                  <a:pt x="2486" y="11896"/>
                </a:lnTo>
                <a:cubicBezTo>
                  <a:pt x="1392" y="11859"/>
                  <a:pt x="413" y="12571"/>
                  <a:pt x="120" y="13618"/>
                </a:cubicBezTo>
                <a:cubicBezTo>
                  <a:pt x="-192" y="14630"/>
                  <a:pt x="116" y="15730"/>
                  <a:pt x="909" y="16437"/>
                </a:cubicBezTo>
                <a:lnTo>
                  <a:pt x="3906" y="19097"/>
                </a:lnTo>
                <a:lnTo>
                  <a:pt x="7692" y="22541"/>
                </a:lnTo>
                <a:cubicBezTo>
                  <a:pt x="8044" y="22896"/>
                  <a:pt x="8313" y="23324"/>
                  <a:pt x="8480" y="23794"/>
                </a:cubicBezTo>
                <a:cubicBezTo>
                  <a:pt x="8638" y="24250"/>
                  <a:pt x="8638" y="24746"/>
                  <a:pt x="8480" y="25203"/>
                </a:cubicBezTo>
                <a:lnTo>
                  <a:pt x="5798" y="34125"/>
                </a:lnTo>
                <a:cubicBezTo>
                  <a:pt x="5438" y="35169"/>
                  <a:pt x="5825" y="36322"/>
                  <a:pt x="6742" y="36943"/>
                </a:cubicBezTo>
                <a:cubicBezTo>
                  <a:pt x="7642" y="37569"/>
                  <a:pt x="8840" y="37569"/>
                  <a:pt x="9739" y="36943"/>
                </a:cubicBezTo>
                <a:lnTo>
                  <a:pt x="17311" y="31620"/>
                </a:lnTo>
                <a:cubicBezTo>
                  <a:pt x="18210" y="30994"/>
                  <a:pt x="19408" y="30994"/>
                  <a:pt x="20308" y="31620"/>
                </a:cubicBezTo>
                <a:lnTo>
                  <a:pt x="27884" y="36943"/>
                </a:lnTo>
                <a:cubicBezTo>
                  <a:pt x="28784" y="37569"/>
                  <a:pt x="29981" y="37569"/>
                  <a:pt x="30881" y="36943"/>
                </a:cubicBezTo>
                <a:cubicBezTo>
                  <a:pt x="31778" y="36306"/>
                  <a:pt x="32159" y="35169"/>
                  <a:pt x="31826" y="34125"/>
                </a:cubicBezTo>
                <a:lnTo>
                  <a:pt x="29143" y="25203"/>
                </a:lnTo>
                <a:cubicBezTo>
                  <a:pt x="28830" y="24239"/>
                  <a:pt x="29143" y="23182"/>
                  <a:pt x="29932" y="22540"/>
                </a:cubicBezTo>
                <a:lnTo>
                  <a:pt x="36873" y="16592"/>
                </a:lnTo>
                <a:cubicBezTo>
                  <a:pt x="37648" y="15874"/>
                  <a:pt x="37952" y="14786"/>
                  <a:pt x="37661" y="13774"/>
                </a:cubicBezTo>
                <a:cubicBezTo>
                  <a:pt x="37275" y="12795"/>
                  <a:pt x="36354" y="12124"/>
                  <a:pt x="35296" y="12053"/>
                </a:cubicBezTo>
                <a:close/>
                <a:moveTo>
                  <a:pt x="21476" y="24006"/>
                </a:moveTo>
                <a:cubicBezTo>
                  <a:pt x="19731" y="23531"/>
                  <a:pt x="17889" y="23531"/>
                  <a:pt x="16144" y="24006"/>
                </a:cubicBezTo>
                <a:cubicBezTo>
                  <a:pt x="16098" y="23125"/>
                  <a:pt x="15931" y="22255"/>
                  <a:pt x="15650" y="21418"/>
                </a:cubicBezTo>
                <a:cubicBezTo>
                  <a:pt x="15344" y="20521"/>
                  <a:pt x="14921" y="19668"/>
                  <a:pt x="14390" y="18882"/>
                </a:cubicBezTo>
                <a:cubicBezTo>
                  <a:pt x="16128" y="18312"/>
                  <a:pt x="17672" y="17273"/>
                  <a:pt x="18849" y="15882"/>
                </a:cubicBezTo>
                <a:cubicBezTo>
                  <a:pt x="19981" y="17259"/>
                  <a:pt x="21463" y="18312"/>
                  <a:pt x="23141" y="18930"/>
                </a:cubicBezTo>
                <a:cubicBezTo>
                  <a:pt x="22134" y="20442"/>
                  <a:pt x="21558" y="22196"/>
                  <a:pt x="21476" y="2400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27" name="Freeform: Shape 126">
            <a:extLst>
              <a:ext uri="{FF2B5EF4-FFF2-40B4-BE49-F238E27FC236}">
                <a16:creationId xmlns:a16="http://schemas.microsoft.com/office/drawing/2014/main" id="{BE7C06DF-8E60-41FC-B84B-3B6F15CB0F25}"/>
              </a:ext>
            </a:extLst>
          </xdr:cNvPr>
          <xdr:cNvSpPr/>
        </xdr:nvSpPr>
        <xdr:spPr>
          <a:xfrm>
            <a:off x="11744332" y="10610357"/>
            <a:ext cx="37769" cy="37412"/>
          </a:xfrm>
          <a:custGeom>
            <a:avLst/>
            <a:gdLst>
              <a:gd name="connsiteX0" fmla="*/ 17314 w 37769"/>
              <a:gd name="connsiteY0" fmla="*/ 31620 h 37412"/>
              <a:gd name="connsiteX1" fmla="*/ 20311 w 37769"/>
              <a:gd name="connsiteY1" fmla="*/ 31620 h 37412"/>
              <a:gd name="connsiteX2" fmla="*/ 27884 w 37769"/>
              <a:gd name="connsiteY2" fmla="*/ 36944 h 37412"/>
              <a:gd name="connsiteX3" fmla="*/ 30881 w 37769"/>
              <a:gd name="connsiteY3" fmla="*/ 36944 h 37412"/>
              <a:gd name="connsiteX4" fmla="*/ 31826 w 37769"/>
              <a:gd name="connsiteY4" fmla="*/ 34125 h 37412"/>
              <a:gd name="connsiteX5" fmla="*/ 29143 w 37769"/>
              <a:gd name="connsiteY5" fmla="*/ 25203 h 37412"/>
              <a:gd name="connsiteX6" fmla="*/ 29932 w 37769"/>
              <a:gd name="connsiteY6" fmla="*/ 22540 h 37412"/>
              <a:gd name="connsiteX7" fmla="*/ 36873 w 37769"/>
              <a:gd name="connsiteY7" fmla="*/ 16592 h 37412"/>
              <a:gd name="connsiteX8" fmla="*/ 37661 w 37769"/>
              <a:gd name="connsiteY8" fmla="*/ 13774 h 37412"/>
              <a:gd name="connsiteX9" fmla="*/ 35295 w 37769"/>
              <a:gd name="connsiteY9" fmla="*/ 12052 h 37412"/>
              <a:gd name="connsiteX10" fmla="*/ 26621 w 37769"/>
              <a:gd name="connsiteY10" fmla="*/ 12052 h 37412"/>
              <a:gd name="connsiteX11" fmla="*/ 24254 w 37769"/>
              <a:gd name="connsiteY11" fmla="*/ 10330 h 37412"/>
              <a:gd name="connsiteX12" fmla="*/ 21415 w 37769"/>
              <a:gd name="connsiteY12" fmla="*/ 1878 h 37412"/>
              <a:gd name="connsiteX13" fmla="*/ 18891 w 37769"/>
              <a:gd name="connsiteY13" fmla="*/ 0 h 37412"/>
              <a:gd name="connsiteX14" fmla="*/ 16367 w 37769"/>
              <a:gd name="connsiteY14" fmla="*/ 1721 h 37412"/>
              <a:gd name="connsiteX15" fmla="*/ 13528 w 37769"/>
              <a:gd name="connsiteY15" fmla="*/ 10174 h 37412"/>
              <a:gd name="connsiteX16" fmla="*/ 11162 w 37769"/>
              <a:gd name="connsiteY16" fmla="*/ 11896 h 37412"/>
              <a:gd name="connsiteX17" fmla="*/ 2487 w 37769"/>
              <a:gd name="connsiteY17" fmla="*/ 11896 h 37412"/>
              <a:gd name="connsiteX18" fmla="*/ 120 w 37769"/>
              <a:gd name="connsiteY18" fmla="*/ 13618 h 37412"/>
              <a:gd name="connsiteX19" fmla="*/ 909 w 37769"/>
              <a:gd name="connsiteY19" fmla="*/ 16437 h 37412"/>
              <a:gd name="connsiteX20" fmla="*/ 3906 w 37769"/>
              <a:gd name="connsiteY20" fmla="*/ 19097 h 37412"/>
              <a:gd name="connsiteX21" fmla="*/ 7692 w 37769"/>
              <a:gd name="connsiteY21" fmla="*/ 22541 h 37412"/>
              <a:gd name="connsiteX22" fmla="*/ 8480 w 37769"/>
              <a:gd name="connsiteY22" fmla="*/ 23794 h 37412"/>
              <a:gd name="connsiteX23" fmla="*/ 8480 w 37769"/>
              <a:gd name="connsiteY23" fmla="*/ 25203 h 37412"/>
              <a:gd name="connsiteX24" fmla="*/ 5798 w 37769"/>
              <a:gd name="connsiteY24" fmla="*/ 34125 h 37412"/>
              <a:gd name="connsiteX25" fmla="*/ 6744 w 37769"/>
              <a:gd name="connsiteY25" fmla="*/ 36944 h 37412"/>
              <a:gd name="connsiteX26" fmla="*/ 9741 w 37769"/>
              <a:gd name="connsiteY26" fmla="*/ 36944 h 37412"/>
              <a:gd name="connsiteX27" fmla="*/ 18848 w 37769"/>
              <a:gd name="connsiteY27" fmla="*/ 15886 h 37412"/>
              <a:gd name="connsiteX28" fmla="*/ 23141 w 37769"/>
              <a:gd name="connsiteY28" fmla="*/ 18935 h 37412"/>
              <a:gd name="connsiteX29" fmla="*/ 21476 w 37769"/>
              <a:gd name="connsiteY29" fmla="*/ 24006 h 37412"/>
              <a:gd name="connsiteX30" fmla="*/ 16144 w 37769"/>
              <a:gd name="connsiteY30" fmla="*/ 24006 h 37412"/>
              <a:gd name="connsiteX31" fmla="*/ 15650 w 37769"/>
              <a:gd name="connsiteY31" fmla="*/ 21419 h 37412"/>
              <a:gd name="connsiteX32" fmla="*/ 14390 w 37769"/>
              <a:gd name="connsiteY32" fmla="*/ 18882 h 37412"/>
              <a:gd name="connsiteX33" fmla="*/ 18848 w 37769"/>
              <a:gd name="connsiteY33" fmla="*/ 15886 h 374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</a:cxnLst>
            <a:rect l="l" t="t" r="r" b="b"/>
            <a:pathLst>
              <a:path w="37769" h="37412">
                <a:moveTo>
                  <a:pt x="17314" y="31620"/>
                </a:moveTo>
                <a:cubicBezTo>
                  <a:pt x="18213" y="30994"/>
                  <a:pt x="19411" y="30994"/>
                  <a:pt x="20311" y="31620"/>
                </a:cubicBezTo>
                <a:lnTo>
                  <a:pt x="27884" y="36944"/>
                </a:lnTo>
                <a:cubicBezTo>
                  <a:pt x="28784" y="37569"/>
                  <a:pt x="29981" y="37569"/>
                  <a:pt x="30881" y="36944"/>
                </a:cubicBezTo>
                <a:cubicBezTo>
                  <a:pt x="31778" y="36306"/>
                  <a:pt x="32159" y="35169"/>
                  <a:pt x="31826" y="34125"/>
                </a:cubicBezTo>
                <a:lnTo>
                  <a:pt x="29143" y="25203"/>
                </a:lnTo>
                <a:cubicBezTo>
                  <a:pt x="28830" y="24239"/>
                  <a:pt x="29143" y="23182"/>
                  <a:pt x="29932" y="22540"/>
                </a:cubicBezTo>
                <a:lnTo>
                  <a:pt x="36873" y="16592"/>
                </a:lnTo>
                <a:cubicBezTo>
                  <a:pt x="37648" y="15874"/>
                  <a:pt x="37952" y="14786"/>
                  <a:pt x="37661" y="13774"/>
                </a:cubicBezTo>
                <a:cubicBezTo>
                  <a:pt x="37275" y="12794"/>
                  <a:pt x="36353" y="12123"/>
                  <a:pt x="35295" y="12052"/>
                </a:cubicBezTo>
                <a:lnTo>
                  <a:pt x="26621" y="12052"/>
                </a:lnTo>
                <a:cubicBezTo>
                  <a:pt x="25546" y="12027"/>
                  <a:pt x="24601" y="11339"/>
                  <a:pt x="24254" y="10330"/>
                </a:cubicBezTo>
                <a:lnTo>
                  <a:pt x="21415" y="1878"/>
                </a:lnTo>
                <a:cubicBezTo>
                  <a:pt x="21029" y="807"/>
                  <a:pt x="20036" y="68"/>
                  <a:pt x="18891" y="0"/>
                </a:cubicBezTo>
                <a:cubicBezTo>
                  <a:pt x="17793" y="64"/>
                  <a:pt x="16821" y="727"/>
                  <a:pt x="16367" y="1721"/>
                </a:cubicBezTo>
                <a:lnTo>
                  <a:pt x="13528" y="10174"/>
                </a:lnTo>
                <a:cubicBezTo>
                  <a:pt x="13236" y="11223"/>
                  <a:pt x="12257" y="11934"/>
                  <a:pt x="11162" y="11896"/>
                </a:cubicBezTo>
                <a:lnTo>
                  <a:pt x="2487" y="11896"/>
                </a:lnTo>
                <a:cubicBezTo>
                  <a:pt x="1392" y="11859"/>
                  <a:pt x="413" y="12571"/>
                  <a:pt x="120" y="13618"/>
                </a:cubicBezTo>
                <a:cubicBezTo>
                  <a:pt x="-192" y="14630"/>
                  <a:pt x="115" y="15730"/>
                  <a:pt x="909" y="16437"/>
                </a:cubicBezTo>
                <a:lnTo>
                  <a:pt x="3906" y="19097"/>
                </a:lnTo>
                <a:lnTo>
                  <a:pt x="7692" y="22541"/>
                </a:lnTo>
                <a:cubicBezTo>
                  <a:pt x="8044" y="22896"/>
                  <a:pt x="8313" y="23324"/>
                  <a:pt x="8480" y="23794"/>
                </a:cubicBezTo>
                <a:cubicBezTo>
                  <a:pt x="8638" y="24250"/>
                  <a:pt x="8638" y="24746"/>
                  <a:pt x="8480" y="25203"/>
                </a:cubicBezTo>
                <a:lnTo>
                  <a:pt x="5798" y="34125"/>
                </a:lnTo>
                <a:cubicBezTo>
                  <a:pt x="5438" y="35169"/>
                  <a:pt x="5826" y="36323"/>
                  <a:pt x="6744" y="36944"/>
                </a:cubicBezTo>
                <a:cubicBezTo>
                  <a:pt x="7644" y="37569"/>
                  <a:pt x="8842" y="37569"/>
                  <a:pt x="9741" y="36944"/>
                </a:cubicBezTo>
                <a:close/>
                <a:moveTo>
                  <a:pt x="18848" y="15886"/>
                </a:moveTo>
                <a:cubicBezTo>
                  <a:pt x="19980" y="17263"/>
                  <a:pt x="21462" y="18316"/>
                  <a:pt x="23141" y="18935"/>
                </a:cubicBezTo>
                <a:cubicBezTo>
                  <a:pt x="22134" y="20445"/>
                  <a:pt x="21559" y="22197"/>
                  <a:pt x="21476" y="24006"/>
                </a:cubicBezTo>
                <a:cubicBezTo>
                  <a:pt x="19731" y="23531"/>
                  <a:pt x="17889" y="23531"/>
                  <a:pt x="16144" y="24006"/>
                </a:cubicBezTo>
                <a:cubicBezTo>
                  <a:pt x="16098" y="23125"/>
                  <a:pt x="15931" y="22255"/>
                  <a:pt x="15650" y="21419"/>
                </a:cubicBezTo>
                <a:cubicBezTo>
                  <a:pt x="15344" y="20522"/>
                  <a:pt x="14921" y="19668"/>
                  <a:pt x="14390" y="18882"/>
                </a:cubicBezTo>
                <a:cubicBezTo>
                  <a:pt x="16128" y="18313"/>
                  <a:pt x="17671" y="17276"/>
                  <a:pt x="18848" y="1588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28" name="Freeform: Shape 127">
            <a:extLst>
              <a:ext uri="{FF2B5EF4-FFF2-40B4-BE49-F238E27FC236}">
                <a16:creationId xmlns:a16="http://schemas.microsoft.com/office/drawing/2014/main" id="{2E24869C-CD98-49DE-8AE8-C5A17BE13247}"/>
              </a:ext>
            </a:extLst>
          </xdr:cNvPr>
          <xdr:cNvSpPr/>
        </xdr:nvSpPr>
        <xdr:spPr>
          <a:xfrm>
            <a:off x="12005038" y="10782482"/>
            <a:ext cx="37769" cy="37414"/>
          </a:xfrm>
          <a:custGeom>
            <a:avLst/>
            <a:gdLst>
              <a:gd name="connsiteX0" fmla="*/ 35296 w 37769"/>
              <a:gd name="connsiteY0" fmla="*/ 12054 h 37414"/>
              <a:gd name="connsiteX1" fmla="*/ 26621 w 37769"/>
              <a:gd name="connsiteY1" fmla="*/ 12054 h 37414"/>
              <a:gd name="connsiteX2" fmla="*/ 24254 w 37769"/>
              <a:gd name="connsiteY2" fmla="*/ 10332 h 37414"/>
              <a:gd name="connsiteX3" fmla="*/ 21415 w 37769"/>
              <a:gd name="connsiteY3" fmla="*/ 1879 h 37414"/>
              <a:gd name="connsiteX4" fmla="*/ 18891 w 37769"/>
              <a:gd name="connsiteY4" fmla="*/ 0 h 37414"/>
              <a:gd name="connsiteX5" fmla="*/ 16367 w 37769"/>
              <a:gd name="connsiteY5" fmla="*/ 1722 h 37414"/>
              <a:gd name="connsiteX6" fmla="*/ 13528 w 37769"/>
              <a:gd name="connsiteY6" fmla="*/ 10175 h 37414"/>
              <a:gd name="connsiteX7" fmla="*/ 11162 w 37769"/>
              <a:gd name="connsiteY7" fmla="*/ 11897 h 37414"/>
              <a:gd name="connsiteX8" fmla="*/ 2487 w 37769"/>
              <a:gd name="connsiteY8" fmla="*/ 11897 h 37414"/>
              <a:gd name="connsiteX9" fmla="*/ 120 w 37769"/>
              <a:gd name="connsiteY9" fmla="*/ 13620 h 37414"/>
              <a:gd name="connsiteX10" fmla="*/ 909 w 37769"/>
              <a:gd name="connsiteY10" fmla="*/ 16437 h 37414"/>
              <a:gd name="connsiteX11" fmla="*/ 3906 w 37769"/>
              <a:gd name="connsiteY11" fmla="*/ 19100 h 37414"/>
              <a:gd name="connsiteX12" fmla="*/ 7692 w 37769"/>
              <a:gd name="connsiteY12" fmla="*/ 22544 h 37414"/>
              <a:gd name="connsiteX13" fmla="*/ 8480 w 37769"/>
              <a:gd name="connsiteY13" fmla="*/ 23796 h 37414"/>
              <a:gd name="connsiteX14" fmla="*/ 8480 w 37769"/>
              <a:gd name="connsiteY14" fmla="*/ 25206 h 37414"/>
              <a:gd name="connsiteX15" fmla="*/ 5798 w 37769"/>
              <a:gd name="connsiteY15" fmla="*/ 34128 h 37414"/>
              <a:gd name="connsiteX16" fmla="*/ 6744 w 37769"/>
              <a:gd name="connsiteY16" fmla="*/ 36945 h 37414"/>
              <a:gd name="connsiteX17" fmla="*/ 9741 w 37769"/>
              <a:gd name="connsiteY17" fmla="*/ 36945 h 37414"/>
              <a:gd name="connsiteX18" fmla="*/ 17313 w 37769"/>
              <a:gd name="connsiteY18" fmla="*/ 31623 h 37414"/>
              <a:gd name="connsiteX19" fmla="*/ 20310 w 37769"/>
              <a:gd name="connsiteY19" fmla="*/ 31623 h 37414"/>
              <a:gd name="connsiteX20" fmla="*/ 27884 w 37769"/>
              <a:gd name="connsiteY20" fmla="*/ 36944 h 37414"/>
              <a:gd name="connsiteX21" fmla="*/ 30881 w 37769"/>
              <a:gd name="connsiteY21" fmla="*/ 36944 h 37414"/>
              <a:gd name="connsiteX22" fmla="*/ 31826 w 37769"/>
              <a:gd name="connsiteY22" fmla="*/ 34127 h 37414"/>
              <a:gd name="connsiteX23" fmla="*/ 29143 w 37769"/>
              <a:gd name="connsiteY23" fmla="*/ 25204 h 37414"/>
              <a:gd name="connsiteX24" fmla="*/ 29932 w 37769"/>
              <a:gd name="connsiteY24" fmla="*/ 22541 h 37414"/>
              <a:gd name="connsiteX25" fmla="*/ 36873 w 37769"/>
              <a:gd name="connsiteY25" fmla="*/ 16593 h 37414"/>
              <a:gd name="connsiteX26" fmla="*/ 37661 w 37769"/>
              <a:gd name="connsiteY26" fmla="*/ 13775 h 37414"/>
              <a:gd name="connsiteX27" fmla="*/ 35296 w 37769"/>
              <a:gd name="connsiteY27" fmla="*/ 12054 h 37414"/>
              <a:gd name="connsiteX28" fmla="*/ 21476 w 37769"/>
              <a:gd name="connsiteY28" fmla="*/ 24007 h 37414"/>
              <a:gd name="connsiteX29" fmla="*/ 16144 w 37769"/>
              <a:gd name="connsiteY29" fmla="*/ 24007 h 37414"/>
              <a:gd name="connsiteX30" fmla="*/ 15650 w 37769"/>
              <a:gd name="connsiteY30" fmla="*/ 21420 h 37414"/>
              <a:gd name="connsiteX31" fmla="*/ 14390 w 37769"/>
              <a:gd name="connsiteY31" fmla="*/ 18883 h 37414"/>
              <a:gd name="connsiteX32" fmla="*/ 18849 w 37769"/>
              <a:gd name="connsiteY32" fmla="*/ 15883 h 37414"/>
              <a:gd name="connsiteX33" fmla="*/ 23141 w 37769"/>
              <a:gd name="connsiteY33" fmla="*/ 18932 h 37414"/>
              <a:gd name="connsiteX34" fmla="*/ 21476 w 37769"/>
              <a:gd name="connsiteY34" fmla="*/ 24007 h 3741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</a:cxnLst>
            <a:rect l="l" t="t" r="r" b="b"/>
            <a:pathLst>
              <a:path w="37769" h="37414">
                <a:moveTo>
                  <a:pt x="35296" y="12054"/>
                </a:moveTo>
                <a:lnTo>
                  <a:pt x="26621" y="12054"/>
                </a:lnTo>
                <a:cubicBezTo>
                  <a:pt x="25546" y="12029"/>
                  <a:pt x="24602" y="11341"/>
                  <a:pt x="24254" y="10332"/>
                </a:cubicBezTo>
                <a:lnTo>
                  <a:pt x="21415" y="1879"/>
                </a:lnTo>
                <a:cubicBezTo>
                  <a:pt x="21029" y="807"/>
                  <a:pt x="20036" y="68"/>
                  <a:pt x="18891" y="0"/>
                </a:cubicBezTo>
                <a:cubicBezTo>
                  <a:pt x="17793" y="65"/>
                  <a:pt x="16822" y="728"/>
                  <a:pt x="16367" y="1722"/>
                </a:cubicBezTo>
                <a:lnTo>
                  <a:pt x="13528" y="10175"/>
                </a:lnTo>
                <a:cubicBezTo>
                  <a:pt x="13236" y="11223"/>
                  <a:pt x="12257" y="11935"/>
                  <a:pt x="11162" y="11897"/>
                </a:cubicBezTo>
                <a:lnTo>
                  <a:pt x="2487" y="11897"/>
                </a:lnTo>
                <a:cubicBezTo>
                  <a:pt x="1392" y="11859"/>
                  <a:pt x="413" y="12572"/>
                  <a:pt x="120" y="13620"/>
                </a:cubicBezTo>
                <a:cubicBezTo>
                  <a:pt x="-192" y="14631"/>
                  <a:pt x="116" y="15731"/>
                  <a:pt x="909" y="16437"/>
                </a:cubicBezTo>
                <a:lnTo>
                  <a:pt x="3906" y="19100"/>
                </a:lnTo>
                <a:lnTo>
                  <a:pt x="7692" y="22544"/>
                </a:lnTo>
                <a:cubicBezTo>
                  <a:pt x="8044" y="22899"/>
                  <a:pt x="8313" y="23327"/>
                  <a:pt x="8480" y="23796"/>
                </a:cubicBezTo>
                <a:cubicBezTo>
                  <a:pt x="8638" y="24253"/>
                  <a:pt x="8638" y="24749"/>
                  <a:pt x="8480" y="25206"/>
                </a:cubicBezTo>
                <a:lnTo>
                  <a:pt x="5798" y="34128"/>
                </a:lnTo>
                <a:cubicBezTo>
                  <a:pt x="5439" y="35172"/>
                  <a:pt x="5826" y="36325"/>
                  <a:pt x="6744" y="36945"/>
                </a:cubicBezTo>
                <a:cubicBezTo>
                  <a:pt x="7644" y="37571"/>
                  <a:pt x="8842" y="37571"/>
                  <a:pt x="9741" y="36945"/>
                </a:cubicBezTo>
                <a:lnTo>
                  <a:pt x="17313" y="31623"/>
                </a:lnTo>
                <a:cubicBezTo>
                  <a:pt x="18212" y="30997"/>
                  <a:pt x="19410" y="30997"/>
                  <a:pt x="20310" y="31623"/>
                </a:cubicBezTo>
                <a:lnTo>
                  <a:pt x="27884" y="36944"/>
                </a:lnTo>
                <a:cubicBezTo>
                  <a:pt x="28783" y="37569"/>
                  <a:pt x="29982" y="37569"/>
                  <a:pt x="30881" y="36944"/>
                </a:cubicBezTo>
                <a:cubicBezTo>
                  <a:pt x="31778" y="36307"/>
                  <a:pt x="32159" y="35169"/>
                  <a:pt x="31826" y="34127"/>
                </a:cubicBezTo>
                <a:lnTo>
                  <a:pt x="29143" y="25204"/>
                </a:lnTo>
                <a:cubicBezTo>
                  <a:pt x="28830" y="24240"/>
                  <a:pt x="29143" y="23183"/>
                  <a:pt x="29932" y="22541"/>
                </a:cubicBezTo>
                <a:lnTo>
                  <a:pt x="36873" y="16593"/>
                </a:lnTo>
                <a:cubicBezTo>
                  <a:pt x="37648" y="15875"/>
                  <a:pt x="37953" y="14787"/>
                  <a:pt x="37661" y="13775"/>
                </a:cubicBezTo>
                <a:cubicBezTo>
                  <a:pt x="37275" y="12795"/>
                  <a:pt x="36354" y="12125"/>
                  <a:pt x="35296" y="12054"/>
                </a:cubicBezTo>
                <a:close/>
                <a:moveTo>
                  <a:pt x="21476" y="24007"/>
                </a:moveTo>
                <a:cubicBezTo>
                  <a:pt x="19731" y="23532"/>
                  <a:pt x="17889" y="23532"/>
                  <a:pt x="16144" y="24007"/>
                </a:cubicBezTo>
                <a:cubicBezTo>
                  <a:pt x="16098" y="23126"/>
                  <a:pt x="15931" y="22256"/>
                  <a:pt x="15650" y="21420"/>
                </a:cubicBezTo>
                <a:cubicBezTo>
                  <a:pt x="15345" y="20523"/>
                  <a:pt x="14921" y="19670"/>
                  <a:pt x="14390" y="18883"/>
                </a:cubicBezTo>
                <a:cubicBezTo>
                  <a:pt x="16128" y="18313"/>
                  <a:pt x="17672" y="17274"/>
                  <a:pt x="18849" y="15883"/>
                </a:cubicBezTo>
                <a:cubicBezTo>
                  <a:pt x="19981" y="17260"/>
                  <a:pt x="21462" y="18312"/>
                  <a:pt x="23141" y="18932"/>
                </a:cubicBezTo>
                <a:cubicBezTo>
                  <a:pt x="22134" y="20443"/>
                  <a:pt x="21558" y="22197"/>
                  <a:pt x="21476" y="2400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29" name="Freeform: Shape 128">
            <a:extLst>
              <a:ext uri="{FF2B5EF4-FFF2-40B4-BE49-F238E27FC236}">
                <a16:creationId xmlns:a16="http://schemas.microsoft.com/office/drawing/2014/main" id="{8D476ABD-CA64-46C9-8294-AF26B1F0CFE6}"/>
              </a:ext>
            </a:extLst>
          </xdr:cNvPr>
          <xdr:cNvSpPr/>
        </xdr:nvSpPr>
        <xdr:spPr>
          <a:xfrm>
            <a:off x="12027708" y="10599107"/>
            <a:ext cx="37769" cy="37412"/>
          </a:xfrm>
          <a:custGeom>
            <a:avLst/>
            <a:gdLst>
              <a:gd name="connsiteX0" fmla="*/ 3906 w 37769"/>
              <a:gd name="connsiteY0" fmla="*/ 19098 h 37412"/>
              <a:gd name="connsiteX1" fmla="*/ 7692 w 37769"/>
              <a:gd name="connsiteY1" fmla="*/ 22542 h 37412"/>
              <a:gd name="connsiteX2" fmla="*/ 8480 w 37769"/>
              <a:gd name="connsiteY2" fmla="*/ 23794 h 37412"/>
              <a:gd name="connsiteX3" fmla="*/ 8480 w 37769"/>
              <a:gd name="connsiteY3" fmla="*/ 25203 h 37412"/>
              <a:gd name="connsiteX4" fmla="*/ 5798 w 37769"/>
              <a:gd name="connsiteY4" fmla="*/ 34125 h 37412"/>
              <a:gd name="connsiteX5" fmla="*/ 6744 w 37769"/>
              <a:gd name="connsiteY5" fmla="*/ 36944 h 37412"/>
              <a:gd name="connsiteX6" fmla="*/ 9741 w 37769"/>
              <a:gd name="connsiteY6" fmla="*/ 36944 h 37412"/>
              <a:gd name="connsiteX7" fmla="*/ 17313 w 37769"/>
              <a:gd name="connsiteY7" fmla="*/ 31622 h 37412"/>
              <a:gd name="connsiteX8" fmla="*/ 20310 w 37769"/>
              <a:gd name="connsiteY8" fmla="*/ 31622 h 37412"/>
              <a:gd name="connsiteX9" fmla="*/ 27884 w 37769"/>
              <a:gd name="connsiteY9" fmla="*/ 36944 h 37412"/>
              <a:gd name="connsiteX10" fmla="*/ 30881 w 37769"/>
              <a:gd name="connsiteY10" fmla="*/ 36944 h 37412"/>
              <a:gd name="connsiteX11" fmla="*/ 31826 w 37769"/>
              <a:gd name="connsiteY11" fmla="*/ 34125 h 37412"/>
              <a:gd name="connsiteX12" fmla="*/ 29143 w 37769"/>
              <a:gd name="connsiteY12" fmla="*/ 25203 h 37412"/>
              <a:gd name="connsiteX13" fmla="*/ 29932 w 37769"/>
              <a:gd name="connsiteY13" fmla="*/ 22542 h 37412"/>
              <a:gd name="connsiteX14" fmla="*/ 36872 w 37769"/>
              <a:gd name="connsiteY14" fmla="*/ 16593 h 37412"/>
              <a:gd name="connsiteX15" fmla="*/ 37661 w 37769"/>
              <a:gd name="connsiteY15" fmla="*/ 13776 h 37412"/>
              <a:gd name="connsiteX16" fmla="*/ 35295 w 37769"/>
              <a:gd name="connsiteY16" fmla="*/ 12054 h 37412"/>
              <a:gd name="connsiteX17" fmla="*/ 26621 w 37769"/>
              <a:gd name="connsiteY17" fmla="*/ 12054 h 37412"/>
              <a:gd name="connsiteX18" fmla="*/ 24254 w 37769"/>
              <a:gd name="connsiteY18" fmla="*/ 10332 h 37412"/>
              <a:gd name="connsiteX19" fmla="*/ 21415 w 37769"/>
              <a:gd name="connsiteY19" fmla="*/ 1879 h 37412"/>
              <a:gd name="connsiteX20" fmla="*/ 18891 w 37769"/>
              <a:gd name="connsiteY20" fmla="*/ 0 h 37412"/>
              <a:gd name="connsiteX21" fmla="*/ 16367 w 37769"/>
              <a:gd name="connsiteY21" fmla="*/ 1722 h 37412"/>
              <a:gd name="connsiteX22" fmla="*/ 13528 w 37769"/>
              <a:gd name="connsiteY22" fmla="*/ 10175 h 37412"/>
              <a:gd name="connsiteX23" fmla="*/ 11162 w 37769"/>
              <a:gd name="connsiteY23" fmla="*/ 11897 h 37412"/>
              <a:gd name="connsiteX24" fmla="*/ 2486 w 37769"/>
              <a:gd name="connsiteY24" fmla="*/ 11897 h 37412"/>
              <a:gd name="connsiteX25" fmla="*/ 120 w 37769"/>
              <a:gd name="connsiteY25" fmla="*/ 13620 h 37412"/>
              <a:gd name="connsiteX26" fmla="*/ 909 w 37769"/>
              <a:gd name="connsiteY26" fmla="*/ 16437 h 37412"/>
              <a:gd name="connsiteX27" fmla="*/ 18849 w 37769"/>
              <a:gd name="connsiteY27" fmla="*/ 15887 h 37412"/>
              <a:gd name="connsiteX28" fmla="*/ 23141 w 37769"/>
              <a:gd name="connsiteY28" fmla="*/ 18936 h 37412"/>
              <a:gd name="connsiteX29" fmla="*/ 21476 w 37769"/>
              <a:gd name="connsiteY29" fmla="*/ 24007 h 37412"/>
              <a:gd name="connsiteX30" fmla="*/ 16144 w 37769"/>
              <a:gd name="connsiteY30" fmla="*/ 24009 h 37412"/>
              <a:gd name="connsiteX31" fmla="*/ 15649 w 37769"/>
              <a:gd name="connsiteY31" fmla="*/ 21422 h 37412"/>
              <a:gd name="connsiteX32" fmla="*/ 14390 w 37769"/>
              <a:gd name="connsiteY32" fmla="*/ 18886 h 37412"/>
              <a:gd name="connsiteX33" fmla="*/ 18849 w 37769"/>
              <a:gd name="connsiteY33" fmla="*/ 15887 h 374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</a:cxnLst>
            <a:rect l="l" t="t" r="r" b="b"/>
            <a:pathLst>
              <a:path w="37769" h="37412">
                <a:moveTo>
                  <a:pt x="3906" y="19098"/>
                </a:moveTo>
                <a:lnTo>
                  <a:pt x="7692" y="22542"/>
                </a:lnTo>
                <a:cubicBezTo>
                  <a:pt x="8044" y="22897"/>
                  <a:pt x="8313" y="23324"/>
                  <a:pt x="8480" y="23794"/>
                </a:cubicBezTo>
                <a:cubicBezTo>
                  <a:pt x="8638" y="24250"/>
                  <a:pt x="8638" y="24746"/>
                  <a:pt x="8480" y="25203"/>
                </a:cubicBezTo>
                <a:lnTo>
                  <a:pt x="5798" y="34125"/>
                </a:lnTo>
                <a:cubicBezTo>
                  <a:pt x="5438" y="35169"/>
                  <a:pt x="5826" y="36323"/>
                  <a:pt x="6744" y="36944"/>
                </a:cubicBezTo>
                <a:cubicBezTo>
                  <a:pt x="7644" y="37569"/>
                  <a:pt x="8842" y="37569"/>
                  <a:pt x="9741" y="36944"/>
                </a:cubicBezTo>
                <a:lnTo>
                  <a:pt x="17313" y="31622"/>
                </a:lnTo>
                <a:cubicBezTo>
                  <a:pt x="18212" y="30994"/>
                  <a:pt x="19410" y="30994"/>
                  <a:pt x="20310" y="31622"/>
                </a:cubicBezTo>
                <a:lnTo>
                  <a:pt x="27884" y="36944"/>
                </a:lnTo>
                <a:cubicBezTo>
                  <a:pt x="28783" y="37569"/>
                  <a:pt x="29981" y="37569"/>
                  <a:pt x="30881" y="36944"/>
                </a:cubicBezTo>
                <a:cubicBezTo>
                  <a:pt x="31778" y="36306"/>
                  <a:pt x="32159" y="35169"/>
                  <a:pt x="31826" y="34125"/>
                </a:cubicBezTo>
                <a:lnTo>
                  <a:pt x="29143" y="25203"/>
                </a:lnTo>
                <a:cubicBezTo>
                  <a:pt x="28830" y="24239"/>
                  <a:pt x="29143" y="23184"/>
                  <a:pt x="29932" y="22542"/>
                </a:cubicBezTo>
                <a:lnTo>
                  <a:pt x="36872" y="16593"/>
                </a:lnTo>
                <a:cubicBezTo>
                  <a:pt x="37648" y="15876"/>
                  <a:pt x="37952" y="14787"/>
                  <a:pt x="37661" y="13776"/>
                </a:cubicBezTo>
                <a:cubicBezTo>
                  <a:pt x="37275" y="12796"/>
                  <a:pt x="36353" y="12125"/>
                  <a:pt x="35295" y="12054"/>
                </a:cubicBezTo>
                <a:lnTo>
                  <a:pt x="26621" y="12054"/>
                </a:lnTo>
                <a:cubicBezTo>
                  <a:pt x="25546" y="12029"/>
                  <a:pt x="24601" y="11341"/>
                  <a:pt x="24254" y="10332"/>
                </a:cubicBezTo>
                <a:lnTo>
                  <a:pt x="21415" y="1879"/>
                </a:lnTo>
                <a:cubicBezTo>
                  <a:pt x="21029" y="807"/>
                  <a:pt x="20036" y="68"/>
                  <a:pt x="18891" y="0"/>
                </a:cubicBezTo>
                <a:cubicBezTo>
                  <a:pt x="17793" y="65"/>
                  <a:pt x="16821" y="728"/>
                  <a:pt x="16367" y="1722"/>
                </a:cubicBezTo>
                <a:lnTo>
                  <a:pt x="13528" y="10175"/>
                </a:lnTo>
                <a:cubicBezTo>
                  <a:pt x="13235" y="11223"/>
                  <a:pt x="12257" y="11935"/>
                  <a:pt x="11162" y="11897"/>
                </a:cubicBezTo>
                <a:lnTo>
                  <a:pt x="2486" y="11897"/>
                </a:lnTo>
                <a:cubicBezTo>
                  <a:pt x="1391" y="11859"/>
                  <a:pt x="413" y="12571"/>
                  <a:pt x="120" y="13620"/>
                </a:cubicBezTo>
                <a:cubicBezTo>
                  <a:pt x="-192" y="14631"/>
                  <a:pt x="115" y="15730"/>
                  <a:pt x="909" y="16437"/>
                </a:cubicBezTo>
                <a:close/>
                <a:moveTo>
                  <a:pt x="18849" y="15887"/>
                </a:moveTo>
                <a:cubicBezTo>
                  <a:pt x="19981" y="17265"/>
                  <a:pt x="21462" y="18317"/>
                  <a:pt x="23141" y="18936"/>
                </a:cubicBezTo>
                <a:cubicBezTo>
                  <a:pt x="22134" y="20446"/>
                  <a:pt x="21558" y="22198"/>
                  <a:pt x="21476" y="24007"/>
                </a:cubicBezTo>
                <a:cubicBezTo>
                  <a:pt x="19731" y="23532"/>
                  <a:pt x="17889" y="23533"/>
                  <a:pt x="16144" y="24009"/>
                </a:cubicBezTo>
                <a:cubicBezTo>
                  <a:pt x="16097" y="23128"/>
                  <a:pt x="15931" y="22258"/>
                  <a:pt x="15649" y="21422"/>
                </a:cubicBezTo>
                <a:cubicBezTo>
                  <a:pt x="15344" y="20525"/>
                  <a:pt x="14921" y="19672"/>
                  <a:pt x="14390" y="18886"/>
                </a:cubicBezTo>
                <a:cubicBezTo>
                  <a:pt x="16128" y="18316"/>
                  <a:pt x="17672" y="17278"/>
                  <a:pt x="18849" y="1588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30" name="Freeform: Shape 129">
            <a:extLst>
              <a:ext uri="{FF2B5EF4-FFF2-40B4-BE49-F238E27FC236}">
                <a16:creationId xmlns:a16="http://schemas.microsoft.com/office/drawing/2014/main" id="{50A93786-F808-4052-8D8C-8645098A3254}"/>
              </a:ext>
            </a:extLst>
          </xdr:cNvPr>
          <xdr:cNvSpPr/>
        </xdr:nvSpPr>
        <xdr:spPr>
          <a:xfrm>
            <a:off x="12076826" y="1072281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10</xdr:col>
      <xdr:colOff>127000</xdr:colOff>
      <xdr:row>5</xdr:row>
      <xdr:rowOff>127000</xdr:rowOff>
    </xdr:from>
    <xdr:to>
      <xdr:col>15</xdr:col>
      <xdr:colOff>63500</xdr:colOff>
      <xdr:row>8</xdr:row>
      <xdr:rowOff>63500</xdr:rowOff>
    </xdr:to>
    <xdr:sp macro="" textlink="" fLocksText="0">
      <xdr:nvSpPr>
        <xdr:cNvPr id="23" name="Event_2">
          <a:extLst>
            <a:ext uri="{FF2B5EF4-FFF2-40B4-BE49-F238E27FC236}">
              <a16:creationId xmlns:a16="http://schemas.microsoft.com/office/drawing/2014/main" id="{B5FDA19D-9D27-432D-A61B-52A6555ACDB0}"/>
            </a:ext>
          </a:extLst>
        </xdr:cNvPr>
        <xdr:cNvSpPr/>
      </xdr:nvSpPr>
      <xdr:spPr>
        <a:xfrm>
          <a:off x="2089150" y="879475"/>
          <a:ext cx="889000" cy="508000"/>
        </a:xfrm>
        <a:prstGeom prst="roundRect">
          <a:avLst/>
        </a:prstGeom>
        <a:solidFill>
          <a:srgbClr val="D9E2EC"/>
        </a:solidFill>
        <a:ln w="12700" cap="flat" cmpd="sng" algn="ctr">
          <a:noFill/>
          <a:prstDash val="solid"/>
          <a:miter lim="800000"/>
        </a:ln>
        <a:effectLst>
          <a:outerShdw blurRad="50800" dist="38100" dir="8100000" algn="tr">
            <a:prstClr val="black">
              <a:alpha val="40000"/>
            </a:prstClr>
          </a:outerShdw>
        </a:effectLst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aseline="0">
              <a:solidFill>
                <a:srgbClr val="1F4E78"/>
              </a:solidFill>
            </a:rPr>
            <a:t>Highschool exams</a:t>
          </a:r>
        </a:p>
      </xdr:txBody>
    </xdr:sp>
    <xdr:clientData fLocksWithSheet="0"/>
  </xdr:twoCellAnchor>
  <xdr:twoCellAnchor editAs="oneCell">
    <xdr:from>
      <xdr:col>16</xdr:col>
      <xdr:colOff>127000</xdr:colOff>
      <xdr:row>17</xdr:row>
      <xdr:rowOff>127000</xdr:rowOff>
    </xdr:from>
    <xdr:to>
      <xdr:col>21</xdr:col>
      <xdr:colOff>63500</xdr:colOff>
      <xdr:row>20</xdr:row>
      <xdr:rowOff>63500</xdr:rowOff>
    </xdr:to>
    <xdr:sp macro="" textlink="" fLocksText="0">
      <xdr:nvSpPr>
        <xdr:cNvPr id="25" name="Event_3">
          <a:extLst>
            <a:ext uri="{FF2B5EF4-FFF2-40B4-BE49-F238E27FC236}">
              <a16:creationId xmlns:a16="http://schemas.microsoft.com/office/drawing/2014/main" id="{EAEEBCAF-1970-4C17-A6F5-3379D91A4F8D}"/>
            </a:ext>
          </a:extLst>
        </xdr:cNvPr>
        <xdr:cNvSpPr/>
      </xdr:nvSpPr>
      <xdr:spPr>
        <a:xfrm>
          <a:off x="3232150" y="3165475"/>
          <a:ext cx="889000" cy="508000"/>
        </a:xfrm>
        <a:prstGeom prst="roundRect">
          <a:avLst/>
        </a:prstGeom>
        <a:solidFill>
          <a:srgbClr val="D9E2EC"/>
        </a:solidFill>
        <a:ln w="12700" cap="flat" cmpd="sng" algn="ctr">
          <a:noFill/>
          <a:prstDash val="solid"/>
          <a:miter lim="800000"/>
        </a:ln>
        <a:effectLst>
          <a:outerShdw blurRad="50800" dist="38100" dir="8100000" algn="tr">
            <a:prstClr val="black">
              <a:alpha val="40000"/>
            </a:prstClr>
          </a:outerShdw>
        </a:effectLst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aseline="0">
              <a:solidFill>
                <a:srgbClr val="1F4E78"/>
              </a:solidFill>
            </a:rPr>
            <a:t>First day of university</a:t>
          </a:r>
        </a:p>
      </xdr:txBody>
    </xdr:sp>
    <xdr:clientData fLocksWithSheet="0"/>
  </xdr:twoCellAnchor>
  <xdr:twoCellAnchor editAs="oneCell">
    <xdr:from>
      <xdr:col>22</xdr:col>
      <xdr:colOff>127000</xdr:colOff>
      <xdr:row>5</xdr:row>
      <xdr:rowOff>127000</xdr:rowOff>
    </xdr:from>
    <xdr:to>
      <xdr:col>27</xdr:col>
      <xdr:colOff>63500</xdr:colOff>
      <xdr:row>8</xdr:row>
      <xdr:rowOff>63500</xdr:rowOff>
    </xdr:to>
    <xdr:sp macro="" textlink="" fLocksText="0">
      <xdr:nvSpPr>
        <xdr:cNvPr id="27" name="Event_4">
          <a:extLst>
            <a:ext uri="{FF2B5EF4-FFF2-40B4-BE49-F238E27FC236}">
              <a16:creationId xmlns:a16="http://schemas.microsoft.com/office/drawing/2014/main" id="{9C563531-A8E4-4E8A-8D73-8C9D54698097}"/>
            </a:ext>
          </a:extLst>
        </xdr:cNvPr>
        <xdr:cNvSpPr/>
      </xdr:nvSpPr>
      <xdr:spPr>
        <a:xfrm>
          <a:off x="4375150" y="879475"/>
          <a:ext cx="889000" cy="508000"/>
        </a:xfrm>
        <a:prstGeom prst="roundRect">
          <a:avLst/>
        </a:prstGeom>
        <a:solidFill>
          <a:srgbClr val="D9E2EC"/>
        </a:solidFill>
        <a:ln w="12700" cap="flat" cmpd="sng" algn="ctr">
          <a:noFill/>
          <a:prstDash val="solid"/>
          <a:miter lim="800000"/>
        </a:ln>
        <a:effectLst>
          <a:outerShdw blurRad="50800" dist="38100" dir="8100000" algn="tr">
            <a:prstClr val="black">
              <a:alpha val="40000"/>
            </a:prstClr>
          </a:outerShdw>
        </a:effectLst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aseline="0">
              <a:solidFill>
                <a:srgbClr val="1F4E78"/>
              </a:solidFill>
            </a:rPr>
            <a:t>Graduate</a:t>
          </a:r>
        </a:p>
      </xdr:txBody>
    </xdr:sp>
    <xdr:clientData fLocksWithSheet="0"/>
  </xdr:twoCellAnchor>
  <xdr:twoCellAnchor editAs="oneCell">
    <xdr:from>
      <xdr:col>28</xdr:col>
      <xdr:colOff>127000</xdr:colOff>
      <xdr:row>17</xdr:row>
      <xdr:rowOff>127000</xdr:rowOff>
    </xdr:from>
    <xdr:to>
      <xdr:col>33</xdr:col>
      <xdr:colOff>63500</xdr:colOff>
      <xdr:row>20</xdr:row>
      <xdr:rowOff>63500</xdr:rowOff>
    </xdr:to>
    <xdr:sp macro="" textlink="" fLocksText="0">
      <xdr:nvSpPr>
        <xdr:cNvPr id="29" name="Event_5">
          <a:extLst>
            <a:ext uri="{FF2B5EF4-FFF2-40B4-BE49-F238E27FC236}">
              <a16:creationId xmlns:a16="http://schemas.microsoft.com/office/drawing/2014/main" id="{4933D520-1099-4A75-9FC7-B014197AE21B}"/>
            </a:ext>
          </a:extLst>
        </xdr:cNvPr>
        <xdr:cNvSpPr/>
      </xdr:nvSpPr>
      <xdr:spPr>
        <a:xfrm>
          <a:off x="5518150" y="3165475"/>
          <a:ext cx="889000" cy="508000"/>
        </a:xfrm>
        <a:prstGeom prst="roundRect">
          <a:avLst/>
        </a:prstGeom>
        <a:solidFill>
          <a:srgbClr val="D9E2EC"/>
        </a:solidFill>
        <a:ln w="12700" cap="flat" cmpd="sng" algn="ctr">
          <a:noFill/>
          <a:prstDash val="solid"/>
          <a:miter lim="800000"/>
        </a:ln>
        <a:effectLst>
          <a:outerShdw blurRad="50800" dist="38100" dir="8100000" algn="tr">
            <a:prstClr val="black">
              <a:alpha val="40000"/>
            </a:prstClr>
          </a:outerShdw>
        </a:effectLst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aseline="0">
              <a:solidFill>
                <a:srgbClr val="1F4E78"/>
              </a:solidFill>
            </a:rPr>
            <a:t>Found a job</a:t>
          </a:r>
        </a:p>
      </xdr:txBody>
    </xdr:sp>
    <xdr:clientData fLocksWithSheet="0"/>
  </xdr:twoCellAnchor>
  <xdr:twoCellAnchor editAs="oneCell">
    <xdr:from>
      <xdr:col>31</xdr:col>
      <xdr:colOff>0</xdr:colOff>
      <xdr:row>6</xdr:row>
      <xdr:rowOff>63500</xdr:rowOff>
    </xdr:from>
    <xdr:to>
      <xdr:col>43</xdr:col>
      <xdr:colOff>0</xdr:colOff>
      <xdr:row>8</xdr:row>
      <xdr:rowOff>63500</xdr:rowOff>
    </xdr:to>
    <xdr:sp macro="" textlink="" fLocksText="0">
      <xdr:nvSpPr>
        <xdr:cNvPr id="31" name="RH_6">
          <a:extLst>
            <a:ext uri="{FF2B5EF4-FFF2-40B4-BE49-F238E27FC236}">
              <a16:creationId xmlns:a16="http://schemas.microsoft.com/office/drawing/2014/main" id="{DC935EF2-788A-4726-9B76-938FF2EBBF7D}"/>
            </a:ext>
          </a:extLst>
        </xdr:cNvPr>
        <xdr:cNvSpPr/>
      </xdr:nvSpPr>
      <xdr:spPr>
        <a:xfrm>
          <a:off x="5962650" y="1006475"/>
          <a:ext cx="2286000" cy="381000"/>
        </a:xfrm>
        <a:prstGeom prst="round2SameRect">
          <a:avLst>
            <a:gd name="adj1" fmla="val 30000"/>
            <a:gd name="adj2" fmla="val 0"/>
          </a:avLst>
        </a:prstGeom>
        <a:solidFill>
          <a:srgbClr val="D9E9F2"/>
        </a:solidFill>
        <a:ln w="12700" cap="flat" cmpd="sng" algn="ctr">
          <a:noFill/>
          <a:prstDash val="solid"/>
          <a:miter lim="800000"/>
        </a:ln>
        <a:effectLst>
          <a:outerShdw blurRad="50800" dist="38100" dir="8100000" algn="tr">
            <a:prstClr val="black">
              <a:alpha val="40000"/>
            </a:prstClr>
          </a:outerShdw>
        </a:effectLst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aseline="0">
              <a:solidFill>
                <a:srgbClr val="1F4E78"/>
              </a:solidFill>
            </a:rPr>
            <a:t>Work and travel</a:t>
          </a:r>
        </a:p>
      </xdr:txBody>
    </xdr:sp>
    <xdr:clientData fLocksWithSheet="0"/>
  </xdr:twoCellAnchor>
  <xdr:twoCellAnchor editAs="oneCell">
    <xdr:from>
      <xdr:col>30</xdr:col>
      <xdr:colOff>0</xdr:colOff>
      <xdr:row>6</xdr:row>
      <xdr:rowOff>0</xdr:rowOff>
    </xdr:from>
    <xdr:to>
      <xdr:col>31</xdr:col>
      <xdr:colOff>173582</xdr:colOff>
      <xdr:row>7</xdr:row>
      <xdr:rowOff>169500</xdr:rowOff>
    </xdr:to>
    <xdr:grpSp>
      <xdr:nvGrpSpPr>
        <xdr:cNvPr id="141" name="attention" descr="Megaphone1 outline">
          <a:extLst>
            <a:ext uri="{FF2B5EF4-FFF2-40B4-BE49-F238E27FC236}">
              <a16:creationId xmlns:a16="http://schemas.microsoft.com/office/drawing/2014/main" id="{AA1ABE56-44CD-4D1A-96BD-E086493FE138}"/>
            </a:ext>
          </a:extLst>
        </xdr:cNvPr>
        <xdr:cNvGrpSpPr>
          <a:grpSpLocks noChangeAspect="1"/>
        </xdr:cNvGrpSpPr>
      </xdr:nvGrpSpPr>
      <xdr:grpSpPr>
        <a:xfrm>
          <a:off x="5772150" y="942975"/>
          <a:ext cx="364082" cy="360000"/>
          <a:chOff x="9182100" y="10535314"/>
          <a:chExt cx="364082" cy="360000"/>
        </a:xfrm>
      </xdr:grpSpPr>
      <xdr:sp macro="" textlink="">
        <xdr:nvSpPr>
          <xdr:cNvPr id="142" name="Freeform: Shape 141">
            <a:extLst>
              <a:ext uri="{FF2B5EF4-FFF2-40B4-BE49-F238E27FC236}">
                <a16:creationId xmlns:a16="http://schemas.microsoft.com/office/drawing/2014/main" id="{F6116344-B11F-4F8B-BFA6-5C82690CF0D8}"/>
              </a:ext>
            </a:extLst>
          </xdr:cNvPr>
          <xdr:cNvSpPr/>
        </xdr:nvSpPr>
        <xdr:spPr>
          <a:xfrm>
            <a:off x="9224071" y="10621560"/>
            <a:ext cx="243272" cy="195738"/>
          </a:xfrm>
          <a:custGeom>
            <a:avLst/>
            <a:gdLst>
              <a:gd name="connsiteX0" fmla="*/ 174084 w 243272"/>
              <a:gd name="connsiteY0" fmla="*/ 4627 h 195738"/>
              <a:gd name="connsiteX1" fmla="*/ 166719 w 243272"/>
              <a:gd name="connsiteY1" fmla="*/ 63 h 195738"/>
              <a:gd name="connsiteX2" fmla="*/ 158880 w 243272"/>
              <a:gd name="connsiteY2" fmla="*/ 2748 h 195738"/>
              <a:gd name="connsiteX3" fmla="*/ 20939 w 243272"/>
              <a:gd name="connsiteY3" fmla="*/ 134373 h 195738"/>
              <a:gd name="connsiteX4" fmla="*/ 0 w 243272"/>
              <a:gd name="connsiteY4" fmla="*/ 154207 h 195738"/>
              <a:gd name="connsiteX5" fmla="*/ 24238 w 243272"/>
              <a:gd name="connsiteY5" fmla="*/ 195738 h 195738"/>
              <a:gd name="connsiteX6" fmla="*/ 51992 w 243272"/>
              <a:gd name="connsiteY6" fmla="*/ 187192 h 195738"/>
              <a:gd name="connsiteX7" fmla="*/ 88973 w 243272"/>
              <a:gd name="connsiteY7" fmla="*/ 176820 h 195738"/>
              <a:gd name="connsiteX8" fmla="*/ 88737 w 243272"/>
              <a:gd name="connsiteY8" fmla="*/ 177033 h 195738"/>
              <a:gd name="connsiteX9" fmla="*/ 105743 w 243272"/>
              <a:gd name="connsiteY9" fmla="*/ 195577 h 195738"/>
              <a:gd name="connsiteX10" fmla="*/ 159320 w 243272"/>
              <a:gd name="connsiteY10" fmla="*/ 180952 h 195738"/>
              <a:gd name="connsiteX11" fmla="*/ 164250 w 243272"/>
              <a:gd name="connsiteY11" fmla="*/ 155891 h 195738"/>
              <a:gd name="connsiteX12" fmla="*/ 163871 w 243272"/>
              <a:gd name="connsiteY12" fmla="*/ 155820 h 195738"/>
              <a:gd name="connsiteX13" fmla="*/ 236278 w 243272"/>
              <a:gd name="connsiteY13" fmla="*/ 135513 h 195738"/>
              <a:gd name="connsiteX14" fmla="*/ 236703 w 243272"/>
              <a:gd name="connsiteY14" fmla="*/ 135367 h 195738"/>
              <a:gd name="connsiteX15" fmla="*/ 242790 w 243272"/>
              <a:gd name="connsiteY15" fmla="*/ 128756 h 195738"/>
              <a:gd name="connsiteX16" fmla="*/ 241853 w 243272"/>
              <a:gd name="connsiteY16" fmla="*/ 120765 h 195738"/>
              <a:gd name="connsiteX17" fmla="*/ 9546 w 243272"/>
              <a:gd name="connsiteY17" fmla="*/ 155542 h 195738"/>
              <a:gd name="connsiteX18" fmla="*/ 22820 w 243272"/>
              <a:gd name="connsiteY18" fmla="*/ 142980 h 195738"/>
              <a:gd name="connsiteX19" fmla="*/ 45241 w 243272"/>
              <a:gd name="connsiteY19" fmla="*/ 181406 h 195738"/>
              <a:gd name="connsiteX20" fmla="*/ 27795 w 243272"/>
              <a:gd name="connsiteY20" fmla="*/ 186783 h 195738"/>
              <a:gd name="connsiteX21" fmla="*/ 152774 w 243272"/>
              <a:gd name="connsiteY21" fmla="*/ 174933 h 195738"/>
              <a:gd name="connsiteX22" fmla="*/ 108212 w 243272"/>
              <a:gd name="connsiteY22" fmla="*/ 187106 h 195738"/>
              <a:gd name="connsiteX23" fmla="*/ 96759 w 243272"/>
              <a:gd name="connsiteY23" fmla="*/ 174618 h 195738"/>
              <a:gd name="connsiteX24" fmla="*/ 156112 w 243272"/>
              <a:gd name="connsiteY24" fmla="*/ 157972 h 195738"/>
              <a:gd name="connsiteX25" fmla="*/ 235580 w 243272"/>
              <a:gd name="connsiteY25" fmla="*/ 126483 h 195738"/>
              <a:gd name="connsiteX26" fmla="*/ 233972 w 243272"/>
              <a:gd name="connsiteY26" fmla="*/ 128358 h 195738"/>
              <a:gd name="connsiteX27" fmla="*/ 52689 w 243272"/>
              <a:gd name="connsiteY27" fmla="*/ 179197 h 195738"/>
              <a:gd name="connsiteX28" fmla="*/ 28436 w 243272"/>
              <a:gd name="connsiteY28" fmla="*/ 137628 h 195738"/>
              <a:gd name="connsiteX29" fmla="*/ 164209 w 243272"/>
              <a:gd name="connsiteY29" fmla="*/ 8103 h 195738"/>
              <a:gd name="connsiteX30" fmla="*/ 165892 w 243272"/>
              <a:gd name="connsiteY30" fmla="*/ 7503 h 195738"/>
              <a:gd name="connsiteX31" fmla="*/ 167603 w 243272"/>
              <a:gd name="connsiteY31" fmla="*/ 8505 h 195738"/>
              <a:gd name="connsiteX32" fmla="*/ 235398 w 243272"/>
              <a:gd name="connsiteY32" fmla="*/ 124627 h 195738"/>
              <a:gd name="connsiteX33" fmla="*/ 235580 w 243272"/>
              <a:gd name="connsiteY33" fmla="*/ 126483 h 19573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</a:cxnLst>
            <a:rect l="l" t="t" r="r" b="b"/>
            <a:pathLst>
              <a:path w="243272" h="195738">
                <a:moveTo>
                  <a:pt x="174084" y="4627"/>
                </a:moveTo>
                <a:cubicBezTo>
                  <a:pt x="172461" y="2075"/>
                  <a:pt x="169749" y="395"/>
                  <a:pt x="166719" y="63"/>
                </a:cubicBezTo>
                <a:cubicBezTo>
                  <a:pt x="163829" y="-269"/>
                  <a:pt x="160943" y="719"/>
                  <a:pt x="158880" y="2748"/>
                </a:cubicBezTo>
                <a:lnTo>
                  <a:pt x="20939" y="134373"/>
                </a:lnTo>
                <a:lnTo>
                  <a:pt x="0" y="154207"/>
                </a:lnTo>
                <a:lnTo>
                  <a:pt x="24238" y="195738"/>
                </a:lnTo>
                <a:lnTo>
                  <a:pt x="51992" y="187192"/>
                </a:lnTo>
                <a:lnTo>
                  <a:pt x="88973" y="176820"/>
                </a:lnTo>
                <a:lnTo>
                  <a:pt x="88737" y="177033"/>
                </a:lnTo>
                <a:lnTo>
                  <a:pt x="105743" y="195577"/>
                </a:lnTo>
                <a:lnTo>
                  <a:pt x="159320" y="180952"/>
                </a:lnTo>
                <a:lnTo>
                  <a:pt x="164250" y="155891"/>
                </a:lnTo>
                <a:lnTo>
                  <a:pt x="163871" y="155820"/>
                </a:lnTo>
                <a:lnTo>
                  <a:pt x="236278" y="135513"/>
                </a:lnTo>
                <a:lnTo>
                  <a:pt x="236703" y="135367"/>
                </a:lnTo>
                <a:cubicBezTo>
                  <a:pt x="239610" y="134147"/>
                  <a:pt x="241833" y="131732"/>
                  <a:pt x="242790" y="128756"/>
                </a:cubicBezTo>
                <a:cubicBezTo>
                  <a:pt x="243675" y="126085"/>
                  <a:pt x="243333" y="123165"/>
                  <a:pt x="241853" y="120765"/>
                </a:cubicBezTo>
                <a:close/>
                <a:moveTo>
                  <a:pt x="9546" y="155542"/>
                </a:moveTo>
                <a:lnTo>
                  <a:pt x="22820" y="142980"/>
                </a:lnTo>
                <a:lnTo>
                  <a:pt x="45241" y="181406"/>
                </a:lnTo>
                <a:lnTo>
                  <a:pt x="27795" y="186783"/>
                </a:lnTo>
                <a:close/>
                <a:moveTo>
                  <a:pt x="152774" y="174933"/>
                </a:moveTo>
                <a:lnTo>
                  <a:pt x="108212" y="187106"/>
                </a:lnTo>
                <a:lnTo>
                  <a:pt x="96759" y="174618"/>
                </a:lnTo>
                <a:lnTo>
                  <a:pt x="156112" y="157972"/>
                </a:lnTo>
                <a:close/>
                <a:moveTo>
                  <a:pt x="235580" y="126483"/>
                </a:moveTo>
                <a:cubicBezTo>
                  <a:pt x="235319" y="127296"/>
                  <a:pt x="234740" y="127971"/>
                  <a:pt x="233972" y="128358"/>
                </a:cubicBezTo>
                <a:lnTo>
                  <a:pt x="52689" y="179197"/>
                </a:lnTo>
                <a:lnTo>
                  <a:pt x="28436" y="137628"/>
                </a:lnTo>
                <a:lnTo>
                  <a:pt x="164209" y="8103"/>
                </a:lnTo>
                <a:cubicBezTo>
                  <a:pt x="164647" y="7658"/>
                  <a:pt x="165268" y="7436"/>
                  <a:pt x="165892" y="7503"/>
                </a:cubicBezTo>
                <a:cubicBezTo>
                  <a:pt x="166583" y="7575"/>
                  <a:pt x="167207" y="7941"/>
                  <a:pt x="167603" y="8505"/>
                </a:cubicBezTo>
                <a:lnTo>
                  <a:pt x="235398" y="124627"/>
                </a:lnTo>
                <a:cubicBezTo>
                  <a:pt x="235735" y="125188"/>
                  <a:pt x="235802" y="125869"/>
                  <a:pt x="235580" y="12648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43" name="Freeform: Shape 142">
            <a:extLst>
              <a:ext uri="{FF2B5EF4-FFF2-40B4-BE49-F238E27FC236}">
                <a16:creationId xmlns:a16="http://schemas.microsoft.com/office/drawing/2014/main" id="{2E63662A-09B9-4A52-B646-1675AA6A511C}"/>
              </a:ext>
            </a:extLst>
          </xdr:cNvPr>
          <xdr:cNvSpPr/>
        </xdr:nvSpPr>
        <xdr:spPr>
          <a:xfrm rot="-1761779">
            <a:off x="9462780" y="10651210"/>
            <a:ext cx="43386" cy="7496"/>
          </a:xfrm>
          <a:custGeom>
            <a:avLst/>
            <a:gdLst>
              <a:gd name="connsiteX0" fmla="*/ 0 w 43386"/>
              <a:gd name="connsiteY0" fmla="*/ 0 h 7496"/>
              <a:gd name="connsiteX1" fmla="*/ 43386 w 43386"/>
              <a:gd name="connsiteY1" fmla="*/ 0 h 7496"/>
              <a:gd name="connsiteX2" fmla="*/ 43386 w 43386"/>
              <a:gd name="connsiteY2" fmla="*/ 7496 h 7496"/>
              <a:gd name="connsiteX3" fmla="*/ 0 w 43386"/>
              <a:gd name="connsiteY3" fmla="*/ 7496 h 74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386" h="7496">
                <a:moveTo>
                  <a:pt x="0" y="0"/>
                </a:moveTo>
                <a:lnTo>
                  <a:pt x="43386" y="0"/>
                </a:lnTo>
                <a:lnTo>
                  <a:pt x="43386" y="7496"/>
                </a:lnTo>
                <a:lnTo>
                  <a:pt x="0" y="7496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44" name="Freeform: Shape 143">
            <a:extLst>
              <a:ext uri="{FF2B5EF4-FFF2-40B4-BE49-F238E27FC236}">
                <a16:creationId xmlns:a16="http://schemas.microsoft.com/office/drawing/2014/main" id="{CDCB9042-E423-4B5C-9457-82EAF5A68E76}"/>
              </a:ext>
            </a:extLst>
          </xdr:cNvPr>
          <xdr:cNvSpPr/>
        </xdr:nvSpPr>
        <xdr:spPr>
          <a:xfrm rot="-4460274">
            <a:off x="9487506" y="10676690"/>
            <a:ext cx="7586" cy="42905"/>
          </a:xfrm>
          <a:custGeom>
            <a:avLst/>
            <a:gdLst>
              <a:gd name="connsiteX0" fmla="*/ 0 w 7586"/>
              <a:gd name="connsiteY0" fmla="*/ 0 h 42905"/>
              <a:gd name="connsiteX1" fmla="*/ 7586 w 7586"/>
              <a:gd name="connsiteY1" fmla="*/ 0 h 42905"/>
              <a:gd name="connsiteX2" fmla="*/ 7586 w 7586"/>
              <a:gd name="connsiteY2" fmla="*/ 42906 h 42905"/>
              <a:gd name="connsiteX3" fmla="*/ 0 w 7586"/>
              <a:gd name="connsiteY3" fmla="*/ 42906 h 429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586" h="42905">
                <a:moveTo>
                  <a:pt x="0" y="0"/>
                </a:moveTo>
                <a:lnTo>
                  <a:pt x="7586" y="0"/>
                </a:lnTo>
                <a:lnTo>
                  <a:pt x="7586" y="42906"/>
                </a:lnTo>
                <a:lnTo>
                  <a:pt x="0" y="42906"/>
                </a:lnTo>
                <a:close/>
              </a:path>
            </a:pathLst>
          </a:custGeom>
          <a:solidFill>
            <a:srgbClr val="1F4E78"/>
          </a:solidFill>
          <a:ln w="37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45" name="Freeform: Shape 144">
            <a:extLst>
              <a:ext uri="{FF2B5EF4-FFF2-40B4-BE49-F238E27FC236}">
                <a16:creationId xmlns:a16="http://schemas.microsoft.com/office/drawing/2014/main" id="{D162B0C4-1C5E-41FB-93DE-F7C45B7AE4FC}"/>
              </a:ext>
            </a:extLst>
          </xdr:cNvPr>
          <xdr:cNvSpPr/>
        </xdr:nvSpPr>
        <xdr:spPr>
          <a:xfrm rot="-4460274">
            <a:off x="9428844" y="10623509"/>
            <a:ext cx="43392" cy="7501"/>
          </a:xfrm>
          <a:custGeom>
            <a:avLst/>
            <a:gdLst>
              <a:gd name="connsiteX0" fmla="*/ 0 w 43392"/>
              <a:gd name="connsiteY0" fmla="*/ 0 h 7501"/>
              <a:gd name="connsiteX1" fmla="*/ 43392 w 43392"/>
              <a:gd name="connsiteY1" fmla="*/ 0 h 7501"/>
              <a:gd name="connsiteX2" fmla="*/ 43392 w 43392"/>
              <a:gd name="connsiteY2" fmla="*/ 7501 h 7501"/>
              <a:gd name="connsiteX3" fmla="*/ 0 w 43392"/>
              <a:gd name="connsiteY3" fmla="*/ 7501 h 75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392" h="7501">
                <a:moveTo>
                  <a:pt x="0" y="0"/>
                </a:moveTo>
                <a:lnTo>
                  <a:pt x="43392" y="0"/>
                </a:lnTo>
                <a:lnTo>
                  <a:pt x="43392" y="7501"/>
                </a:lnTo>
                <a:lnTo>
                  <a:pt x="0" y="7501"/>
                </a:lnTo>
                <a:close/>
              </a:path>
            </a:pathLst>
          </a:custGeom>
          <a:solidFill>
            <a:srgbClr val="1F4E78"/>
          </a:solidFill>
          <a:ln w="37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34</xdr:col>
      <xdr:colOff>127000</xdr:colOff>
      <xdr:row>17</xdr:row>
      <xdr:rowOff>127000</xdr:rowOff>
    </xdr:from>
    <xdr:to>
      <xdr:col>39</xdr:col>
      <xdr:colOff>63500</xdr:colOff>
      <xdr:row>20</xdr:row>
      <xdr:rowOff>63500</xdr:rowOff>
    </xdr:to>
    <xdr:sp macro="" textlink="" fLocksText="0">
      <xdr:nvSpPr>
        <xdr:cNvPr id="34" name="Event_7">
          <a:extLst>
            <a:ext uri="{FF2B5EF4-FFF2-40B4-BE49-F238E27FC236}">
              <a16:creationId xmlns:a16="http://schemas.microsoft.com/office/drawing/2014/main" id="{F0D144D9-2425-4C45-9096-2CB3DEF8D8E2}"/>
            </a:ext>
          </a:extLst>
        </xdr:cNvPr>
        <xdr:cNvSpPr/>
      </xdr:nvSpPr>
      <xdr:spPr>
        <a:xfrm>
          <a:off x="6661150" y="3165475"/>
          <a:ext cx="889000" cy="508000"/>
        </a:xfrm>
        <a:prstGeom prst="roundRect">
          <a:avLst/>
        </a:prstGeom>
        <a:solidFill>
          <a:srgbClr val="D9E2EC"/>
        </a:solidFill>
        <a:ln w="12700" cap="flat" cmpd="sng" algn="ctr">
          <a:noFill/>
          <a:prstDash val="solid"/>
          <a:miter lim="800000"/>
        </a:ln>
        <a:effectLst>
          <a:outerShdw blurRad="50800" dist="38100" dir="8100000" algn="tr">
            <a:prstClr val="black">
              <a:alpha val="40000"/>
            </a:prstClr>
          </a:outerShdw>
        </a:effectLst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overflow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100" baseline="0">
              <a:solidFill>
                <a:srgbClr val="1F4E78"/>
              </a:solidFill>
            </a:rPr>
            <a:t>Change job</a:t>
          </a:r>
        </a:p>
      </xdr:txBody>
    </xdr:sp>
    <xdr:clientData fLocksWithSheet="0"/>
  </xdr:twoCellAnchor>
  <xdr:oneCellAnchor>
    <xdr:from>
      <xdr:col>41</xdr:col>
      <xdr:colOff>127000</xdr:colOff>
      <xdr:row>1</xdr:row>
      <xdr:rowOff>47625</xdr:rowOff>
    </xdr:from>
    <xdr:ext cx="1325166" cy="381000"/>
    <xdr:pic>
      <xdr:nvPicPr>
        <xdr:cNvPr id="4835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125707</xdr:colOff>
      <xdr:row>15</xdr:row>
      <xdr:rowOff>121981</xdr:rowOff>
    </xdr:from>
    <xdr:to>
      <xdr:col>6</xdr:col>
      <xdr:colOff>458337</xdr:colOff>
      <xdr:row>15</xdr:row>
      <xdr:rowOff>429481</xdr:rowOff>
    </xdr:to>
    <xdr:grpSp>
      <xdr:nvGrpSpPr>
        <xdr:cNvPr id="116" name="house" descr="Renovation (House With Sparkles)">
          <a:extLst>
            <a:ext uri="{FF2B5EF4-FFF2-40B4-BE49-F238E27FC236}">
              <a16:creationId xmlns:a16="http://schemas.microsoft.com/office/drawing/2014/main" id="{55B2A043-D7FD-4D75-A33E-EBFB1D44ED64}"/>
            </a:ext>
          </a:extLst>
        </xdr:cNvPr>
        <xdr:cNvGrpSpPr>
          <a:grpSpLocks noChangeAspect="1"/>
        </xdr:cNvGrpSpPr>
      </xdr:nvGrpSpPr>
      <xdr:grpSpPr>
        <a:xfrm>
          <a:off x="5345407" y="7418131"/>
          <a:ext cx="332630" cy="307500"/>
          <a:chOff x="4544962" y="5192850"/>
          <a:chExt cx="332630" cy="307500"/>
        </a:xfrm>
        <a:solidFill>
          <a:srgbClr val="1F4E78"/>
        </a:solidFill>
      </xdr:grpSpPr>
      <xdr:sp macro="" textlink="">
        <xdr:nvSpPr>
          <xdr:cNvPr id="117" name="Freeform: Shape 116">
            <a:extLst>
              <a:ext uri="{FF2B5EF4-FFF2-40B4-BE49-F238E27FC236}">
                <a16:creationId xmlns:a16="http://schemas.microsoft.com/office/drawing/2014/main" id="{33C80C9C-2989-4C04-895B-0E3B02F3B50F}"/>
              </a:ext>
            </a:extLst>
          </xdr:cNvPr>
          <xdr:cNvSpPr/>
        </xdr:nvSpPr>
        <xdr:spPr>
          <a:xfrm>
            <a:off x="4547622" y="5225002"/>
            <a:ext cx="316334" cy="275347"/>
          </a:xfrm>
          <a:custGeom>
            <a:avLst/>
            <a:gdLst>
              <a:gd name="connsiteX0" fmla="*/ 0 w 316334"/>
              <a:gd name="connsiteY0" fmla="*/ 147604 h 275347"/>
              <a:gd name="connsiteX1" fmla="*/ 24771 w 316334"/>
              <a:gd name="connsiteY1" fmla="*/ 171930 h 275347"/>
              <a:gd name="connsiteX2" fmla="*/ 43645 w 316334"/>
              <a:gd name="connsiteY2" fmla="*/ 154373 h 275347"/>
              <a:gd name="connsiteX3" fmla="*/ 43645 w 316334"/>
              <a:gd name="connsiteY3" fmla="*/ 275310 h 275347"/>
              <a:gd name="connsiteX4" fmla="*/ 139080 w 316334"/>
              <a:gd name="connsiteY4" fmla="*/ 275348 h 275347"/>
              <a:gd name="connsiteX5" fmla="*/ 139080 w 316334"/>
              <a:gd name="connsiteY5" fmla="*/ 181571 h 275347"/>
              <a:gd name="connsiteX6" fmla="*/ 177254 w 316334"/>
              <a:gd name="connsiteY6" fmla="*/ 181571 h 275347"/>
              <a:gd name="connsiteX7" fmla="*/ 177254 w 316334"/>
              <a:gd name="connsiteY7" fmla="*/ 275321 h 275347"/>
              <a:gd name="connsiteX8" fmla="*/ 272690 w 316334"/>
              <a:gd name="connsiteY8" fmla="*/ 275348 h 275347"/>
              <a:gd name="connsiteX9" fmla="*/ 272690 w 316334"/>
              <a:gd name="connsiteY9" fmla="*/ 154223 h 275347"/>
              <a:gd name="connsiteX10" fmla="*/ 291658 w 316334"/>
              <a:gd name="connsiteY10" fmla="*/ 171848 h 275347"/>
              <a:gd name="connsiteX11" fmla="*/ 316334 w 316334"/>
              <a:gd name="connsiteY11" fmla="*/ 147611 h 275347"/>
              <a:gd name="connsiteX12" fmla="*/ 158167 w 316334"/>
              <a:gd name="connsiteY12" fmla="*/ 0 h 275347"/>
              <a:gd name="connsiteX13" fmla="*/ 265055 w 316334"/>
              <a:gd name="connsiteY13" fmla="*/ 267848 h 275347"/>
              <a:gd name="connsiteX14" fmla="*/ 184889 w 316334"/>
              <a:gd name="connsiteY14" fmla="*/ 267814 h 275347"/>
              <a:gd name="connsiteX15" fmla="*/ 184889 w 316334"/>
              <a:gd name="connsiteY15" fmla="*/ 174064 h 275347"/>
              <a:gd name="connsiteX16" fmla="*/ 131445 w 316334"/>
              <a:gd name="connsiteY16" fmla="*/ 174064 h 275347"/>
              <a:gd name="connsiteX17" fmla="*/ 131445 w 316334"/>
              <a:gd name="connsiteY17" fmla="*/ 267848 h 275347"/>
              <a:gd name="connsiteX18" fmla="*/ 51279 w 316334"/>
              <a:gd name="connsiteY18" fmla="*/ 267814 h 275347"/>
              <a:gd name="connsiteX19" fmla="*/ 51279 w 316334"/>
              <a:gd name="connsiteY19" fmla="*/ 147270 h 275347"/>
              <a:gd name="connsiteX20" fmla="*/ 158167 w 316334"/>
              <a:gd name="connsiteY20" fmla="*/ 47835 h 275347"/>
              <a:gd name="connsiteX21" fmla="*/ 265055 w 316334"/>
              <a:gd name="connsiteY21" fmla="*/ 147128 h 275347"/>
              <a:gd name="connsiteX22" fmla="*/ 291509 w 316334"/>
              <a:gd name="connsiteY22" fmla="*/ 161381 h 275347"/>
              <a:gd name="connsiteX23" fmla="*/ 158167 w 316334"/>
              <a:gd name="connsiteY23" fmla="*/ 37508 h 275347"/>
              <a:gd name="connsiteX24" fmla="*/ 24912 w 316334"/>
              <a:gd name="connsiteY24" fmla="*/ 161468 h 275347"/>
              <a:gd name="connsiteX25" fmla="*/ 10941 w 316334"/>
              <a:gd name="connsiteY25" fmla="*/ 147743 h 275347"/>
              <a:gd name="connsiteX26" fmla="*/ 158167 w 316334"/>
              <a:gd name="connsiteY26" fmla="*/ 10346 h 275347"/>
              <a:gd name="connsiteX27" fmla="*/ 305393 w 316334"/>
              <a:gd name="connsiteY27" fmla="*/ 147739 h 27534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</a:cxnLst>
            <a:rect l="l" t="t" r="r" b="b"/>
            <a:pathLst>
              <a:path w="316334" h="275347">
                <a:moveTo>
                  <a:pt x="0" y="147604"/>
                </a:moveTo>
                <a:lnTo>
                  <a:pt x="24771" y="171930"/>
                </a:lnTo>
                <a:lnTo>
                  <a:pt x="43645" y="154373"/>
                </a:lnTo>
                <a:lnTo>
                  <a:pt x="43645" y="275310"/>
                </a:lnTo>
                <a:lnTo>
                  <a:pt x="139080" y="275348"/>
                </a:lnTo>
                <a:lnTo>
                  <a:pt x="139080" y="181571"/>
                </a:lnTo>
                <a:lnTo>
                  <a:pt x="177254" y="181571"/>
                </a:lnTo>
                <a:lnTo>
                  <a:pt x="177254" y="275321"/>
                </a:lnTo>
                <a:lnTo>
                  <a:pt x="272690" y="275348"/>
                </a:lnTo>
                <a:lnTo>
                  <a:pt x="272690" y="154223"/>
                </a:lnTo>
                <a:lnTo>
                  <a:pt x="291658" y="171848"/>
                </a:lnTo>
                <a:lnTo>
                  <a:pt x="316334" y="147611"/>
                </a:lnTo>
                <a:lnTo>
                  <a:pt x="158167" y="0"/>
                </a:lnTo>
                <a:close/>
                <a:moveTo>
                  <a:pt x="265055" y="267848"/>
                </a:moveTo>
                <a:lnTo>
                  <a:pt x="184889" y="267814"/>
                </a:lnTo>
                <a:lnTo>
                  <a:pt x="184889" y="174064"/>
                </a:lnTo>
                <a:lnTo>
                  <a:pt x="131445" y="174064"/>
                </a:lnTo>
                <a:lnTo>
                  <a:pt x="131445" y="267848"/>
                </a:lnTo>
                <a:lnTo>
                  <a:pt x="51279" y="267814"/>
                </a:lnTo>
                <a:lnTo>
                  <a:pt x="51279" y="147270"/>
                </a:lnTo>
                <a:lnTo>
                  <a:pt x="158167" y="47835"/>
                </a:lnTo>
                <a:lnTo>
                  <a:pt x="265055" y="147128"/>
                </a:lnTo>
                <a:close/>
                <a:moveTo>
                  <a:pt x="291509" y="161381"/>
                </a:moveTo>
                <a:lnTo>
                  <a:pt x="158167" y="37508"/>
                </a:lnTo>
                <a:lnTo>
                  <a:pt x="24912" y="161468"/>
                </a:lnTo>
                <a:lnTo>
                  <a:pt x="10941" y="147743"/>
                </a:lnTo>
                <a:lnTo>
                  <a:pt x="158167" y="10346"/>
                </a:lnTo>
                <a:lnTo>
                  <a:pt x="305393" y="147739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18" name="Freeform: Shape 117">
            <a:extLst>
              <a:ext uri="{FF2B5EF4-FFF2-40B4-BE49-F238E27FC236}">
                <a16:creationId xmlns:a16="http://schemas.microsoft.com/office/drawing/2014/main" id="{533E98B6-83E5-4807-9F0D-AFC81F4AE305}"/>
              </a:ext>
            </a:extLst>
          </xdr:cNvPr>
          <xdr:cNvSpPr/>
        </xdr:nvSpPr>
        <xdr:spPr>
          <a:xfrm>
            <a:off x="4762795" y="5192850"/>
            <a:ext cx="80627" cy="93779"/>
          </a:xfrm>
          <a:custGeom>
            <a:avLst/>
            <a:gdLst>
              <a:gd name="connsiteX0" fmla="*/ 40316 w 80627"/>
              <a:gd name="connsiteY0" fmla="*/ 93780 h 93779"/>
              <a:gd name="connsiteX1" fmla="*/ 80628 w 80627"/>
              <a:gd name="connsiteY1" fmla="*/ 46905 h 93779"/>
              <a:gd name="connsiteX2" fmla="*/ 40316 w 80627"/>
              <a:gd name="connsiteY2" fmla="*/ 0 h 93779"/>
              <a:gd name="connsiteX3" fmla="*/ 0 w 80627"/>
              <a:gd name="connsiteY3" fmla="*/ 46875 h 93779"/>
              <a:gd name="connsiteX4" fmla="*/ 40316 w 80627"/>
              <a:gd name="connsiteY4" fmla="*/ 93780 h 93779"/>
              <a:gd name="connsiteX5" fmla="*/ 40316 w 80627"/>
              <a:gd name="connsiteY5" fmla="*/ 19125 h 93779"/>
              <a:gd name="connsiteX6" fmla="*/ 65182 w 80627"/>
              <a:gd name="connsiteY6" fmla="*/ 46875 h 93779"/>
              <a:gd name="connsiteX7" fmla="*/ 40316 w 80627"/>
              <a:gd name="connsiteY7" fmla="*/ 74625 h 93779"/>
              <a:gd name="connsiteX8" fmla="*/ 15445 w 80627"/>
              <a:gd name="connsiteY8" fmla="*/ 46875 h 93779"/>
              <a:gd name="connsiteX9" fmla="*/ 40316 w 80627"/>
              <a:gd name="connsiteY9" fmla="*/ 19125 h 9377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80627" h="93779">
                <a:moveTo>
                  <a:pt x="40316" y="93780"/>
                </a:moveTo>
                <a:cubicBezTo>
                  <a:pt x="46279" y="73194"/>
                  <a:pt x="60962" y="56120"/>
                  <a:pt x="80628" y="46905"/>
                </a:cubicBezTo>
                <a:cubicBezTo>
                  <a:pt x="60955" y="37685"/>
                  <a:pt x="46270" y="20598"/>
                  <a:pt x="40316" y="0"/>
                </a:cubicBezTo>
                <a:cubicBezTo>
                  <a:pt x="34351" y="20586"/>
                  <a:pt x="19666" y="37661"/>
                  <a:pt x="0" y="46875"/>
                </a:cubicBezTo>
                <a:cubicBezTo>
                  <a:pt x="19672" y="56097"/>
                  <a:pt x="34358" y="73183"/>
                  <a:pt x="40316" y="93780"/>
                </a:cubicBezTo>
                <a:close/>
                <a:moveTo>
                  <a:pt x="40316" y="19125"/>
                </a:moveTo>
                <a:cubicBezTo>
                  <a:pt x="46327" y="30127"/>
                  <a:pt x="54836" y="39622"/>
                  <a:pt x="65182" y="46875"/>
                </a:cubicBezTo>
                <a:cubicBezTo>
                  <a:pt x="54838" y="54130"/>
                  <a:pt x="46329" y="63625"/>
                  <a:pt x="40316" y="74625"/>
                </a:cubicBezTo>
                <a:cubicBezTo>
                  <a:pt x="34299" y="63625"/>
                  <a:pt x="25790" y="54131"/>
                  <a:pt x="15445" y="46875"/>
                </a:cubicBezTo>
                <a:cubicBezTo>
                  <a:pt x="25792" y="39621"/>
                  <a:pt x="34301" y="30126"/>
                  <a:pt x="40316" y="191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19" name="Freeform: Shape 118">
            <a:extLst>
              <a:ext uri="{FF2B5EF4-FFF2-40B4-BE49-F238E27FC236}">
                <a16:creationId xmlns:a16="http://schemas.microsoft.com/office/drawing/2014/main" id="{A9034E9C-287B-478D-B318-0E985CF3FB7C}"/>
              </a:ext>
            </a:extLst>
          </xdr:cNvPr>
          <xdr:cNvSpPr/>
        </xdr:nvSpPr>
        <xdr:spPr>
          <a:xfrm>
            <a:off x="4835673" y="5271626"/>
            <a:ext cx="41919" cy="48750"/>
          </a:xfrm>
          <a:custGeom>
            <a:avLst/>
            <a:gdLst>
              <a:gd name="connsiteX0" fmla="*/ 20958 w 41919"/>
              <a:gd name="connsiteY0" fmla="*/ 0 h 48750"/>
              <a:gd name="connsiteX1" fmla="*/ 0 w 41919"/>
              <a:gd name="connsiteY1" fmla="*/ 24375 h 48750"/>
              <a:gd name="connsiteX2" fmla="*/ 20958 w 41919"/>
              <a:gd name="connsiteY2" fmla="*/ 48750 h 48750"/>
              <a:gd name="connsiteX3" fmla="*/ 41919 w 41919"/>
              <a:gd name="connsiteY3" fmla="*/ 24375 h 48750"/>
              <a:gd name="connsiteX4" fmla="*/ 20958 w 41919"/>
              <a:gd name="connsiteY4" fmla="*/ 0 h 48750"/>
              <a:gd name="connsiteX5" fmla="*/ 20958 w 41919"/>
              <a:gd name="connsiteY5" fmla="*/ 32044 h 48750"/>
              <a:gd name="connsiteX6" fmla="*/ 13937 w 41919"/>
              <a:gd name="connsiteY6" fmla="*/ 24383 h 48750"/>
              <a:gd name="connsiteX7" fmla="*/ 20958 w 41919"/>
              <a:gd name="connsiteY7" fmla="*/ 16718 h 48750"/>
              <a:gd name="connsiteX8" fmla="*/ 27982 w 41919"/>
              <a:gd name="connsiteY8" fmla="*/ 24383 h 48750"/>
              <a:gd name="connsiteX9" fmla="*/ 20958 w 41919"/>
              <a:gd name="connsiteY9" fmla="*/ 32044 h 487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41919" h="48750">
                <a:moveTo>
                  <a:pt x="20958" y="0"/>
                </a:moveTo>
                <a:cubicBezTo>
                  <a:pt x="17859" y="10705"/>
                  <a:pt x="10225" y="19584"/>
                  <a:pt x="0" y="24375"/>
                </a:cubicBezTo>
                <a:cubicBezTo>
                  <a:pt x="10226" y="29166"/>
                  <a:pt x="17861" y="38045"/>
                  <a:pt x="20958" y="48750"/>
                </a:cubicBezTo>
                <a:cubicBezTo>
                  <a:pt x="24055" y="38044"/>
                  <a:pt x="31691" y="29164"/>
                  <a:pt x="41919" y="24375"/>
                </a:cubicBezTo>
                <a:cubicBezTo>
                  <a:pt x="31692" y="19585"/>
                  <a:pt x="24056" y="10706"/>
                  <a:pt x="20958" y="0"/>
                </a:cubicBezTo>
                <a:close/>
                <a:moveTo>
                  <a:pt x="20958" y="32044"/>
                </a:moveTo>
                <a:cubicBezTo>
                  <a:pt x="18920" y="29238"/>
                  <a:pt x="16564" y="26668"/>
                  <a:pt x="13937" y="24383"/>
                </a:cubicBezTo>
                <a:cubicBezTo>
                  <a:pt x="16563" y="22095"/>
                  <a:pt x="18918" y="19524"/>
                  <a:pt x="20958" y="16718"/>
                </a:cubicBezTo>
                <a:cubicBezTo>
                  <a:pt x="22998" y="19524"/>
                  <a:pt x="25355" y="22095"/>
                  <a:pt x="27982" y="24383"/>
                </a:cubicBezTo>
                <a:cubicBezTo>
                  <a:pt x="25353" y="26668"/>
                  <a:pt x="22997" y="29238"/>
                  <a:pt x="20958" y="3204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20" name="Freeform: Shape 119">
            <a:extLst>
              <a:ext uri="{FF2B5EF4-FFF2-40B4-BE49-F238E27FC236}">
                <a16:creationId xmlns:a16="http://schemas.microsoft.com/office/drawing/2014/main" id="{318C1C3E-C3AF-4E26-9799-1E0C88CC856D}"/>
              </a:ext>
            </a:extLst>
          </xdr:cNvPr>
          <xdr:cNvSpPr/>
        </xdr:nvSpPr>
        <xdr:spPr>
          <a:xfrm>
            <a:off x="4544962" y="5234133"/>
            <a:ext cx="61235" cy="71249"/>
          </a:xfrm>
          <a:custGeom>
            <a:avLst/>
            <a:gdLst>
              <a:gd name="connsiteX0" fmla="*/ 30619 w 61235"/>
              <a:gd name="connsiteY0" fmla="*/ 71250 h 71249"/>
              <a:gd name="connsiteX1" fmla="*/ 61235 w 61235"/>
              <a:gd name="connsiteY1" fmla="*/ 35625 h 71249"/>
              <a:gd name="connsiteX2" fmla="*/ 30619 w 61235"/>
              <a:gd name="connsiteY2" fmla="*/ 0 h 71249"/>
              <a:gd name="connsiteX3" fmla="*/ 0 w 61235"/>
              <a:gd name="connsiteY3" fmla="*/ 35625 h 71249"/>
              <a:gd name="connsiteX4" fmla="*/ 30619 w 61235"/>
              <a:gd name="connsiteY4" fmla="*/ 71250 h 71249"/>
              <a:gd name="connsiteX5" fmla="*/ 30619 w 61235"/>
              <a:gd name="connsiteY5" fmla="*/ 18135 h 71249"/>
              <a:gd name="connsiteX6" fmla="*/ 46397 w 61235"/>
              <a:gd name="connsiteY6" fmla="*/ 35610 h 71249"/>
              <a:gd name="connsiteX7" fmla="*/ 30616 w 61235"/>
              <a:gd name="connsiteY7" fmla="*/ 53096 h 71249"/>
              <a:gd name="connsiteX8" fmla="*/ 14834 w 61235"/>
              <a:gd name="connsiteY8" fmla="*/ 35618 h 71249"/>
              <a:gd name="connsiteX9" fmla="*/ 30619 w 61235"/>
              <a:gd name="connsiteY9" fmla="*/ 18135 h 7124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1235" h="71249">
                <a:moveTo>
                  <a:pt x="30619" y="71250"/>
                </a:moveTo>
                <a:cubicBezTo>
                  <a:pt x="35129" y="55599"/>
                  <a:pt x="46285" y="42617"/>
                  <a:pt x="61235" y="35625"/>
                </a:cubicBezTo>
                <a:cubicBezTo>
                  <a:pt x="46296" y="28619"/>
                  <a:pt x="35144" y="15643"/>
                  <a:pt x="30619" y="0"/>
                </a:cubicBezTo>
                <a:cubicBezTo>
                  <a:pt x="26094" y="15643"/>
                  <a:pt x="14941" y="28620"/>
                  <a:pt x="0" y="35625"/>
                </a:cubicBezTo>
                <a:cubicBezTo>
                  <a:pt x="14941" y="42630"/>
                  <a:pt x="26094" y="55607"/>
                  <a:pt x="30619" y="71250"/>
                </a:cubicBezTo>
                <a:close/>
                <a:moveTo>
                  <a:pt x="30619" y="18135"/>
                </a:moveTo>
                <a:cubicBezTo>
                  <a:pt x="34733" y="24869"/>
                  <a:pt x="40083" y="30794"/>
                  <a:pt x="46397" y="35610"/>
                </a:cubicBezTo>
                <a:cubicBezTo>
                  <a:pt x="40081" y="40429"/>
                  <a:pt x="34729" y="46359"/>
                  <a:pt x="30616" y="53096"/>
                </a:cubicBezTo>
                <a:cubicBezTo>
                  <a:pt x="26502" y="46361"/>
                  <a:pt x="21151" y="40434"/>
                  <a:pt x="14834" y="35618"/>
                </a:cubicBezTo>
                <a:cubicBezTo>
                  <a:pt x="21151" y="30799"/>
                  <a:pt x="26503" y="24871"/>
                  <a:pt x="30619" y="1813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8</xdr:col>
      <xdr:colOff>158956</xdr:colOff>
      <xdr:row>5</xdr:row>
      <xdr:rowOff>126701</xdr:rowOff>
    </xdr:from>
    <xdr:to>
      <xdr:col>8</xdr:col>
      <xdr:colOff>420210</xdr:colOff>
      <xdr:row>5</xdr:row>
      <xdr:rowOff>458009</xdr:rowOff>
    </xdr:to>
    <xdr:sp macro="" textlink="">
      <xdr:nvSpPr>
        <xdr:cNvPr id="132" name="knitting" descr="Alterations &amp; Tailoring outline">
          <a:extLst>
            <a:ext uri="{FF2B5EF4-FFF2-40B4-BE49-F238E27FC236}">
              <a16:creationId xmlns:a16="http://schemas.microsoft.com/office/drawing/2014/main" id="{2AB68670-A087-424D-87A0-8C8FB041C9EB}"/>
            </a:ext>
          </a:extLst>
        </xdr:cNvPr>
        <xdr:cNvSpPr>
          <a:spLocks noChangeAspect="1"/>
        </xdr:cNvSpPr>
      </xdr:nvSpPr>
      <xdr:spPr>
        <a:xfrm>
          <a:off x="6607381" y="1136351"/>
          <a:ext cx="261254" cy="331308"/>
        </a:xfrm>
        <a:custGeom>
          <a:avLst/>
          <a:gdLst>
            <a:gd name="connsiteX0" fmla="*/ 257815 w 261254"/>
            <a:gd name="connsiteY0" fmla="*/ 44813 h 331308"/>
            <a:gd name="connsiteX1" fmla="*/ 226691 w 261254"/>
            <a:gd name="connsiteY1" fmla="*/ 37449 h 331308"/>
            <a:gd name="connsiteX2" fmla="*/ 216703 w 261254"/>
            <a:gd name="connsiteY2" fmla="*/ 62438 h 331308"/>
            <a:gd name="connsiteX3" fmla="*/ 175118 w 261254"/>
            <a:gd name="connsiteY3" fmla="*/ 103242 h 331308"/>
            <a:gd name="connsiteX4" fmla="*/ 167732 w 261254"/>
            <a:gd name="connsiteY4" fmla="*/ 98146 h 331308"/>
            <a:gd name="connsiteX5" fmla="*/ 189975 w 261254"/>
            <a:gd name="connsiteY5" fmla="*/ 44809 h 331308"/>
            <a:gd name="connsiteX6" fmla="*/ 209486 w 261254"/>
            <a:gd name="connsiteY6" fmla="*/ 19560 h 331308"/>
            <a:gd name="connsiteX7" fmla="*/ 184046 w 261254"/>
            <a:gd name="connsiteY7" fmla="*/ 196 h 331308"/>
            <a:gd name="connsiteX8" fmla="*/ 164535 w 261254"/>
            <a:gd name="connsiteY8" fmla="*/ 25445 h 331308"/>
            <a:gd name="connsiteX9" fmla="*/ 169028 w 261254"/>
            <a:gd name="connsiteY9" fmla="*/ 36203 h 331308"/>
            <a:gd name="connsiteX10" fmla="*/ 147381 w 261254"/>
            <a:gd name="connsiteY10" fmla="*/ 88107 h 331308"/>
            <a:gd name="connsiteX11" fmla="*/ 11788 w 261254"/>
            <a:gd name="connsiteY11" fmla="*/ 150870 h 331308"/>
            <a:gd name="connsiteX12" fmla="*/ 27158 w 261254"/>
            <a:gd name="connsiteY12" fmla="*/ 250549 h 331308"/>
            <a:gd name="connsiteX13" fmla="*/ 11444 w 261254"/>
            <a:gd name="connsiteY13" fmla="*/ 266161 h 331308"/>
            <a:gd name="connsiteX14" fmla="*/ 170 w 261254"/>
            <a:gd name="connsiteY14" fmla="*/ 290776 h 331308"/>
            <a:gd name="connsiteX15" fmla="*/ 1108 w 261254"/>
            <a:gd name="connsiteY15" fmla="*/ 293258 h 331308"/>
            <a:gd name="connsiteX16" fmla="*/ 2671 w 261254"/>
            <a:gd name="connsiteY16" fmla="*/ 293258 h 331308"/>
            <a:gd name="connsiteX17" fmla="*/ 27476 w 261254"/>
            <a:gd name="connsiteY17" fmla="*/ 282068 h 331308"/>
            <a:gd name="connsiteX18" fmla="*/ 42804 w 261254"/>
            <a:gd name="connsiteY18" fmla="*/ 266858 h 331308"/>
            <a:gd name="connsiteX19" fmla="*/ 44981 w 261254"/>
            <a:gd name="connsiteY19" fmla="*/ 268643 h 331308"/>
            <a:gd name="connsiteX20" fmla="*/ 45022 w 261254"/>
            <a:gd name="connsiteY20" fmla="*/ 268849 h 331308"/>
            <a:gd name="connsiteX21" fmla="*/ 45192 w 261254"/>
            <a:gd name="connsiteY21" fmla="*/ 268812 h 331308"/>
            <a:gd name="connsiteX22" fmla="*/ 66551 w 261254"/>
            <a:gd name="connsiteY22" fmla="*/ 281982 h 331308"/>
            <a:gd name="connsiteX23" fmla="*/ 58058 w 261254"/>
            <a:gd name="connsiteY23" fmla="*/ 302344 h 331308"/>
            <a:gd name="connsiteX24" fmla="*/ 57139 w 261254"/>
            <a:gd name="connsiteY24" fmla="*/ 329367 h 331308"/>
            <a:gd name="connsiteX25" fmla="*/ 58961 w 261254"/>
            <a:gd name="connsiteY25" fmla="*/ 331307 h 331308"/>
            <a:gd name="connsiteX26" fmla="*/ 60411 w 261254"/>
            <a:gd name="connsiteY26" fmla="*/ 330709 h 331308"/>
            <a:gd name="connsiteX27" fmla="*/ 79005 w 261254"/>
            <a:gd name="connsiteY27" fmla="*/ 310947 h 331308"/>
            <a:gd name="connsiteX28" fmla="*/ 88073 w 261254"/>
            <a:gd name="connsiteY28" fmla="*/ 289242 h 331308"/>
            <a:gd name="connsiteX29" fmla="*/ 214432 w 261254"/>
            <a:gd name="connsiteY29" fmla="*/ 209810 h 331308"/>
            <a:gd name="connsiteX30" fmla="*/ 191868 w 261254"/>
            <a:gd name="connsiteY30" fmla="*/ 118891 h 331308"/>
            <a:gd name="connsiteX31" fmla="*/ 232730 w 261254"/>
            <a:gd name="connsiteY31" fmla="*/ 78338 h 331308"/>
            <a:gd name="connsiteX32" fmla="*/ 257815 w 261254"/>
            <a:gd name="connsiteY32" fmla="*/ 68543 h 331308"/>
            <a:gd name="connsiteX33" fmla="*/ 257815 w 261254"/>
            <a:gd name="connsiteY33" fmla="*/ 44813 h 331308"/>
            <a:gd name="connsiteX34" fmla="*/ 173036 w 261254"/>
            <a:gd name="connsiteY34" fmla="*/ 16786 h 331308"/>
            <a:gd name="connsiteX35" fmla="*/ 192785 w 261254"/>
            <a:gd name="connsiteY35" fmla="*/ 8673 h 331308"/>
            <a:gd name="connsiteX36" fmla="*/ 200959 w 261254"/>
            <a:gd name="connsiteY36" fmla="*/ 28274 h 331308"/>
            <a:gd name="connsiteX37" fmla="*/ 181220 w 261254"/>
            <a:gd name="connsiteY37" fmla="*/ 36391 h 331308"/>
            <a:gd name="connsiteX38" fmla="*/ 173003 w 261254"/>
            <a:gd name="connsiteY38" fmla="*/ 16865 h 331308"/>
            <a:gd name="connsiteX39" fmla="*/ 173036 w 261254"/>
            <a:gd name="connsiteY39" fmla="*/ 16786 h 331308"/>
            <a:gd name="connsiteX40" fmla="*/ 174971 w 261254"/>
            <a:gd name="connsiteY40" fmla="*/ 41566 h 331308"/>
            <a:gd name="connsiteX41" fmla="*/ 181949 w 261254"/>
            <a:gd name="connsiteY41" fmla="*/ 44434 h 331308"/>
            <a:gd name="connsiteX42" fmla="*/ 161150 w 261254"/>
            <a:gd name="connsiteY42" fmla="*/ 94309 h 331308"/>
            <a:gd name="connsiteX43" fmla="*/ 154349 w 261254"/>
            <a:gd name="connsiteY43" fmla="*/ 90964 h 331308"/>
            <a:gd name="connsiteX44" fmla="*/ 136322 w 261254"/>
            <a:gd name="connsiteY44" fmla="*/ 92543 h 331308"/>
            <a:gd name="connsiteX45" fmla="*/ 95444 w 261254"/>
            <a:gd name="connsiteY45" fmla="*/ 283043 h 331308"/>
            <a:gd name="connsiteX46" fmla="*/ 51782 w 261254"/>
            <a:gd name="connsiteY46" fmla="*/ 264391 h 331308"/>
            <a:gd name="connsiteX47" fmla="*/ 51695 w 261254"/>
            <a:gd name="connsiteY47" fmla="*/ 178381 h 331308"/>
            <a:gd name="connsiteX48" fmla="*/ 96155 w 261254"/>
            <a:gd name="connsiteY48" fmla="*/ 90443 h 331308"/>
            <a:gd name="connsiteX49" fmla="*/ 136322 w 261254"/>
            <a:gd name="connsiteY49" fmla="*/ 92543 h 331308"/>
            <a:gd name="connsiteX50" fmla="*/ 84109 w 261254"/>
            <a:gd name="connsiteY50" fmla="*/ 93098 h 331308"/>
            <a:gd name="connsiteX51" fmla="*/ 44316 w 261254"/>
            <a:gd name="connsiteY51" fmla="*/ 176753 h 331308"/>
            <a:gd name="connsiteX52" fmla="*/ 42449 w 261254"/>
            <a:gd name="connsiteY52" fmla="*/ 256354 h 331308"/>
            <a:gd name="connsiteX53" fmla="*/ 40979 w 261254"/>
            <a:gd name="connsiteY53" fmla="*/ 118604 h 331308"/>
            <a:gd name="connsiteX54" fmla="*/ 84109 w 261254"/>
            <a:gd name="connsiteY54" fmla="*/ 93098 h 331308"/>
            <a:gd name="connsiteX55" fmla="*/ 23085 w 261254"/>
            <a:gd name="connsiteY55" fmla="*/ 275806 h 331308"/>
            <a:gd name="connsiteX56" fmla="*/ 13375 w 261254"/>
            <a:gd name="connsiteY56" fmla="*/ 280186 h 331308"/>
            <a:gd name="connsiteX57" fmla="*/ 13332 w 261254"/>
            <a:gd name="connsiteY57" fmla="*/ 280163 h 331308"/>
            <a:gd name="connsiteX58" fmla="*/ 13333 w 261254"/>
            <a:gd name="connsiteY58" fmla="*/ 280141 h 331308"/>
            <a:gd name="connsiteX59" fmla="*/ 17746 w 261254"/>
            <a:gd name="connsiteY59" fmla="*/ 270503 h 331308"/>
            <a:gd name="connsiteX60" fmla="*/ 31991 w 261254"/>
            <a:gd name="connsiteY60" fmla="*/ 256366 h 331308"/>
            <a:gd name="connsiteX61" fmla="*/ 37197 w 261254"/>
            <a:gd name="connsiteY61" fmla="*/ 261807 h 331308"/>
            <a:gd name="connsiteX62" fmla="*/ 72529 w 261254"/>
            <a:gd name="connsiteY62" fmla="*/ 306822 h 331308"/>
            <a:gd name="connsiteX63" fmla="*/ 65248 w 261254"/>
            <a:gd name="connsiteY63" fmla="*/ 314558 h 331308"/>
            <a:gd name="connsiteX64" fmla="*/ 65200 w 261254"/>
            <a:gd name="connsiteY64" fmla="*/ 314564 h 331308"/>
            <a:gd name="connsiteX65" fmla="*/ 65187 w 261254"/>
            <a:gd name="connsiteY65" fmla="*/ 314532 h 331308"/>
            <a:gd name="connsiteX66" fmla="*/ 65565 w 261254"/>
            <a:gd name="connsiteY66" fmla="*/ 303957 h 331308"/>
            <a:gd name="connsiteX67" fmla="*/ 73500 w 261254"/>
            <a:gd name="connsiteY67" fmla="*/ 284903 h 331308"/>
            <a:gd name="connsiteX68" fmla="*/ 80678 w 261254"/>
            <a:gd name="connsiteY68" fmla="*/ 287337 h 331308"/>
            <a:gd name="connsiteX69" fmla="*/ 103730 w 261254"/>
            <a:gd name="connsiteY69" fmla="*/ 283988 h 331308"/>
            <a:gd name="connsiteX70" fmla="*/ 98440 w 261254"/>
            <a:gd name="connsiteY70" fmla="*/ 182881 h 331308"/>
            <a:gd name="connsiteX71" fmla="*/ 101123 w 261254"/>
            <a:gd name="connsiteY71" fmla="*/ 172287 h 331308"/>
            <a:gd name="connsiteX72" fmla="*/ 150619 w 261254"/>
            <a:gd name="connsiteY72" fmla="*/ 258507 h 331308"/>
            <a:gd name="connsiteX73" fmla="*/ 153642 w 261254"/>
            <a:gd name="connsiteY73" fmla="*/ 274733 h 331308"/>
            <a:gd name="connsiteX74" fmla="*/ 111192 w 261254"/>
            <a:gd name="connsiteY74" fmla="*/ 284299 h 331308"/>
            <a:gd name="connsiteX75" fmla="*/ 103730 w 261254"/>
            <a:gd name="connsiteY75" fmla="*/ 283988 h 331308"/>
            <a:gd name="connsiteX76" fmla="*/ 160689 w 261254"/>
            <a:gd name="connsiteY76" fmla="*/ 270972 h 331308"/>
            <a:gd name="connsiteX77" fmla="*/ 157972 w 261254"/>
            <a:gd name="connsiteY77" fmla="*/ 256786 h 331308"/>
            <a:gd name="connsiteX78" fmla="*/ 103530 w 261254"/>
            <a:gd name="connsiteY78" fmla="*/ 164307 h 331308"/>
            <a:gd name="connsiteX79" fmla="*/ 121039 w 261254"/>
            <a:gd name="connsiteY79" fmla="*/ 126016 h 331308"/>
            <a:gd name="connsiteX80" fmla="*/ 191970 w 261254"/>
            <a:gd name="connsiteY80" fmla="*/ 230438 h 331308"/>
            <a:gd name="connsiteX81" fmla="*/ 193829 w 261254"/>
            <a:gd name="connsiteY81" fmla="*/ 239438 h 331308"/>
            <a:gd name="connsiteX82" fmla="*/ 160689 w 261254"/>
            <a:gd name="connsiteY82" fmla="*/ 270972 h 331308"/>
            <a:gd name="connsiteX83" fmla="*/ 199519 w 261254"/>
            <a:gd name="connsiteY83" fmla="*/ 229399 h 331308"/>
            <a:gd name="connsiteX84" fmla="*/ 199466 w 261254"/>
            <a:gd name="connsiteY84" fmla="*/ 229399 h 331308"/>
            <a:gd name="connsiteX85" fmla="*/ 198975 w 261254"/>
            <a:gd name="connsiteY85" fmla="*/ 227281 h 331308"/>
            <a:gd name="connsiteX86" fmla="*/ 125032 w 261254"/>
            <a:gd name="connsiteY86" fmla="*/ 119656 h 331308"/>
            <a:gd name="connsiteX87" fmla="*/ 144302 w 261254"/>
            <a:gd name="connsiteY87" fmla="*/ 95029 h 331308"/>
            <a:gd name="connsiteX88" fmla="*/ 169666 w 261254"/>
            <a:gd name="connsiteY88" fmla="*/ 108634 h 331308"/>
            <a:gd name="connsiteX89" fmla="*/ 166757 w 261254"/>
            <a:gd name="connsiteY89" fmla="*/ 111488 h 331308"/>
            <a:gd name="connsiteX90" fmla="*/ 165710 w 261254"/>
            <a:gd name="connsiteY90" fmla="*/ 127613 h 331308"/>
            <a:gd name="connsiteX91" fmla="*/ 174291 w 261254"/>
            <a:gd name="connsiteY91" fmla="*/ 131427 h 331308"/>
            <a:gd name="connsiteX92" fmla="*/ 182112 w 261254"/>
            <a:gd name="connsiteY92" fmla="*/ 128464 h 331308"/>
            <a:gd name="connsiteX93" fmla="*/ 186449 w 261254"/>
            <a:gd name="connsiteY93" fmla="*/ 124193 h 331308"/>
            <a:gd name="connsiteX94" fmla="*/ 200135 w 261254"/>
            <a:gd name="connsiteY94" fmla="*/ 228177 h 331308"/>
            <a:gd name="connsiteX95" fmla="*/ 199519 w 261254"/>
            <a:gd name="connsiteY95" fmla="*/ 229399 h 331308"/>
            <a:gd name="connsiteX96" fmla="*/ 176936 w 261254"/>
            <a:gd name="connsiteY96" fmla="*/ 122982 h 331308"/>
            <a:gd name="connsiteX97" fmla="*/ 171359 w 261254"/>
            <a:gd name="connsiteY97" fmla="*/ 122626 h 331308"/>
            <a:gd name="connsiteX98" fmla="*/ 171795 w 261254"/>
            <a:gd name="connsiteY98" fmla="*/ 117021 h 331308"/>
            <a:gd name="connsiteX99" fmla="*/ 171846 w 261254"/>
            <a:gd name="connsiteY99" fmla="*/ 116978 h 331308"/>
            <a:gd name="connsiteX100" fmla="*/ 220092 w 261254"/>
            <a:gd name="connsiteY100" fmla="*/ 69672 h 331308"/>
            <a:gd name="connsiteX101" fmla="*/ 222491 w 261254"/>
            <a:gd name="connsiteY101" fmla="*/ 72589 h 331308"/>
            <a:gd name="connsiteX102" fmla="*/ 225434 w 261254"/>
            <a:gd name="connsiteY102" fmla="*/ 74974 h 331308"/>
            <a:gd name="connsiteX103" fmla="*/ 249208 w 261254"/>
            <a:gd name="connsiteY103" fmla="*/ 67287 h 331308"/>
            <a:gd name="connsiteX104" fmla="*/ 227834 w 261254"/>
            <a:gd name="connsiteY104" fmla="*/ 67286 h 331308"/>
            <a:gd name="connsiteX105" fmla="*/ 227835 w 261254"/>
            <a:gd name="connsiteY105" fmla="*/ 46073 h 331308"/>
            <a:gd name="connsiteX106" fmla="*/ 249208 w 261254"/>
            <a:gd name="connsiteY106" fmla="*/ 46073 h 331308"/>
            <a:gd name="connsiteX107" fmla="*/ 249348 w 261254"/>
            <a:gd name="connsiteY107" fmla="*/ 67148 h 331308"/>
            <a:gd name="connsiteX108" fmla="*/ 249208 w 261254"/>
            <a:gd name="connsiteY108" fmla="*/ 67287 h 33130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</a:cxnLst>
          <a:rect l="l" t="t" r="r" b="b"/>
          <a:pathLst>
            <a:path w="261254" h="331308">
              <a:moveTo>
                <a:pt x="257815" y="44813"/>
              </a:moveTo>
              <a:cubicBezTo>
                <a:pt x="251269" y="34249"/>
                <a:pt x="237334" y="30952"/>
                <a:pt x="226691" y="37449"/>
              </a:cubicBezTo>
              <a:cubicBezTo>
                <a:pt x="218150" y="42662"/>
                <a:pt x="214085" y="52832"/>
                <a:pt x="216703" y="62438"/>
              </a:cubicBezTo>
              <a:lnTo>
                <a:pt x="175118" y="103242"/>
              </a:lnTo>
              <a:cubicBezTo>
                <a:pt x="172730" y="101442"/>
                <a:pt x="170268" y="99743"/>
                <a:pt x="167732" y="98146"/>
              </a:cubicBezTo>
              <a:lnTo>
                <a:pt x="189975" y="44809"/>
              </a:lnTo>
              <a:cubicBezTo>
                <a:pt x="202388" y="43184"/>
                <a:pt x="211123" y="31880"/>
                <a:pt x="209486" y="19560"/>
              </a:cubicBezTo>
              <a:cubicBezTo>
                <a:pt x="207848" y="7241"/>
                <a:pt x="196459" y="-1429"/>
                <a:pt x="184046" y="196"/>
              </a:cubicBezTo>
              <a:cubicBezTo>
                <a:pt x="171633" y="1821"/>
                <a:pt x="162898" y="13125"/>
                <a:pt x="164535" y="25445"/>
              </a:cubicBezTo>
              <a:cubicBezTo>
                <a:pt x="165055" y="29360"/>
                <a:pt x="166604" y="33070"/>
                <a:pt x="169028" y="36203"/>
              </a:cubicBezTo>
              <a:lnTo>
                <a:pt x="147381" y="88107"/>
              </a:lnTo>
              <a:cubicBezTo>
                <a:pt x="92476" y="68276"/>
                <a:pt x="31769" y="96376"/>
                <a:pt x="11788" y="150870"/>
              </a:cubicBezTo>
              <a:cubicBezTo>
                <a:pt x="-551" y="184524"/>
                <a:pt x="5243" y="222099"/>
                <a:pt x="27158" y="250549"/>
              </a:cubicBezTo>
              <a:lnTo>
                <a:pt x="11444" y="266161"/>
              </a:lnTo>
              <a:lnTo>
                <a:pt x="170" y="290776"/>
              </a:lnTo>
              <a:cubicBezTo>
                <a:pt x="-262" y="291718"/>
                <a:pt x="159" y="292830"/>
                <a:pt x="1108" y="293258"/>
              </a:cubicBezTo>
              <a:cubicBezTo>
                <a:pt x="1605" y="293482"/>
                <a:pt x="2174" y="293482"/>
                <a:pt x="2671" y="293258"/>
              </a:cubicBezTo>
              <a:lnTo>
                <a:pt x="27476" y="282068"/>
              </a:lnTo>
              <a:lnTo>
                <a:pt x="42804" y="266858"/>
              </a:lnTo>
              <a:cubicBezTo>
                <a:pt x="43522" y="267463"/>
                <a:pt x="44248" y="268058"/>
                <a:pt x="44981" y="268643"/>
              </a:cubicBezTo>
              <a:cubicBezTo>
                <a:pt x="44981" y="268714"/>
                <a:pt x="45007" y="268782"/>
                <a:pt x="45022" y="268849"/>
              </a:cubicBezTo>
              <a:lnTo>
                <a:pt x="45192" y="268812"/>
              </a:lnTo>
              <a:cubicBezTo>
                <a:pt x="51760" y="274028"/>
                <a:pt x="58930" y="278449"/>
                <a:pt x="66551" y="281982"/>
              </a:cubicBezTo>
              <a:lnTo>
                <a:pt x="58058" y="302344"/>
              </a:lnTo>
              <a:lnTo>
                <a:pt x="57139" y="329367"/>
              </a:lnTo>
              <a:cubicBezTo>
                <a:pt x="57102" y="330402"/>
                <a:pt x="57918" y="331270"/>
                <a:pt x="58961" y="331307"/>
              </a:cubicBezTo>
              <a:cubicBezTo>
                <a:pt x="59509" y="331326"/>
                <a:pt x="60038" y="331108"/>
                <a:pt x="60411" y="330709"/>
              </a:cubicBezTo>
              <a:lnTo>
                <a:pt x="79005" y="310947"/>
              </a:lnTo>
              <a:lnTo>
                <a:pt x="88073" y="289242"/>
              </a:lnTo>
              <a:cubicBezTo>
                <a:pt x="145066" y="301939"/>
                <a:pt x="201639" y="266376"/>
                <a:pt x="214432" y="209810"/>
              </a:cubicBezTo>
              <a:cubicBezTo>
                <a:pt x="221701" y="177668"/>
                <a:pt x="213346" y="144004"/>
                <a:pt x="191868" y="118891"/>
              </a:cubicBezTo>
              <a:lnTo>
                <a:pt x="232730" y="78338"/>
              </a:lnTo>
              <a:cubicBezTo>
                <a:pt x="242361" y="81058"/>
                <a:pt x="252634" y="77047"/>
                <a:pt x="257815" y="68543"/>
              </a:cubicBezTo>
              <a:cubicBezTo>
                <a:pt x="262401" y="61288"/>
                <a:pt x="262401" y="52068"/>
                <a:pt x="257815" y="44813"/>
              </a:cubicBezTo>
              <a:close/>
              <a:moveTo>
                <a:pt x="173036" y="16786"/>
              </a:moveTo>
              <a:cubicBezTo>
                <a:pt x="176233" y="9133"/>
                <a:pt x="185075" y="5501"/>
                <a:pt x="192785" y="8673"/>
              </a:cubicBezTo>
              <a:cubicBezTo>
                <a:pt x="200496" y="11846"/>
                <a:pt x="204155" y="20621"/>
                <a:pt x="200959" y="28274"/>
              </a:cubicBezTo>
              <a:cubicBezTo>
                <a:pt x="197764" y="35923"/>
                <a:pt x="188929" y="39556"/>
                <a:pt x="181220" y="36391"/>
              </a:cubicBezTo>
              <a:cubicBezTo>
                <a:pt x="173518" y="33251"/>
                <a:pt x="169840" y="24509"/>
                <a:pt x="173003" y="16865"/>
              </a:cubicBezTo>
              <a:cubicBezTo>
                <a:pt x="173014" y="16839"/>
                <a:pt x="173025" y="16812"/>
                <a:pt x="173036" y="16786"/>
              </a:cubicBezTo>
              <a:close/>
              <a:moveTo>
                <a:pt x="174971" y="41566"/>
              </a:moveTo>
              <a:cubicBezTo>
                <a:pt x="177106" y="42927"/>
                <a:pt x="179469" y="43899"/>
                <a:pt x="181949" y="44434"/>
              </a:cubicBezTo>
              <a:lnTo>
                <a:pt x="161150" y="94309"/>
              </a:lnTo>
              <a:cubicBezTo>
                <a:pt x="158928" y="93124"/>
                <a:pt x="156680" y="91996"/>
                <a:pt x="154349" y="90964"/>
              </a:cubicBezTo>
              <a:close/>
              <a:moveTo>
                <a:pt x="136322" y="92543"/>
              </a:moveTo>
              <a:cubicBezTo>
                <a:pt x="90165" y="144627"/>
                <a:pt x="74676" y="216812"/>
                <a:pt x="95444" y="283043"/>
              </a:cubicBezTo>
              <a:cubicBezTo>
                <a:pt x="79565" y="280486"/>
                <a:pt x="64568" y="274079"/>
                <a:pt x="51782" y="264391"/>
              </a:cubicBezTo>
              <a:cubicBezTo>
                <a:pt x="45398" y="236074"/>
                <a:pt x="45368" y="206710"/>
                <a:pt x="51695" y="178381"/>
              </a:cubicBezTo>
              <a:cubicBezTo>
                <a:pt x="58901" y="145849"/>
                <a:pt x="74184" y="115621"/>
                <a:pt x="96155" y="90443"/>
              </a:cubicBezTo>
              <a:cubicBezTo>
                <a:pt x="109547" y="88391"/>
                <a:pt x="123222" y="89106"/>
                <a:pt x="136322" y="92543"/>
              </a:cubicBezTo>
              <a:close/>
              <a:moveTo>
                <a:pt x="84109" y="93098"/>
              </a:moveTo>
              <a:cubicBezTo>
                <a:pt x="64672" y="117656"/>
                <a:pt x="51070" y="146252"/>
                <a:pt x="44316" y="176753"/>
              </a:cubicBezTo>
              <a:cubicBezTo>
                <a:pt x="38465" y="202912"/>
                <a:pt x="37831" y="229954"/>
                <a:pt x="42449" y="256354"/>
              </a:cubicBezTo>
              <a:cubicBezTo>
                <a:pt x="3717" y="218719"/>
                <a:pt x="3058" y="157045"/>
                <a:pt x="40979" y="118604"/>
              </a:cubicBezTo>
              <a:cubicBezTo>
                <a:pt x="52885" y="106534"/>
                <a:pt x="67747" y="97745"/>
                <a:pt x="84109" y="93098"/>
              </a:cubicBezTo>
              <a:close/>
              <a:moveTo>
                <a:pt x="23085" y="275806"/>
              </a:moveTo>
              <a:lnTo>
                <a:pt x="13375" y="280186"/>
              </a:lnTo>
              <a:cubicBezTo>
                <a:pt x="13357" y="280191"/>
                <a:pt x="13338" y="280181"/>
                <a:pt x="13332" y="280163"/>
              </a:cubicBezTo>
              <a:cubicBezTo>
                <a:pt x="13330" y="280156"/>
                <a:pt x="13330" y="280148"/>
                <a:pt x="13333" y="280141"/>
              </a:cubicBezTo>
              <a:lnTo>
                <a:pt x="17746" y="270503"/>
              </a:lnTo>
              <a:lnTo>
                <a:pt x="31991" y="256366"/>
              </a:lnTo>
              <a:cubicBezTo>
                <a:pt x="33661" y="258241"/>
                <a:pt x="35396" y="260054"/>
                <a:pt x="37197" y="261807"/>
              </a:cubicBezTo>
              <a:close/>
              <a:moveTo>
                <a:pt x="72529" y="306822"/>
              </a:moveTo>
              <a:lnTo>
                <a:pt x="65248" y="314558"/>
              </a:lnTo>
              <a:cubicBezTo>
                <a:pt x="65236" y="314573"/>
                <a:pt x="65215" y="314576"/>
                <a:pt x="65200" y="314564"/>
              </a:cubicBezTo>
              <a:cubicBezTo>
                <a:pt x="65190" y="314557"/>
                <a:pt x="65185" y="314544"/>
                <a:pt x="65187" y="314532"/>
              </a:cubicBezTo>
              <a:lnTo>
                <a:pt x="65565" y="303957"/>
              </a:lnTo>
              <a:lnTo>
                <a:pt x="73500" y="284903"/>
              </a:lnTo>
              <a:cubicBezTo>
                <a:pt x="75850" y="285796"/>
                <a:pt x="78243" y="286607"/>
                <a:pt x="80678" y="287337"/>
              </a:cubicBezTo>
              <a:close/>
              <a:moveTo>
                <a:pt x="103730" y="283988"/>
              </a:moveTo>
              <a:cubicBezTo>
                <a:pt x="92750" y="251387"/>
                <a:pt x="90922" y="216434"/>
                <a:pt x="98440" y="182881"/>
              </a:cubicBezTo>
              <a:cubicBezTo>
                <a:pt x="99230" y="179311"/>
                <a:pt x="100141" y="175786"/>
                <a:pt x="101123" y="172287"/>
              </a:cubicBezTo>
              <a:cubicBezTo>
                <a:pt x="125731" y="195629"/>
                <a:pt x="142934" y="225596"/>
                <a:pt x="150619" y="258507"/>
              </a:cubicBezTo>
              <a:cubicBezTo>
                <a:pt x="151889" y="263862"/>
                <a:pt x="152856" y="269303"/>
                <a:pt x="153642" y="274733"/>
              </a:cubicBezTo>
              <a:cubicBezTo>
                <a:pt x="140397" y="281051"/>
                <a:pt x="125887" y="284321"/>
                <a:pt x="111192" y="284299"/>
              </a:cubicBezTo>
              <a:cubicBezTo>
                <a:pt x="108684" y="284299"/>
                <a:pt x="106201" y="284172"/>
                <a:pt x="103730" y="283988"/>
              </a:cubicBezTo>
              <a:close/>
              <a:moveTo>
                <a:pt x="160689" y="270972"/>
              </a:moveTo>
              <a:cubicBezTo>
                <a:pt x="159933" y="266221"/>
                <a:pt x="159083" y="261473"/>
                <a:pt x="157972" y="256786"/>
              </a:cubicBezTo>
              <a:cubicBezTo>
                <a:pt x="149651" y="221210"/>
                <a:pt x="130671" y="188969"/>
                <a:pt x="103530" y="164307"/>
              </a:cubicBezTo>
              <a:cubicBezTo>
                <a:pt x="107925" y="150941"/>
                <a:pt x="113797" y="138099"/>
                <a:pt x="121039" y="126016"/>
              </a:cubicBezTo>
              <a:cubicBezTo>
                <a:pt x="156762" y="151034"/>
                <a:pt x="181999" y="188188"/>
                <a:pt x="191970" y="230438"/>
              </a:cubicBezTo>
              <a:cubicBezTo>
                <a:pt x="192672" y="233412"/>
                <a:pt x="193277" y="236438"/>
                <a:pt x="193829" y="239438"/>
              </a:cubicBezTo>
              <a:cubicBezTo>
                <a:pt x="185427" y="252383"/>
                <a:pt x="174074" y="263186"/>
                <a:pt x="160689" y="270972"/>
              </a:cubicBezTo>
              <a:close/>
              <a:moveTo>
                <a:pt x="199519" y="229399"/>
              </a:moveTo>
              <a:cubicBezTo>
                <a:pt x="199519" y="229429"/>
                <a:pt x="199473" y="229426"/>
                <a:pt x="199466" y="229399"/>
              </a:cubicBezTo>
              <a:cubicBezTo>
                <a:pt x="199201" y="228503"/>
                <a:pt x="199088" y="227738"/>
                <a:pt x="198975" y="227281"/>
              </a:cubicBezTo>
              <a:cubicBezTo>
                <a:pt x="188312" y="183685"/>
                <a:pt x="162029" y="145430"/>
                <a:pt x="125032" y="119656"/>
              </a:cubicBezTo>
              <a:cubicBezTo>
                <a:pt x="130751" y="110926"/>
                <a:pt x="137196" y="102689"/>
                <a:pt x="144302" y="95029"/>
              </a:cubicBezTo>
              <a:cubicBezTo>
                <a:pt x="153386" y="98300"/>
                <a:pt x="161932" y="102885"/>
                <a:pt x="169666" y="108634"/>
              </a:cubicBezTo>
              <a:lnTo>
                <a:pt x="166757" y="111488"/>
              </a:lnTo>
              <a:cubicBezTo>
                <a:pt x="161988" y="115657"/>
                <a:pt x="161520" y="122871"/>
                <a:pt x="165710" y="127613"/>
              </a:cubicBezTo>
              <a:cubicBezTo>
                <a:pt x="167883" y="130052"/>
                <a:pt x="171010" y="131442"/>
                <a:pt x="174291" y="131427"/>
              </a:cubicBezTo>
              <a:cubicBezTo>
                <a:pt x="177174" y="131419"/>
                <a:pt x="179956" y="130365"/>
                <a:pt x="182112" y="128464"/>
              </a:cubicBezTo>
              <a:lnTo>
                <a:pt x="186449" y="124193"/>
              </a:lnTo>
              <a:cubicBezTo>
                <a:pt x="211052" y="153240"/>
                <a:pt x="216394" y="193833"/>
                <a:pt x="200135" y="228177"/>
              </a:cubicBezTo>
              <a:cubicBezTo>
                <a:pt x="199983" y="228484"/>
                <a:pt x="199957" y="228571"/>
                <a:pt x="199519" y="229399"/>
              </a:cubicBezTo>
              <a:close/>
              <a:moveTo>
                <a:pt x="176936" y="122982"/>
              </a:moveTo>
              <a:cubicBezTo>
                <a:pt x="175295" y="124407"/>
                <a:pt x="172802" y="124248"/>
                <a:pt x="171359" y="122626"/>
              </a:cubicBezTo>
              <a:cubicBezTo>
                <a:pt x="169920" y="120958"/>
                <a:pt x="170115" y="118449"/>
                <a:pt x="171795" y="117021"/>
              </a:cubicBezTo>
              <a:cubicBezTo>
                <a:pt x="171812" y="117007"/>
                <a:pt x="171829" y="116992"/>
                <a:pt x="171846" y="116978"/>
              </a:cubicBezTo>
              <a:lnTo>
                <a:pt x="220092" y="69672"/>
              </a:lnTo>
              <a:cubicBezTo>
                <a:pt x="220807" y="70709"/>
                <a:pt x="221610" y="71686"/>
                <a:pt x="222491" y="72589"/>
              </a:cubicBezTo>
              <a:cubicBezTo>
                <a:pt x="223404" y="73464"/>
                <a:pt x="224388" y="74262"/>
                <a:pt x="225434" y="74974"/>
              </a:cubicBezTo>
              <a:close/>
              <a:moveTo>
                <a:pt x="249208" y="67287"/>
              </a:moveTo>
              <a:cubicBezTo>
                <a:pt x="243306" y="73145"/>
                <a:pt x="233736" y="73144"/>
                <a:pt x="227834" y="67286"/>
              </a:cubicBezTo>
              <a:cubicBezTo>
                <a:pt x="221932" y="61428"/>
                <a:pt x="221933" y="51931"/>
                <a:pt x="227835" y="46073"/>
              </a:cubicBezTo>
              <a:cubicBezTo>
                <a:pt x="233737" y="40216"/>
                <a:pt x="243306" y="40216"/>
                <a:pt x="249208" y="46073"/>
              </a:cubicBezTo>
              <a:cubicBezTo>
                <a:pt x="255110" y="51854"/>
                <a:pt x="255173" y="61290"/>
                <a:pt x="249348" y="67148"/>
              </a:cubicBezTo>
              <a:cubicBezTo>
                <a:pt x="249301" y="67195"/>
                <a:pt x="249255" y="67241"/>
                <a:pt x="249208" y="67287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2</xdr:col>
      <xdr:colOff>110606</xdr:colOff>
      <xdr:row>11</xdr:row>
      <xdr:rowOff>181530</xdr:rowOff>
    </xdr:from>
    <xdr:to>
      <xdr:col>2</xdr:col>
      <xdr:colOff>458197</xdr:colOff>
      <xdr:row>11</xdr:row>
      <xdr:rowOff>398016</xdr:rowOff>
    </xdr:to>
    <xdr:grpSp>
      <xdr:nvGrpSpPr>
        <xdr:cNvPr id="133" name="bear" descr="Bear outline">
          <a:extLst>
            <a:ext uri="{FF2B5EF4-FFF2-40B4-BE49-F238E27FC236}">
              <a16:creationId xmlns:a16="http://schemas.microsoft.com/office/drawing/2014/main" id="{FA8F8F07-00B5-4864-8722-33A878743017}"/>
            </a:ext>
          </a:extLst>
        </xdr:cNvPr>
        <xdr:cNvGrpSpPr>
          <a:grpSpLocks noChangeAspect="1"/>
        </xdr:cNvGrpSpPr>
      </xdr:nvGrpSpPr>
      <xdr:grpSpPr>
        <a:xfrm>
          <a:off x="1539356" y="4963080"/>
          <a:ext cx="347591" cy="216486"/>
          <a:chOff x="1685577" y="3531030"/>
          <a:chExt cx="347591" cy="216486"/>
        </a:xfrm>
        <a:solidFill>
          <a:srgbClr val="1F4E78"/>
        </a:solidFill>
      </xdr:grpSpPr>
      <xdr:sp macro="" textlink="">
        <xdr:nvSpPr>
          <xdr:cNvPr id="134" name="Freeform: Shape 133">
            <a:extLst>
              <a:ext uri="{FF2B5EF4-FFF2-40B4-BE49-F238E27FC236}">
                <a16:creationId xmlns:a16="http://schemas.microsoft.com/office/drawing/2014/main" id="{72C6CAEA-1DE4-4076-99CB-001D512EA1B1}"/>
              </a:ext>
            </a:extLst>
          </xdr:cNvPr>
          <xdr:cNvSpPr/>
        </xdr:nvSpPr>
        <xdr:spPr>
          <a:xfrm>
            <a:off x="1685577" y="3531030"/>
            <a:ext cx="347591" cy="216486"/>
          </a:xfrm>
          <a:custGeom>
            <a:avLst/>
            <a:gdLst>
              <a:gd name="connsiteX0" fmla="*/ 338899 w 347591"/>
              <a:gd name="connsiteY0" fmla="*/ 44355 h 216486"/>
              <a:gd name="connsiteX1" fmla="*/ 324417 w 347591"/>
              <a:gd name="connsiteY1" fmla="*/ 40759 h 216486"/>
              <a:gd name="connsiteX2" fmla="*/ 319127 w 347591"/>
              <a:gd name="connsiteY2" fmla="*/ 31567 h 216486"/>
              <a:gd name="connsiteX3" fmla="*/ 283297 w 347591"/>
              <a:gd name="connsiteY3" fmla="*/ 13387 h 216486"/>
              <a:gd name="connsiteX4" fmla="*/ 258667 w 347591"/>
              <a:gd name="connsiteY4" fmla="*/ 960 h 216486"/>
              <a:gd name="connsiteX5" fmla="*/ 245963 w 347591"/>
              <a:gd name="connsiteY5" fmla="*/ 13972 h 216486"/>
              <a:gd name="connsiteX6" fmla="*/ 215219 w 347591"/>
              <a:gd name="connsiteY6" fmla="*/ 14407 h 216486"/>
              <a:gd name="connsiteX7" fmla="*/ 150737 w 347591"/>
              <a:gd name="connsiteY7" fmla="*/ 14407 h 216486"/>
              <a:gd name="connsiteX8" fmla="*/ 149279 w 347591"/>
              <a:gd name="connsiteY8" fmla="*/ 13995 h 216486"/>
              <a:gd name="connsiteX9" fmla="*/ 92691 w 347591"/>
              <a:gd name="connsiteY9" fmla="*/ 8981 h 216486"/>
              <a:gd name="connsiteX10" fmla="*/ 0 w 347591"/>
              <a:gd name="connsiteY10" fmla="*/ 96487 h 216486"/>
              <a:gd name="connsiteX11" fmla="*/ 0 w 347591"/>
              <a:gd name="connsiteY11" fmla="*/ 113257 h 216486"/>
              <a:gd name="connsiteX12" fmla="*/ 3775 w 347591"/>
              <a:gd name="connsiteY12" fmla="*/ 117011 h 216486"/>
              <a:gd name="connsiteX13" fmla="*/ 5327 w 347591"/>
              <a:gd name="connsiteY13" fmla="*/ 116681 h 216486"/>
              <a:gd name="connsiteX14" fmla="*/ 16950 w 347591"/>
              <a:gd name="connsiteY14" fmla="*/ 111480 h 216486"/>
              <a:gd name="connsiteX15" fmla="*/ 26532 w 347591"/>
              <a:gd name="connsiteY15" fmla="*/ 139020 h 216486"/>
              <a:gd name="connsiteX16" fmla="*/ 26490 w 347591"/>
              <a:gd name="connsiteY16" fmla="*/ 201435 h 216486"/>
              <a:gd name="connsiteX17" fmla="*/ 32362 w 347591"/>
              <a:gd name="connsiteY17" fmla="*/ 213364 h 216486"/>
              <a:gd name="connsiteX18" fmla="*/ 42185 w 347591"/>
              <a:gd name="connsiteY18" fmla="*/ 216484 h 216486"/>
              <a:gd name="connsiteX19" fmla="*/ 83124 w 347591"/>
              <a:gd name="connsiteY19" fmla="*/ 216484 h 216486"/>
              <a:gd name="connsiteX20" fmla="*/ 86902 w 347591"/>
              <a:gd name="connsiteY20" fmla="*/ 212824 h 216486"/>
              <a:gd name="connsiteX21" fmla="*/ 68094 w 347591"/>
              <a:gd name="connsiteY21" fmla="*/ 192765 h 216486"/>
              <a:gd name="connsiteX22" fmla="*/ 68094 w 347591"/>
              <a:gd name="connsiteY22" fmla="*/ 170749 h 216486"/>
              <a:gd name="connsiteX23" fmla="*/ 162552 w 347591"/>
              <a:gd name="connsiteY23" fmla="*/ 153075 h 216486"/>
              <a:gd name="connsiteX24" fmla="*/ 162469 w 347591"/>
              <a:gd name="connsiteY24" fmla="*/ 188959 h 216486"/>
              <a:gd name="connsiteX25" fmla="*/ 162511 w 347591"/>
              <a:gd name="connsiteY25" fmla="*/ 201424 h 216486"/>
              <a:gd name="connsiteX26" fmla="*/ 168382 w 347591"/>
              <a:gd name="connsiteY26" fmla="*/ 213352 h 216486"/>
              <a:gd name="connsiteX27" fmla="*/ 178206 w 347591"/>
              <a:gd name="connsiteY27" fmla="*/ 216472 h 216486"/>
              <a:gd name="connsiteX28" fmla="*/ 219148 w 347591"/>
              <a:gd name="connsiteY28" fmla="*/ 216472 h 216486"/>
              <a:gd name="connsiteX29" fmla="*/ 222927 w 347591"/>
              <a:gd name="connsiteY29" fmla="*/ 212812 h 216486"/>
              <a:gd name="connsiteX30" fmla="*/ 204114 w 347591"/>
              <a:gd name="connsiteY30" fmla="*/ 192754 h 216486"/>
              <a:gd name="connsiteX31" fmla="*/ 204114 w 347591"/>
              <a:gd name="connsiteY31" fmla="*/ 141607 h 216486"/>
              <a:gd name="connsiteX32" fmla="*/ 219179 w 347591"/>
              <a:gd name="connsiteY32" fmla="*/ 138412 h 216486"/>
              <a:gd name="connsiteX33" fmla="*/ 230563 w 347591"/>
              <a:gd name="connsiteY33" fmla="*/ 134617 h 216486"/>
              <a:gd name="connsiteX34" fmla="*/ 230563 w 347591"/>
              <a:gd name="connsiteY34" fmla="*/ 196459 h 216486"/>
              <a:gd name="connsiteX35" fmla="*/ 234341 w 347591"/>
              <a:gd name="connsiteY35" fmla="*/ 200209 h 216486"/>
              <a:gd name="connsiteX36" fmla="*/ 236842 w 347591"/>
              <a:gd name="connsiteY36" fmla="*/ 200209 h 216486"/>
              <a:gd name="connsiteX37" fmla="*/ 248797 w 347591"/>
              <a:gd name="connsiteY37" fmla="*/ 208920 h 216486"/>
              <a:gd name="connsiteX38" fmla="*/ 248768 w 347591"/>
              <a:gd name="connsiteY38" fmla="*/ 208971 h 216486"/>
              <a:gd name="connsiteX39" fmla="*/ 248759 w 347591"/>
              <a:gd name="connsiteY39" fmla="*/ 208972 h 216486"/>
              <a:gd name="connsiteX40" fmla="*/ 230521 w 347591"/>
              <a:gd name="connsiteY40" fmla="*/ 208972 h 216486"/>
              <a:gd name="connsiteX41" fmla="*/ 226743 w 347591"/>
              <a:gd name="connsiteY41" fmla="*/ 212722 h 216486"/>
              <a:gd name="connsiteX42" fmla="*/ 230521 w 347591"/>
              <a:gd name="connsiteY42" fmla="*/ 216472 h 216486"/>
              <a:gd name="connsiteX43" fmla="*/ 253154 w 347591"/>
              <a:gd name="connsiteY43" fmla="*/ 216472 h 216486"/>
              <a:gd name="connsiteX44" fmla="*/ 256932 w 347591"/>
              <a:gd name="connsiteY44" fmla="*/ 212812 h 216486"/>
              <a:gd name="connsiteX45" fmla="*/ 238119 w 347591"/>
              <a:gd name="connsiteY45" fmla="*/ 192754 h 216486"/>
              <a:gd name="connsiteX46" fmla="*/ 238119 w 347591"/>
              <a:gd name="connsiteY46" fmla="*/ 130309 h 216486"/>
              <a:gd name="connsiteX47" fmla="*/ 246991 w 347591"/>
              <a:gd name="connsiteY47" fmla="*/ 122681 h 216486"/>
              <a:gd name="connsiteX48" fmla="*/ 253237 w 347591"/>
              <a:gd name="connsiteY48" fmla="*/ 115965 h 216486"/>
              <a:gd name="connsiteX49" fmla="*/ 309666 w 347591"/>
              <a:gd name="connsiteY49" fmla="*/ 90397 h 216486"/>
              <a:gd name="connsiteX50" fmla="*/ 312553 w 347591"/>
              <a:gd name="connsiteY50" fmla="*/ 90307 h 216486"/>
              <a:gd name="connsiteX51" fmla="*/ 347590 w 347591"/>
              <a:gd name="connsiteY51" fmla="*/ 55676 h 216486"/>
              <a:gd name="connsiteX52" fmla="*/ 338899 w 347591"/>
              <a:gd name="connsiteY52" fmla="*/ 44355 h 216486"/>
              <a:gd name="connsiteX53" fmla="*/ 165613 w 347591"/>
              <a:gd name="connsiteY53" fmla="*/ 144855 h 216486"/>
              <a:gd name="connsiteX54" fmla="*/ 63597 w 347591"/>
              <a:gd name="connsiteY54" fmla="*/ 163942 h 216486"/>
              <a:gd name="connsiteX55" fmla="*/ 60601 w 347591"/>
              <a:gd name="connsiteY55" fmla="*/ 167107 h 216486"/>
              <a:gd name="connsiteX56" fmla="*/ 60518 w 347591"/>
              <a:gd name="connsiteY56" fmla="*/ 171375 h 216486"/>
              <a:gd name="connsiteX57" fmla="*/ 60518 w 347591"/>
              <a:gd name="connsiteY57" fmla="*/ 196459 h 216486"/>
              <a:gd name="connsiteX58" fmla="*/ 64277 w 347591"/>
              <a:gd name="connsiteY58" fmla="*/ 200209 h 216486"/>
              <a:gd name="connsiteX59" fmla="*/ 66779 w 347591"/>
              <a:gd name="connsiteY59" fmla="*/ 200209 h 216486"/>
              <a:gd name="connsiteX60" fmla="*/ 78730 w 347591"/>
              <a:gd name="connsiteY60" fmla="*/ 208920 h 216486"/>
              <a:gd name="connsiteX61" fmla="*/ 78701 w 347591"/>
              <a:gd name="connsiteY61" fmla="*/ 208971 h 216486"/>
              <a:gd name="connsiteX62" fmla="*/ 78692 w 347591"/>
              <a:gd name="connsiteY62" fmla="*/ 208972 h 216486"/>
              <a:gd name="connsiteX63" fmla="*/ 41603 w 347591"/>
              <a:gd name="connsiteY63" fmla="*/ 208972 h 216486"/>
              <a:gd name="connsiteX64" fmla="*/ 34047 w 347591"/>
              <a:gd name="connsiteY64" fmla="*/ 201472 h 216486"/>
              <a:gd name="connsiteX65" fmla="*/ 34047 w 347591"/>
              <a:gd name="connsiteY65" fmla="*/ 201446 h 216486"/>
              <a:gd name="connsiteX66" fmla="*/ 34088 w 347591"/>
              <a:gd name="connsiteY66" fmla="*/ 138071 h 216486"/>
              <a:gd name="connsiteX67" fmla="*/ 34032 w 347591"/>
              <a:gd name="connsiteY67" fmla="*/ 137827 h 216486"/>
              <a:gd name="connsiteX68" fmla="*/ 33518 w 347591"/>
              <a:gd name="connsiteY68" fmla="*/ 136087 h 216486"/>
              <a:gd name="connsiteX69" fmla="*/ 23943 w 347591"/>
              <a:gd name="connsiteY69" fmla="*/ 105604 h 216486"/>
              <a:gd name="connsiteX70" fmla="*/ 19933 w 347591"/>
              <a:gd name="connsiteY70" fmla="*/ 102099 h 216486"/>
              <a:gd name="connsiteX71" fmla="*/ 18382 w 347591"/>
              <a:gd name="connsiteY71" fmla="*/ 102540 h 216486"/>
              <a:gd name="connsiteX72" fmla="*/ 7610 w 347591"/>
              <a:gd name="connsiteY72" fmla="*/ 107415 h 216486"/>
              <a:gd name="connsiteX73" fmla="*/ 7560 w 347591"/>
              <a:gd name="connsiteY73" fmla="*/ 107395 h 216486"/>
              <a:gd name="connsiteX74" fmla="*/ 7557 w 347591"/>
              <a:gd name="connsiteY74" fmla="*/ 107381 h 216486"/>
              <a:gd name="connsiteX75" fmla="*/ 7557 w 347591"/>
              <a:gd name="connsiteY75" fmla="*/ 96487 h 216486"/>
              <a:gd name="connsiteX76" fmla="*/ 93522 w 347591"/>
              <a:gd name="connsiteY76" fmla="*/ 16436 h 216486"/>
              <a:gd name="connsiteX77" fmla="*/ 147174 w 347591"/>
              <a:gd name="connsiteY77" fmla="*/ 21206 h 216486"/>
              <a:gd name="connsiteX78" fmla="*/ 149143 w 347591"/>
              <a:gd name="connsiteY78" fmla="*/ 21765 h 216486"/>
              <a:gd name="connsiteX79" fmla="*/ 150182 w 347591"/>
              <a:gd name="connsiteY79" fmla="*/ 21907 h 216486"/>
              <a:gd name="connsiteX80" fmla="*/ 215283 w 347591"/>
              <a:gd name="connsiteY80" fmla="*/ 21907 h 216486"/>
              <a:gd name="connsiteX81" fmla="*/ 249148 w 347591"/>
              <a:gd name="connsiteY81" fmla="*/ 21427 h 216486"/>
              <a:gd name="connsiteX82" fmla="*/ 252836 w 347591"/>
              <a:gd name="connsiteY82" fmla="*/ 17929 h 216486"/>
              <a:gd name="connsiteX83" fmla="*/ 266225 w 347591"/>
              <a:gd name="connsiteY83" fmla="*/ 7597 h 216486"/>
              <a:gd name="connsiteX84" fmla="*/ 267069 w 347591"/>
              <a:gd name="connsiteY84" fmla="*/ 7732 h 216486"/>
              <a:gd name="connsiteX85" fmla="*/ 276553 w 347591"/>
              <a:gd name="connsiteY85" fmla="*/ 17385 h 216486"/>
              <a:gd name="connsiteX86" fmla="*/ 279413 w 347591"/>
              <a:gd name="connsiteY86" fmla="*/ 20179 h 216486"/>
              <a:gd name="connsiteX87" fmla="*/ 314389 w 347591"/>
              <a:gd name="connsiteY87" fmla="*/ 37402 h 216486"/>
              <a:gd name="connsiteX88" fmla="*/ 317034 w 347591"/>
              <a:gd name="connsiteY88" fmla="*/ 42949 h 216486"/>
              <a:gd name="connsiteX89" fmla="*/ 317034 w 347591"/>
              <a:gd name="connsiteY89" fmla="*/ 43729 h 216486"/>
              <a:gd name="connsiteX90" fmla="*/ 319898 w 347591"/>
              <a:gd name="connsiteY90" fmla="*/ 47366 h 216486"/>
              <a:gd name="connsiteX91" fmla="*/ 337184 w 347591"/>
              <a:gd name="connsiteY91" fmla="*/ 51656 h 216486"/>
              <a:gd name="connsiteX92" fmla="*/ 340048 w 347591"/>
              <a:gd name="connsiteY92" fmla="*/ 55519 h 216486"/>
              <a:gd name="connsiteX93" fmla="*/ 312451 w 347591"/>
              <a:gd name="connsiteY93" fmla="*/ 82807 h 216486"/>
              <a:gd name="connsiteX94" fmla="*/ 309428 w 347591"/>
              <a:gd name="connsiteY94" fmla="*/ 82901 h 216486"/>
              <a:gd name="connsiteX95" fmla="*/ 247720 w 347591"/>
              <a:gd name="connsiteY95" fmla="*/ 110846 h 216486"/>
              <a:gd name="connsiteX96" fmla="*/ 241444 w 347591"/>
              <a:gd name="connsiteY96" fmla="*/ 117596 h 216486"/>
              <a:gd name="connsiteX97" fmla="*/ 217599 w 347591"/>
              <a:gd name="connsiteY97" fmla="*/ 131096 h 216486"/>
              <a:gd name="connsiteX98" fmla="*/ 199546 w 347591"/>
              <a:gd name="connsiteY98" fmla="*/ 134921 h 216486"/>
              <a:gd name="connsiteX99" fmla="*/ 196629 w 347591"/>
              <a:gd name="connsiteY99" fmla="*/ 138322 h 216486"/>
              <a:gd name="connsiteX100" fmla="*/ 196558 w 347591"/>
              <a:gd name="connsiteY100" fmla="*/ 142339 h 216486"/>
              <a:gd name="connsiteX101" fmla="*/ 196558 w 347591"/>
              <a:gd name="connsiteY101" fmla="*/ 196459 h 216486"/>
              <a:gd name="connsiteX102" fmla="*/ 200317 w 347591"/>
              <a:gd name="connsiteY102" fmla="*/ 200209 h 216486"/>
              <a:gd name="connsiteX103" fmla="*/ 202818 w 347591"/>
              <a:gd name="connsiteY103" fmla="*/ 200209 h 216486"/>
              <a:gd name="connsiteX104" fmla="*/ 214773 w 347591"/>
              <a:gd name="connsiteY104" fmla="*/ 208920 h 216486"/>
              <a:gd name="connsiteX105" fmla="*/ 214744 w 347591"/>
              <a:gd name="connsiteY105" fmla="*/ 208971 h 216486"/>
              <a:gd name="connsiteX106" fmla="*/ 214735 w 347591"/>
              <a:gd name="connsiteY106" fmla="*/ 208972 h 216486"/>
              <a:gd name="connsiteX107" fmla="*/ 177624 w 347591"/>
              <a:gd name="connsiteY107" fmla="*/ 208972 h 216486"/>
              <a:gd name="connsiteX108" fmla="*/ 170068 w 347591"/>
              <a:gd name="connsiteY108" fmla="*/ 201472 h 216486"/>
              <a:gd name="connsiteX109" fmla="*/ 170068 w 347591"/>
              <a:gd name="connsiteY109" fmla="*/ 201424 h 216486"/>
              <a:gd name="connsiteX110" fmla="*/ 170026 w 347591"/>
              <a:gd name="connsiteY110" fmla="*/ 188959 h 216486"/>
              <a:gd name="connsiteX111" fmla="*/ 170105 w 347591"/>
              <a:gd name="connsiteY111" fmla="*/ 148552 h 216486"/>
              <a:gd name="connsiteX112" fmla="*/ 166327 w 347591"/>
              <a:gd name="connsiteY112" fmla="*/ 144802 h 216486"/>
              <a:gd name="connsiteX113" fmla="*/ 166327 w 347591"/>
              <a:gd name="connsiteY113" fmla="*/ 144802 h 21648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</a:cxnLst>
            <a:rect l="l" t="t" r="r" b="b"/>
            <a:pathLst>
              <a:path w="347591" h="216486">
                <a:moveTo>
                  <a:pt x="338899" y="44355"/>
                </a:moveTo>
                <a:lnTo>
                  <a:pt x="324417" y="40759"/>
                </a:lnTo>
                <a:cubicBezTo>
                  <a:pt x="323868" y="37148"/>
                  <a:pt x="321982" y="33871"/>
                  <a:pt x="319127" y="31567"/>
                </a:cubicBezTo>
                <a:cubicBezTo>
                  <a:pt x="308622" y="23049"/>
                  <a:pt x="296407" y="16851"/>
                  <a:pt x="283297" y="13387"/>
                </a:cubicBezTo>
                <a:cubicBezTo>
                  <a:pt x="279953" y="3205"/>
                  <a:pt x="268926" y="-2359"/>
                  <a:pt x="258667" y="960"/>
                </a:cubicBezTo>
                <a:cubicBezTo>
                  <a:pt x="252525" y="2947"/>
                  <a:pt x="247770" y="7817"/>
                  <a:pt x="245963" y="13972"/>
                </a:cubicBezTo>
                <a:lnTo>
                  <a:pt x="215219" y="14407"/>
                </a:lnTo>
                <a:lnTo>
                  <a:pt x="150737" y="14407"/>
                </a:lnTo>
                <a:lnTo>
                  <a:pt x="149279" y="13995"/>
                </a:lnTo>
                <a:cubicBezTo>
                  <a:pt x="130931" y="8654"/>
                  <a:pt x="111702" y="6950"/>
                  <a:pt x="92691" y="8981"/>
                </a:cubicBezTo>
                <a:cubicBezTo>
                  <a:pt x="30314" y="15967"/>
                  <a:pt x="0" y="44584"/>
                  <a:pt x="0" y="96487"/>
                </a:cubicBezTo>
                <a:lnTo>
                  <a:pt x="0" y="113257"/>
                </a:lnTo>
                <a:cubicBezTo>
                  <a:pt x="-2" y="115328"/>
                  <a:pt x="1688" y="117009"/>
                  <a:pt x="3775" y="117011"/>
                </a:cubicBezTo>
                <a:cubicBezTo>
                  <a:pt x="4310" y="117011"/>
                  <a:pt x="4839" y="116899"/>
                  <a:pt x="5327" y="116681"/>
                </a:cubicBezTo>
                <a:lnTo>
                  <a:pt x="16950" y="111480"/>
                </a:lnTo>
                <a:cubicBezTo>
                  <a:pt x="18298" y="121193"/>
                  <a:pt x="21554" y="130550"/>
                  <a:pt x="26532" y="139020"/>
                </a:cubicBezTo>
                <a:lnTo>
                  <a:pt x="26490" y="201435"/>
                </a:lnTo>
                <a:cubicBezTo>
                  <a:pt x="26462" y="206103"/>
                  <a:pt x="28635" y="210516"/>
                  <a:pt x="32362" y="213364"/>
                </a:cubicBezTo>
                <a:cubicBezTo>
                  <a:pt x="35195" y="215459"/>
                  <a:pt x="38652" y="216557"/>
                  <a:pt x="42185" y="216484"/>
                </a:cubicBezTo>
                <a:lnTo>
                  <a:pt x="83124" y="216484"/>
                </a:lnTo>
                <a:cubicBezTo>
                  <a:pt x="85175" y="216484"/>
                  <a:pt x="86853" y="214859"/>
                  <a:pt x="86902" y="212824"/>
                </a:cubicBezTo>
                <a:cubicBezTo>
                  <a:pt x="86926" y="202267"/>
                  <a:pt x="78704" y="193499"/>
                  <a:pt x="68094" y="192765"/>
                </a:cubicBezTo>
                <a:lnTo>
                  <a:pt x="68094" y="170749"/>
                </a:lnTo>
                <a:lnTo>
                  <a:pt x="162552" y="153075"/>
                </a:lnTo>
                <a:lnTo>
                  <a:pt x="162469" y="188959"/>
                </a:lnTo>
                <a:lnTo>
                  <a:pt x="162511" y="201424"/>
                </a:lnTo>
                <a:cubicBezTo>
                  <a:pt x="162483" y="206092"/>
                  <a:pt x="164655" y="210505"/>
                  <a:pt x="168382" y="213352"/>
                </a:cubicBezTo>
                <a:cubicBezTo>
                  <a:pt x="171216" y="215448"/>
                  <a:pt x="174673" y="216545"/>
                  <a:pt x="178206" y="216472"/>
                </a:cubicBezTo>
                <a:lnTo>
                  <a:pt x="219148" y="216472"/>
                </a:lnTo>
                <a:cubicBezTo>
                  <a:pt x="221200" y="216473"/>
                  <a:pt x="222878" y="214848"/>
                  <a:pt x="222927" y="212812"/>
                </a:cubicBezTo>
                <a:cubicBezTo>
                  <a:pt x="222949" y="202256"/>
                  <a:pt x="214725" y="193487"/>
                  <a:pt x="204114" y="192754"/>
                </a:cubicBezTo>
                <a:lnTo>
                  <a:pt x="204114" y="141607"/>
                </a:lnTo>
                <a:lnTo>
                  <a:pt x="219179" y="138412"/>
                </a:lnTo>
                <a:cubicBezTo>
                  <a:pt x="223106" y="137581"/>
                  <a:pt x="226926" y="136308"/>
                  <a:pt x="230563" y="134617"/>
                </a:cubicBezTo>
                <a:lnTo>
                  <a:pt x="230563" y="196459"/>
                </a:lnTo>
                <a:cubicBezTo>
                  <a:pt x="230563" y="198530"/>
                  <a:pt x="232254" y="200209"/>
                  <a:pt x="234341" y="200209"/>
                </a:cubicBezTo>
                <a:lnTo>
                  <a:pt x="236842" y="200209"/>
                </a:lnTo>
                <a:cubicBezTo>
                  <a:pt x="242304" y="200246"/>
                  <a:pt x="247125" y="203759"/>
                  <a:pt x="248797" y="208920"/>
                </a:cubicBezTo>
                <a:cubicBezTo>
                  <a:pt x="248803" y="208942"/>
                  <a:pt x="248791" y="208964"/>
                  <a:pt x="248768" y="208971"/>
                </a:cubicBezTo>
                <a:cubicBezTo>
                  <a:pt x="248766" y="208972"/>
                  <a:pt x="248762" y="208972"/>
                  <a:pt x="248759" y="208972"/>
                </a:cubicBezTo>
                <a:lnTo>
                  <a:pt x="230521" y="208972"/>
                </a:lnTo>
                <a:cubicBezTo>
                  <a:pt x="228434" y="208972"/>
                  <a:pt x="226743" y="210651"/>
                  <a:pt x="226743" y="212722"/>
                </a:cubicBezTo>
                <a:cubicBezTo>
                  <a:pt x="226743" y="214793"/>
                  <a:pt x="228434" y="216472"/>
                  <a:pt x="230521" y="216472"/>
                </a:cubicBezTo>
                <a:lnTo>
                  <a:pt x="253154" y="216472"/>
                </a:lnTo>
                <a:cubicBezTo>
                  <a:pt x="255205" y="216473"/>
                  <a:pt x="256883" y="214848"/>
                  <a:pt x="256932" y="212812"/>
                </a:cubicBezTo>
                <a:cubicBezTo>
                  <a:pt x="256954" y="202256"/>
                  <a:pt x="248730" y="193487"/>
                  <a:pt x="238119" y="192754"/>
                </a:cubicBezTo>
                <a:lnTo>
                  <a:pt x="238119" y="130309"/>
                </a:lnTo>
                <a:cubicBezTo>
                  <a:pt x="241351" y="128099"/>
                  <a:pt x="244327" y="125541"/>
                  <a:pt x="246991" y="122681"/>
                </a:cubicBezTo>
                <a:lnTo>
                  <a:pt x="253237" y="115965"/>
                </a:lnTo>
                <a:cubicBezTo>
                  <a:pt x="267832" y="100278"/>
                  <a:pt x="288163" y="91066"/>
                  <a:pt x="309666" y="90397"/>
                </a:cubicBezTo>
                <a:lnTo>
                  <a:pt x="312553" y="90307"/>
                </a:lnTo>
                <a:cubicBezTo>
                  <a:pt x="331824" y="90252"/>
                  <a:pt x="347455" y="74802"/>
                  <a:pt x="347590" y="55676"/>
                </a:cubicBezTo>
                <a:cubicBezTo>
                  <a:pt x="347687" y="50359"/>
                  <a:pt x="344090" y="45673"/>
                  <a:pt x="338899" y="44355"/>
                </a:cubicBezTo>
                <a:close/>
                <a:moveTo>
                  <a:pt x="165613" y="144855"/>
                </a:moveTo>
                <a:lnTo>
                  <a:pt x="63597" y="163942"/>
                </a:lnTo>
                <a:cubicBezTo>
                  <a:pt x="62016" y="164246"/>
                  <a:pt x="60808" y="165521"/>
                  <a:pt x="60601" y="167107"/>
                </a:cubicBezTo>
                <a:cubicBezTo>
                  <a:pt x="60548" y="167295"/>
                  <a:pt x="60518" y="171232"/>
                  <a:pt x="60518" y="171375"/>
                </a:cubicBezTo>
                <a:lnTo>
                  <a:pt x="60518" y="196459"/>
                </a:lnTo>
                <a:cubicBezTo>
                  <a:pt x="60518" y="198522"/>
                  <a:pt x="62198" y="200198"/>
                  <a:pt x="64277" y="200209"/>
                </a:cubicBezTo>
                <a:lnTo>
                  <a:pt x="66779" y="200209"/>
                </a:lnTo>
                <a:cubicBezTo>
                  <a:pt x="72240" y="200245"/>
                  <a:pt x="77060" y="203759"/>
                  <a:pt x="78730" y="208920"/>
                </a:cubicBezTo>
                <a:cubicBezTo>
                  <a:pt x="78736" y="208942"/>
                  <a:pt x="78723" y="208964"/>
                  <a:pt x="78701" y="208971"/>
                </a:cubicBezTo>
                <a:cubicBezTo>
                  <a:pt x="78698" y="208972"/>
                  <a:pt x="78695" y="208972"/>
                  <a:pt x="78692" y="208972"/>
                </a:cubicBezTo>
                <a:lnTo>
                  <a:pt x="41603" y="208972"/>
                </a:lnTo>
                <a:cubicBezTo>
                  <a:pt x="37430" y="208972"/>
                  <a:pt x="34047" y="205615"/>
                  <a:pt x="34047" y="201472"/>
                </a:cubicBezTo>
                <a:cubicBezTo>
                  <a:pt x="34047" y="201464"/>
                  <a:pt x="34047" y="201455"/>
                  <a:pt x="34047" y="201446"/>
                </a:cubicBezTo>
                <a:lnTo>
                  <a:pt x="34088" y="138071"/>
                </a:lnTo>
                <a:cubicBezTo>
                  <a:pt x="34078" y="137988"/>
                  <a:pt x="34060" y="137906"/>
                  <a:pt x="34032" y="137827"/>
                </a:cubicBezTo>
                <a:cubicBezTo>
                  <a:pt x="34010" y="137214"/>
                  <a:pt x="33833" y="136615"/>
                  <a:pt x="33518" y="136087"/>
                </a:cubicBezTo>
                <a:cubicBezTo>
                  <a:pt x="27948" y="126818"/>
                  <a:pt x="24667" y="116372"/>
                  <a:pt x="23943" y="105604"/>
                </a:cubicBezTo>
                <a:cubicBezTo>
                  <a:pt x="23811" y="103537"/>
                  <a:pt x="22015" y="101968"/>
                  <a:pt x="19933" y="102099"/>
                </a:cubicBezTo>
                <a:cubicBezTo>
                  <a:pt x="19390" y="102134"/>
                  <a:pt x="18861" y="102284"/>
                  <a:pt x="18382" y="102540"/>
                </a:cubicBezTo>
                <a:lnTo>
                  <a:pt x="7610" y="107415"/>
                </a:lnTo>
                <a:cubicBezTo>
                  <a:pt x="7590" y="107423"/>
                  <a:pt x="7568" y="107414"/>
                  <a:pt x="7560" y="107395"/>
                </a:cubicBezTo>
                <a:cubicBezTo>
                  <a:pt x="7558" y="107391"/>
                  <a:pt x="7557" y="107386"/>
                  <a:pt x="7557" y="107381"/>
                </a:cubicBezTo>
                <a:lnTo>
                  <a:pt x="7557" y="96487"/>
                </a:lnTo>
                <a:cubicBezTo>
                  <a:pt x="7557" y="48439"/>
                  <a:pt x="34870" y="22987"/>
                  <a:pt x="93522" y="16436"/>
                </a:cubicBezTo>
                <a:cubicBezTo>
                  <a:pt x="111548" y="14522"/>
                  <a:pt x="129778" y="16143"/>
                  <a:pt x="147174" y="21206"/>
                </a:cubicBezTo>
                <a:lnTo>
                  <a:pt x="149143" y="21765"/>
                </a:lnTo>
                <a:cubicBezTo>
                  <a:pt x="149481" y="21859"/>
                  <a:pt x="149831" y="21907"/>
                  <a:pt x="150182" y="21907"/>
                </a:cubicBezTo>
                <a:lnTo>
                  <a:pt x="215283" y="21907"/>
                </a:lnTo>
                <a:lnTo>
                  <a:pt x="249148" y="21427"/>
                </a:lnTo>
                <a:cubicBezTo>
                  <a:pt x="251092" y="21353"/>
                  <a:pt x="252674" y="19852"/>
                  <a:pt x="252836" y="17929"/>
                </a:cubicBezTo>
                <a:cubicBezTo>
                  <a:pt x="253659" y="11406"/>
                  <a:pt x="259654" y="6780"/>
                  <a:pt x="266225" y="7597"/>
                </a:cubicBezTo>
                <a:cubicBezTo>
                  <a:pt x="266509" y="7632"/>
                  <a:pt x="266790" y="7677"/>
                  <a:pt x="267069" y="7732"/>
                </a:cubicBezTo>
                <a:cubicBezTo>
                  <a:pt x="271721" y="9070"/>
                  <a:pt x="275322" y="12736"/>
                  <a:pt x="276553" y="17385"/>
                </a:cubicBezTo>
                <a:cubicBezTo>
                  <a:pt x="276888" y="18783"/>
                  <a:pt x="277999" y="19868"/>
                  <a:pt x="279413" y="20179"/>
                </a:cubicBezTo>
                <a:cubicBezTo>
                  <a:pt x="292236" y="23215"/>
                  <a:pt x="304196" y="29105"/>
                  <a:pt x="314389" y="37402"/>
                </a:cubicBezTo>
                <a:cubicBezTo>
                  <a:pt x="316069" y="38760"/>
                  <a:pt x="317041" y="40798"/>
                  <a:pt x="317034" y="42949"/>
                </a:cubicBezTo>
                <a:lnTo>
                  <a:pt x="317034" y="43729"/>
                </a:lnTo>
                <a:cubicBezTo>
                  <a:pt x="317035" y="45450"/>
                  <a:pt x="318216" y="46949"/>
                  <a:pt x="319898" y="47366"/>
                </a:cubicBezTo>
                <a:lnTo>
                  <a:pt x="337184" y="51656"/>
                </a:lnTo>
                <a:cubicBezTo>
                  <a:pt x="338935" y="52116"/>
                  <a:pt x="340126" y="53723"/>
                  <a:pt x="340048" y="55519"/>
                </a:cubicBezTo>
                <a:cubicBezTo>
                  <a:pt x="340017" y="70616"/>
                  <a:pt x="327663" y="82832"/>
                  <a:pt x="312451" y="82807"/>
                </a:cubicBezTo>
                <a:lnTo>
                  <a:pt x="309428" y="82901"/>
                </a:lnTo>
                <a:cubicBezTo>
                  <a:pt x="285914" y="83620"/>
                  <a:pt x="263678" y="93690"/>
                  <a:pt x="247720" y="110846"/>
                </a:cubicBezTo>
                <a:lnTo>
                  <a:pt x="241444" y="117596"/>
                </a:lnTo>
                <a:cubicBezTo>
                  <a:pt x="235093" y="124433"/>
                  <a:pt x="226762" y="129150"/>
                  <a:pt x="217599" y="131096"/>
                </a:cubicBezTo>
                <a:lnTo>
                  <a:pt x="199546" y="134921"/>
                </a:lnTo>
                <a:cubicBezTo>
                  <a:pt x="197917" y="135280"/>
                  <a:pt x="196726" y="136669"/>
                  <a:pt x="196629" y="138322"/>
                </a:cubicBezTo>
                <a:cubicBezTo>
                  <a:pt x="196603" y="138412"/>
                  <a:pt x="196558" y="142252"/>
                  <a:pt x="196558" y="142339"/>
                </a:cubicBezTo>
                <a:lnTo>
                  <a:pt x="196558" y="196459"/>
                </a:lnTo>
                <a:cubicBezTo>
                  <a:pt x="196558" y="198522"/>
                  <a:pt x="198238" y="200198"/>
                  <a:pt x="200317" y="200209"/>
                </a:cubicBezTo>
                <a:lnTo>
                  <a:pt x="202818" y="200209"/>
                </a:lnTo>
                <a:cubicBezTo>
                  <a:pt x="208281" y="200245"/>
                  <a:pt x="213102" y="203758"/>
                  <a:pt x="214773" y="208920"/>
                </a:cubicBezTo>
                <a:cubicBezTo>
                  <a:pt x="214779" y="208942"/>
                  <a:pt x="214767" y="208964"/>
                  <a:pt x="214744" y="208971"/>
                </a:cubicBezTo>
                <a:cubicBezTo>
                  <a:pt x="214741" y="208972"/>
                  <a:pt x="214738" y="208972"/>
                  <a:pt x="214735" y="208972"/>
                </a:cubicBezTo>
                <a:lnTo>
                  <a:pt x="177624" y="208972"/>
                </a:lnTo>
                <a:cubicBezTo>
                  <a:pt x="173451" y="208972"/>
                  <a:pt x="170068" y="205615"/>
                  <a:pt x="170068" y="201472"/>
                </a:cubicBezTo>
                <a:cubicBezTo>
                  <a:pt x="170068" y="201456"/>
                  <a:pt x="170068" y="201440"/>
                  <a:pt x="170068" y="201424"/>
                </a:cubicBezTo>
                <a:lnTo>
                  <a:pt x="170026" y="188959"/>
                </a:lnTo>
                <a:lnTo>
                  <a:pt x="170105" y="148552"/>
                </a:lnTo>
                <a:cubicBezTo>
                  <a:pt x="170105" y="146481"/>
                  <a:pt x="168414" y="144802"/>
                  <a:pt x="166327" y="144802"/>
                </a:cubicBezTo>
                <a:lnTo>
                  <a:pt x="166327" y="144802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35" name="Freeform: Shape 134">
            <a:extLst>
              <a:ext uri="{FF2B5EF4-FFF2-40B4-BE49-F238E27FC236}">
                <a16:creationId xmlns:a16="http://schemas.microsoft.com/office/drawing/2014/main" id="{652142BA-DAB6-45D5-BD00-84F2ED7EB272}"/>
              </a:ext>
            </a:extLst>
          </xdr:cNvPr>
          <xdr:cNvSpPr/>
        </xdr:nvSpPr>
        <xdr:spPr>
          <a:xfrm>
            <a:off x="1776299" y="3703815"/>
            <a:ext cx="30185" cy="43687"/>
          </a:xfrm>
          <a:custGeom>
            <a:avLst/>
            <a:gdLst>
              <a:gd name="connsiteX0" fmla="*/ 11377 w 30185"/>
              <a:gd name="connsiteY0" fmla="*/ 19980 h 43687"/>
              <a:gd name="connsiteX1" fmla="*/ 11377 w 30185"/>
              <a:gd name="connsiteY1" fmla="*/ 3750 h 43687"/>
              <a:gd name="connsiteX2" fmla="*/ 7598 w 30185"/>
              <a:gd name="connsiteY2" fmla="*/ 0 h 43687"/>
              <a:gd name="connsiteX3" fmla="*/ 3820 w 30185"/>
              <a:gd name="connsiteY3" fmla="*/ 3750 h 43687"/>
              <a:gd name="connsiteX4" fmla="*/ 3820 w 30185"/>
              <a:gd name="connsiteY4" fmla="*/ 23674 h 43687"/>
              <a:gd name="connsiteX5" fmla="*/ 7579 w 30185"/>
              <a:gd name="connsiteY5" fmla="*/ 27424 h 43687"/>
              <a:gd name="connsiteX6" fmla="*/ 10081 w 30185"/>
              <a:gd name="connsiteY6" fmla="*/ 27424 h 43687"/>
              <a:gd name="connsiteX7" fmla="*/ 22032 w 30185"/>
              <a:gd name="connsiteY7" fmla="*/ 36135 h 43687"/>
              <a:gd name="connsiteX8" fmla="*/ 22003 w 30185"/>
              <a:gd name="connsiteY8" fmla="*/ 36186 h 43687"/>
              <a:gd name="connsiteX9" fmla="*/ 21994 w 30185"/>
              <a:gd name="connsiteY9" fmla="*/ 36188 h 43687"/>
              <a:gd name="connsiteX10" fmla="*/ 3778 w 30185"/>
              <a:gd name="connsiteY10" fmla="*/ 36188 h 43687"/>
              <a:gd name="connsiteX11" fmla="*/ 0 w 30185"/>
              <a:gd name="connsiteY11" fmla="*/ 39938 h 43687"/>
              <a:gd name="connsiteX12" fmla="*/ 3778 w 30185"/>
              <a:gd name="connsiteY12" fmla="*/ 43688 h 43687"/>
              <a:gd name="connsiteX13" fmla="*/ 26407 w 30185"/>
              <a:gd name="connsiteY13" fmla="*/ 43688 h 43687"/>
              <a:gd name="connsiteX14" fmla="*/ 30185 w 30185"/>
              <a:gd name="connsiteY14" fmla="*/ 40028 h 43687"/>
              <a:gd name="connsiteX15" fmla="*/ 11377 w 30185"/>
              <a:gd name="connsiteY15" fmla="*/ 19980 h 436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30185" h="43687">
                <a:moveTo>
                  <a:pt x="11377" y="19980"/>
                </a:moveTo>
                <a:lnTo>
                  <a:pt x="11377" y="3750"/>
                </a:lnTo>
                <a:cubicBezTo>
                  <a:pt x="11377" y="1679"/>
                  <a:pt x="9685" y="0"/>
                  <a:pt x="7598" y="0"/>
                </a:cubicBezTo>
                <a:cubicBezTo>
                  <a:pt x="5511" y="0"/>
                  <a:pt x="3820" y="1679"/>
                  <a:pt x="3820" y="3750"/>
                </a:cubicBezTo>
                <a:lnTo>
                  <a:pt x="3820" y="23674"/>
                </a:lnTo>
                <a:cubicBezTo>
                  <a:pt x="3820" y="25737"/>
                  <a:pt x="5500" y="27413"/>
                  <a:pt x="7579" y="27424"/>
                </a:cubicBezTo>
                <a:lnTo>
                  <a:pt x="10081" y="27424"/>
                </a:lnTo>
                <a:cubicBezTo>
                  <a:pt x="15541" y="27462"/>
                  <a:pt x="20361" y="30975"/>
                  <a:pt x="22032" y="36135"/>
                </a:cubicBezTo>
                <a:cubicBezTo>
                  <a:pt x="22038" y="36157"/>
                  <a:pt x="22025" y="36180"/>
                  <a:pt x="22003" y="36186"/>
                </a:cubicBezTo>
                <a:cubicBezTo>
                  <a:pt x="22000" y="36187"/>
                  <a:pt x="21997" y="36188"/>
                  <a:pt x="21994" y="36188"/>
                </a:cubicBezTo>
                <a:lnTo>
                  <a:pt x="3778" y="36188"/>
                </a:lnTo>
                <a:cubicBezTo>
                  <a:pt x="1692" y="36188"/>
                  <a:pt x="0" y="37866"/>
                  <a:pt x="0" y="39938"/>
                </a:cubicBezTo>
                <a:cubicBezTo>
                  <a:pt x="0" y="42009"/>
                  <a:pt x="1692" y="43688"/>
                  <a:pt x="3778" y="43688"/>
                </a:cubicBezTo>
                <a:lnTo>
                  <a:pt x="26407" y="43688"/>
                </a:lnTo>
                <a:cubicBezTo>
                  <a:pt x="28459" y="43688"/>
                  <a:pt x="30136" y="42063"/>
                  <a:pt x="30185" y="40028"/>
                </a:cubicBezTo>
                <a:cubicBezTo>
                  <a:pt x="30203" y="29476"/>
                  <a:pt x="21982" y="20714"/>
                  <a:pt x="11377" y="1998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36" name="Freeform: Shape 135">
            <a:extLst>
              <a:ext uri="{FF2B5EF4-FFF2-40B4-BE49-F238E27FC236}">
                <a16:creationId xmlns:a16="http://schemas.microsoft.com/office/drawing/2014/main" id="{37EAA052-B22E-48F0-951A-04E5EA062043}"/>
              </a:ext>
            </a:extLst>
          </xdr:cNvPr>
          <xdr:cNvSpPr/>
        </xdr:nvSpPr>
        <xdr:spPr>
          <a:xfrm>
            <a:off x="1980285" y="3569989"/>
            <a:ext cx="11335" cy="11250"/>
          </a:xfrm>
          <a:custGeom>
            <a:avLst/>
            <a:gdLst>
              <a:gd name="connsiteX0" fmla="*/ 11335 w 11335"/>
              <a:gd name="connsiteY0" fmla="*/ 5625 h 11250"/>
              <a:gd name="connsiteX1" fmla="*/ 5668 w 11335"/>
              <a:gd name="connsiteY1" fmla="*/ 11250 h 11250"/>
              <a:gd name="connsiteX2" fmla="*/ 0 w 11335"/>
              <a:gd name="connsiteY2" fmla="*/ 5625 h 11250"/>
              <a:gd name="connsiteX3" fmla="*/ 5668 w 11335"/>
              <a:gd name="connsiteY3" fmla="*/ 0 h 11250"/>
              <a:gd name="connsiteX4" fmla="*/ 11335 w 11335"/>
              <a:gd name="connsiteY4" fmla="*/ 5625 h 1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335" h="11250">
                <a:moveTo>
                  <a:pt x="11335" y="5625"/>
                </a:moveTo>
                <a:cubicBezTo>
                  <a:pt x="11335" y="8732"/>
                  <a:pt x="8798" y="11250"/>
                  <a:pt x="5668" y="11250"/>
                </a:cubicBezTo>
                <a:cubicBezTo>
                  <a:pt x="2537" y="11250"/>
                  <a:pt x="0" y="8732"/>
                  <a:pt x="0" y="5625"/>
                </a:cubicBezTo>
                <a:cubicBezTo>
                  <a:pt x="0" y="2518"/>
                  <a:pt x="2537" y="0"/>
                  <a:pt x="5668" y="0"/>
                </a:cubicBezTo>
                <a:cubicBezTo>
                  <a:pt x="8798" y="0"/>
                  <a:pt x="11335" y="2518"/>
                  <a:pt x="11335" y="56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8</xdr:col>
      <xdr:colOff>130298</xdr:colOff>
      <xdr:row>7</xdr:row>
      <xdr:rowOff>171717</xdr:rowOff>
    </xdr:from>
    <xdr:to>
      <xdr:col>8</xdr:col>
      <xdr:colOff>448869</xdr:colOff>
      <xdr:row>7</xdr:row>
      <xdr:rowOff>400475</xdr:rowOff>
    </xdr:to>
    <xdr:grpSp>
      <xdr:nvGrpSpPr>
        <xdr:cNvPr id="137" name="landing" descr="Landing outline">
          <a:extLst>
            <a:ext uri="{FF2B5EF4-FFF2-40B4-BE49-F238E27FC236}">
              <a16:creationId xmlns:a16="http://schemas.microsoft.com/office/drawing/2014/main" id="{1C978173-263C-4422-88FF-C5BF81C9501B}"/>
            </a:ext>
          </a:extLst>
        </xdr:cNvPr>
        <xdr:cNvGrpSpPr>
          <a:grpSpLocks noChangeAspect="1"/>
        </xdr:cNvGrpSpPr>
      </xdr:nvGrpSpPr>
      <xdr:grpSpPr>
        <a:xfrm>
          <a:off x="7245473" y="2438667"/>
          <a:ext cx="318571" cy="228758"/>
          <a:chOff x="9204874" y="8433130"/>
          <a:chExt cx="318571" cy="228758"/>
        </a:xfrm>
        <a:solidFill>
          <a:srgbClr val="1F4E78"/>
        </a:solidFill>
      </xdr:grpSpPr>
      <xdr:sp macro="" textlink="">
        <xdr:nvSpPr>
          <xdr:cNvPr id="138" name="Freeform: Shape 137">
            <a:extLst>
              <a:ext uri="{FF2B5EF4-FFF2-40B4-BE49-F238E27FC236}">
                <a16:creationId xmlns:a16="http://schemas.microsoft.com/office/drawing/2014/main" id="{3873ECFC-07E9-4520-91C5-64C5989F3604}"/>
              </a:ext>
            </a:extLst>
          </xdr:cNvPr>
          <xdr:cNvSpPr/>
        </xdr:nvSpPr>
        <xdr:spPr>
          <a:xfrm>
            <a:off x="9204874" y="8654389"/>
            <a:ext cx="318571" cy="7500"/>
          </a:xfrm>
          <a:custGeom>
            <a:avLst/>
            <a:gdLst>
              <a:gd name="connsiteX0" fmla="*/ 0 w 318571"/>
              <a:gd name="connsiteY0" fmla="*/ 0 h 7500"/>
              <a:gd name="connsiteX1" fmla="*/ 318572 w 318571"/>
              <a:gd name="connsiteY1" fmla="*/ 0 h 7500"/>
              <a:gd name="connsiteX2" fmla="*/ 318572 w 318571"/>
              <a:gd name="connsiteY2" fmla="*/ 7500 h 7500"/>
              <a:gd name="connsiteX3" fmla="*/ 0 w 318571"/>
              <a:gd name="connsiteY3" fmla="*/ 7500 h 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318571" h="7500">
                <a:moveTo>
                  <a:pt x="0" y="0"/>
                </a:moveTo>
                <a:lnTo>
                  <a:pt x="318572" y="0"/>
                </a:lnTo>
                <a:lnTo>
                  <a:pt x="318572" y="7500"/>
                </a:lnTo>
                <a:lnTo>
                  <a:pt x="0" y="750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39" name="Freeform: Shape 138">
            <a:extLst>
              <a:ext uri="{FF2B5EF4-FFF2-40B4-BE49-F238E27FC236}">
                <a16:creationId xmlns:a16="http://schemas.microsoft.com/office/drawing/2014/main" id="{4517EFF4-D746-4308-812F-9FA1ECDFB685}"/>
              </a:ext>
            </a:extLst>
          </xdr:cNvPr>
          <xdr:cNvSpPr/>
        </xdr:nvSpPr>
        <xdr:spPr>
          <a:xfrm>
            <a:off x="9216087" y="8433130"/>
            <a:ext cx="288402" cy="150216"/>
          </a:xfrm>
          <a:custGeom>
            <a:avLst/>
            <a:gdLst>
              <a:gd name="connsiteX0" fmla="*/ 252519 w 288402"/>
              <a:gd name="connsiteY0" fmla="*/ 103643 h 150216"/>
              <a:gd name="connsiteX1" fmla="*/ 164035 w 288402"/>
              <a:gd name="connsiteY1" fmla="*/ 87758 h 150216"/>
              <a:gd name="connsiteX2" fmla="*/ 84889 w 288402"/>
              <a:gd name="connsiteY2" fmla="*/ 5798 h 150216"/>
              <a:gd name="connsiteX3" fmla="*/ 78571 w 288402"/>
              <a:gd name="connsiteY3" fmla="*/ 2423 h 150216"/>
              <a:gd name="connsiteX4" fmla="*/ 65350 w 288402"/>
              <a:gd name="connsiteY4" fmla="*/ 49 h 150216"/>
              <a:gd name="connsiteX5" fmla="*/ 61974 w 288402"/>
              <a:gd name="connsiteY5" fmla="*/ 2335 h 150216"/>
              <a:gd name="connsiteX6" fmla="*/ 62271 w 288402"/>
              <a:gd name="connsiteY6" fmla="*/ 4219 h 150216"/>
              <a:gd name="connsiteX7" fmla="*/ 101239 w 288402"/>
              <a:gd name="connsiteY7" fmla="*/ 76474 h 150216"/>
              <a:gd name="connsiteX8" fmla="*/ 38450 w 288402"/>
              <a:gd name="connsiteY8" fmla="*/ 65198 h 150216"/>
              <a:gd name="connsiteX9" fmla="*/ 18603 w 288402"/>
              <a:gd name="connsiteY9" fmla="*/ 27147 h 150216"/>
              <a:gd name="connsiteX10" fmla="*/ 12425 w 288402"/>
              <a:gd name="connsiteY10" fmla="*/ 22624 h 150216"/>
              <a:gd name="connsiteX11" fmla="*/ 3418 w 288402"/>
              <a:gd name="connsiteY11" fmla="*/ 21008 h 150216"/>
              <a:gd name="connsiteX12" fmla="*/ 2891 w 288402"/>
              <a:gd name="connsiteY12" fmla="*/ 20959 h 150216"/>
              <a:gd name="connsiteX13" fmla="*/ 0 w 288402"/>
              <a:gd name="connsiteY13" fmla="*/ 23838 h 150216"/>
              <a:gd name="connsiteX14" fmla="*/ 24 w 288402"/>
              <a:gd name="connsiteY14" fmla="*/ 24196 h 150216"/>
              <a:gd name="connsiteX15" fmla="*/ 6972 w 288402"/>
              <a:gd name="connsiteY15" fmla="*/ 71258 h 150216"/>
              <a:gd name="connsiteX16" fmla="*/ 13267 w 288402"/>
              <a:gd name="connsiteY16" fmla="*/ 79864 h 150216"/>
              <a:gd name="connsiteX17" fmla="*/ 39356 w 288402"/>
              <a:gd name="connsiteY17" fmla="*/ 92757 h 150216"/>
              <a:gd name="connsiteX18" fmla="*/ 109419 w 288402"/>
              <a:gd name="connsiteY18" fmla="*/ 115834 h 150216"/>
              <a:gd name="connsiteX19" fmla="*/ 128253 w 288402"/>
              <a:gd name="connsiteY19" fmla="*/ 119209 h 150216"/>
              <a:gd name="connsiteX20" fmla="*/ 129813 w 288402"/>
              <a:gd name="connsiteY20" fmla="*/ 129703 h 150216"/>
              <a:gd name="connsiteX21" fmla="*/ 140426 w 288402"/>
              <a:gd name="connsiteY21" fmla="*/ 128161 h 150216"/>
              <a:gd name="connsiteX22" fmla="*/ 141629 w 288402"/>
              <a:gd name="connsiteY22" fmla="*/ 121613 h 150216"/>
              <a:gd name="connsiteX23" fmla="*/ 234952 w 288402"/>
              <a:gd name="connsiteY23" fmla="*/ 138383 h 150216"/>
              <a:gd name="connsiteX24" fmla="*/ 233685 w 288402"/>
              <a:gd name="connsiteY24" fmla="*/ 141327 h 150216"/>
              <a:gd name="connsiteX25" fmla="*/ 239734 w 288402"/>
              <a:gd name="connsiteY25" fmla="*/ 150086 h 150216"/>
              <a:gd name="connsiteX26" fmla="*/ 248593 w 288402"/>
              <a:gd name="connsiteY26" fmla="*/ 144104 h 150216"/>
              <a:gd name="connsiteX27" fmla="*/ 248476 w 288402"/>
              <a:gd name="connsiteY27" fmla="*/ 140813 h 150216"/>
              <a:gd name="connsiteX28" fmla="*/ 257199 w 288402"/>
              <a:gd name="connsiteY28" fmla="*/ 142381 h 150216"/>
              <a:gd name="connsiteX29" fmla="*/ 268303 w 288402"/>
              <a:gd name="connsiteY29" fmla="*/ 143288 h 150216"/>
              <a:gd name="connsiteX30" fmla="*/ 288335 w 288402"/>
              <a:gd name="connsiteY30" fmla="*/ 133396 h 150216"/>
              <a:gd name="connsiteX31" fmla="*/ 252519 w 288402"/>
              <a:gd name="connsiteY31" fmla="*/ 103643 h 150216"/>
              <a:gd name="connsiteX32" fmla="*/ 107933 w 288402"/>
              <a:gd name="connsiteY32" fmla="*/ 72946 h 150216"/>
              <a:gd name="connsiteX33" fmla="*/ 73557 w 288402"/>
              <a:gd name="connsiteY33" fmla="*/ 9218 h 150216"/>
              <a:gd name="connsiteX34" fmla="*/ 73599 w 288402"/>
              <a:gd name="connsiteY34" fmla="*/ 9166 h 150216"/>
              <a:gd name="connsiteX35" fmla="*/ 77217 w 288402"/>
              <a:gd name="connsiteY35" fmla="*/ 9814 h 150216"/>
              <a:gd name="connsiteX36" fmla="*/ 79405 w 288402"/>
              <a:gd name="connsiteY36" fmla="*/ 10981 h 150216"/>
              <a:gd name="connsiteX37" fmla="*/ 158547 w 288402"/>
              <a:gd name="connsiteY37" fmla="*/ 92933 h 150216"/>
              <a:gd name="connsiteX38" fmla="*/ 160254 w 288402"/>
              <a:gd name="connsiteY38" fmla="*/ 94696 h 150216"/>
              <a:gd name="connsiteX39" fmla="*/ 162678 w 288402"/>
              <a:gd name="connsiteY39" fmla="*/ 95131 h 150216"/>
              <a:gd name="connsiteX40" fmla="*/ 251165 w 288402"/>
              <a:gd name="connsiteY40" fmla="*/ 111008 h 150216"/>
              <a:gd name="connsiteX41" fmla="*/ 280693 w 288402"/>
              <a:gd name="connsiteY41" fmla="*/ 132544 h 150216"/>
              <a:gd name="connsiteX42" fmla="*/ 268299 w 288402"/>
              <a:gd name="connsiteY42" fmla="*/ 135777 h 150216"/>
              <a:gd name="connsiteX43" fmla="*/ 258552 w 288402"/>
              <a:gd name="connsiteY43" fmla="*/ 134989 h 150216"/>
              <a:gd name="connsiteX44" fmla="*/ 110766 w 288402"/>
              <a:gd name="connsiteY44" fmla="*/ 108466 h 150216"/>
              <a:gd name="connsiteX45" fmla="*/ 42739 w 288402"/>
              <a:gd name="connsiteY45" fmla="*/ 86056 h 150216"/>
              <a:gd name="connsiteX46" fmla="*/ 16650 w 288402"/>
              <a:gd name="connsiteY46" fmla="*/ 73163 h 150216"/>
              <a:gd name="connsiteX47" fmla="*/ 14470 w 288402"/>
              <a:gd name="connsiteY47" fmla="*/ 70186 h 150216"/>
              <a:gd name="connsiteX48" fmla="*/ 8489 w 288402"/>
              <a:gd name="connsiteY48" fmla="*/ 29539 h 150216"/>
              <a:gd name="connsiteX49" fmla="*/ 11068 w 288402"/>
              <a:gd name="connsiteY49" fmla="*/ 30008 h 150216"/>
              <a:gd name="connsiteX50" fmla="*/ 11864 w 288402"/>
              <a:gd name="connsiteY50" fmla="*/ 30589 h 150216"/>
              <a:gd name="connsiteX51" fmla="*/ 31703 w 288402"/>
              <a:gd name="connsiteY51" fmla="*/ 68633 h 150216"/>
              <a:gd name="connsiteX52" fmla="*/ 33417 w 288402"/>
              <a:gd name="connsiteY52" fmla="*/ 71914 h 150216"/>
              <a:gd name="connsiteX53" fmla="*/ 37088 w 288402"/>
              <a:gd name="connsiteY53" fmla="*/ 72574 h 150216"/>
              <a:gd name="connsiteX54" fmla="*/ 99889 w 288402"/>
              <a:gd name="connsiteY54" fmla="*/ 83854 h 150216"/>
              <a:gd name="connsiteX55" fmla="*/ 105600 w 288402"/>
              <a:gd name="connsiteY55" fmla="*/ 84882 h 150216"/>
              <a:gd name="connsiteX56" fmla="*/ 110284 w 288402"/>
              <a:gd name="connsiteY56" fmla="*/ 93192 h 150216"/>
              <a:gd name="connsiteX57" fmla="*/ 115480 w 288402"/>
              <a:gd name="connsiteY57" fmla="*/ 94504 h 150216"/>
              <a:gd name="connsiteX58" fmla="*/ 116906 w 288402"/>
              <a:gd name="connsiteY58" fmla="*/ 89539 h 15021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</a:cxnLst>
            <a:rect l="l" t="t" r="r" b="b"/>
            <a:pathLst>
              <a:path w="288402" h="150216">
                <a:moveTo>
                  <a:pt x="252519" y="103643"/>
                </a:moveTo>
                <a:lnTo>
                  <a:pt x="164035" y="87758"/>
                </a:lnTo>
                <a:lnTo>
                  <a:pt x="84889" y="5798"/>
                </a:lnTo>
                <a:cubicBezTo>
                  <a:pt x="83196" y="4042"/>
                  <a:pt x="80984" y="2860"/>
                  <a:pt x="78571" y="2423"/>
                </a:cubicBezTo>
                <a:lnTo>
                  <a:pt x="65350" y="49"/>
                </a:lnTo>
                <a:cubicBezTo>
                  <a:pt x="63779" y="-241"/>
                  <a:pt x="62268" y="782"/>
                  <a:pt x="61974" y="2335"/>
                </a:cubicBezTo>
                <a:cubicBezTo>
                  <a:pt x="61852" y="2978"/>
                  <a:pt x="61957" y="3643"/>
                  <a:pt x="62271" y="4219"/>
                </a:cubicBezTo>
                <a:lnTo>
                  <a:pt x="101239" y="76474"/>
                </a:lnTo>
                <a:lnTo>
                  <a:pt x="38450" y="65198"/>
                </a:lnTo>
                <a:lnTo>
                  <a:pt x="18603" y="27147"/>
                </a:lnTo>
                <a:cubicBezTo>
                  <a:pt x="17367" y="24772"/>
                  <a:pt x="15084" y="23101"/>
                  <a:pt x="12425" y="22624"/>
                </a:cubicBezTo>
                <a:lnTo>
                  <a:pt x="3418" y="21008"/>
                </a:lnTo>
                <a:cubicBezTo>
                  <a:pt x="3244" y="20975"/>
                  <a:pt x="3068" y="20959"/>
                  <a:pt x="2891" y="20959"/>
                </a:cubicBezTo>
                <a:cubicBezTo>
                  <a:pt x="1289" y="20965"/>
                  <a:pt x="-6" y="22254"/>
                  <a:pt x="0" y="23838"/>
                </a:cubicBezTo>
                <a:cubicBezTo>
                  <a:pt x="0" y="23958"/>
                  <a:pt x="8" y="24077"/>
                  <a:pt x="24" y="24196"/>
                </a:cubicBezTo>
                <a:lnTo>
                  <a:pt x="6972" y="71258"/>
                </a:lnTo>
                <a:cubicBezTo>
                  <a:pt x="7519" y="74973"/>
                  <a:pt x="9870" y="78188"/>
                  <a:pt x="13267" y="79864"/>
                </a:cubicBezTo>
                <a:lnTo>
                  <a:pt x="39356" y="92757"/>
                </a:lnTo>
                <a:cubicBezTo>
                  <a:pt x="61486" y="103696"/>
                  <a:pt x="85076" y="111466"/>
                  <a:pt x="109419" y="115834"/>
                </a:cubicBezTo>
                <a:lnTo>
                  <a:pt x="128253" y="119209"/>
                </a:lnTo>
                <a:cubicBezTo>
                  <a:pt x="125753" y="122533"/>
                  <a:pt x="126451" y="127231"/>
                  <a:pt x="129813" y="129703"/>
                </a:cubicBezTo>
                <a:cubicBezTo>
                  <a:pt x="133174" y="132175"/>
                  <a:pt x="137926" y="131485"/>
                  <a:pt x="140426" y="128161"/>
                </a:cubicBezTo>
                <a:cubicBezTo>
                  <a:pt x="141838" y="126283"/>
                  <a:pt x="142283" y="123862"/>
                  <a:pt x="141629" y="121613"/>
                </a:cubicBezTo>
                <a:lnTo>
                  <a:pt x="234952" y="138383"/>
                </a:lnTo>
                <a:cubicBezTo>
                  <a:pt x="234318" y="139262"/>
                  <a:pt x="233886" y="140266"/>
                  <a:pt x="233685" y="141327"/>
                </a:cubicBezTo>
                <a:cubicBezTo>
                  <a:pt x="232909" y="145397"/>
                  <a:pt x="235618" y="149319"/>
                  <a:pt x="239734" y="150086"/>
                </a:cubicBezTo>
                <a:cubicBezTo>
                  <a:pt x="243851" y="150853"/>
                  <a:pt x="247817" y="148175"/>
                  <a:pt x="248593" y="144104"/>
                </a:cubicBezTo>
                <a:cubicBezTo>
                  <a:pt x="248801" y="143012"/>
                  <a:pt x="248761" y="141888"/>
                  <a:pt x="248476" y="140813"/>
                </a:cubicBezTo>
                <a:lnTo>
                  <a:pt x="257199" y="142381"/>
                </a:lnTo>
                <a:cubicBezTo>
                  <a:pt x="260869" y="142976"/>
                  <a:pt x="264583" y="143280"/>
                  <a:pt x="268303" y="143288"/>
                </a:cubicBezTo>
                <a:cubicBezTo>
                  <a:pt x="276628" y="143288"/>
                  <a:pt x="286833" y="141567"/>
                  <a:pt x="288335" y="133396"/>
                </a:cubicBezTo>
                <a:cubicBezTo>
                  <a:pt x="289894" y="124932"/>
                  <a:pt x="263934" y="105694"/>
                  <a:pt x="252519" y="103643"/>
                </a:cubicBezTo>
                <a:close/>
                <a:moveTo>
                  <a:pt x="107933" y="72946"/>
                </a:moveTo>
                <a:lnTo>
                  <a:pt x="73557" y="9218"/>
                </a:lnTo>
                <a:cubicBezTo>
                  <a:pt x="73557" y="9181"/>
                  <a:pt x="73557" y="9158"/>
                  <a:pt x="73599" y="9166"/>
                </a:cubicBezTo>
                <a:lnTo>
                  <a:pt x="77217" y="9814"/>
                </a:lnTo>
                <a:cubicBezTo>
                  <a:pt x="78053" y="9963"/>
                  <a:pt x="78820" y="10371"/>
                  <a:pt x="79405" y="10981"/>
                </a:cubicBezTo>
                <a:lnTo>
                  <a:pt x="158547" y="92933"/>
                </a:lnTo>
                <a:lnTo>
                  <a:pt x="160254" y="94696"/>
                </a:lnTo>
                <a:lnTo>
                  <a:pt x="162678" y="95131"/>
                </a:lnTo>
                <a:lnTo>
                  <a:pt x="251165" y="111008"/>
                </a:lnTo>
                <a:cubicBezTo>
                  <a:pt x="259887" y="112572"/>
                  <a:pt x="278452" y="126946"/>
                  <a:pt x="280693" y="132544"/>
                </a:cubicBezTo>
                <a:cubicBezTo>
                  <a:pt x="279673" y="134498"/>
                  <a:pt x="274864" y="135777"/>
                  <a:pt x="268299" y="135777"/>
                </a:cubicBezTo>
                <a:cubicBezTo>
                  <a:pt x="265035" y="135767"/>
                  <a:pt x="261776" y="135503"/>
                  <a:pt x="258552" y="134989"/>
                </a:cubicBezTo>
                <a:lnTo>
                  <a:pt x="110766" y="108466"/>
                </a:lnTo>
                <a:cubicBezTo>
                  <a:pt x="87131" y="104221"/>
                  <a:pt x="64226" y="96675"/>
                  <a:pt x="42739" y="86056"/>
                </a:cubicBezTo>
                <a:lnTo>
                  <a:pt x="16650" y="73163"/>
                </a:lnTo>
                <a:cubicBezTo>
                  <a:pt x="15475" y="72583"/>
                  <a:pt x="14660" y="71471"/>
                  <a:pt x="14470" y="70186"/>
                </a:cubicBezTo>
                <a:lnTo>
                  <a:pt x="8489" y="29539"/>
                </a:lnTo>
                <a:lnTo>
                  <a:pt x="11068" y="30008"/>
                </a:lnTo>
                <a:cubicBezTo>
                  <a:pt x="11409" y="30071"/>
                  <a:pt x="11702" y="30286"/>
                  <a:pt x="11864" y="30589"/>
                </a:cubicBezTo>
                <a:lnTo>
                  <a:pt x="31703" y="68633"/>
                </a:lnTo>
                <a:lnTo>
                  <a:pt x="33417" y="71914"/>
                </a:lnTo>
                <a:lnTo>
                  <a:pt x="37088" y="72574"/>
                </a:lnTo>
                <a:lnTo>
                  <a:pt x="99889" y="83854"/>
                </a:lnTo>
                <a:lnTo>
                  <a:pt x="105600" y="84882"/>
                </a:lnTo>
                <a:lnTo>
                  <a:pt x="110284" y="93192"/>
                </a:lnTo>
                <a:cubicBezTo>
                  <a:pt x="111352" y="94973"/>
                  <a:pt x="113679" y="95561"/>
                  <a:pt x="115480" y="94504"/>
                </a:cubicBezTo>
                <a:cubicBezTo>
                  <a:pt x="117215" y="93487"/>
                  <a:pt x="117841" y="91306"/>
                  <a:pt x="116906" y="8953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2</xdr:col>
      <xdr:colOff>111848</xdr:colOff>
      <xdr:row>15</xdr:row>
      <xdr:rowOff>212004</xdr:rowOff>
    </xdr:from>
    <xdr:to>
      <xdr:col>2</xdr:col>
      <xdr:colOff>456954</xdr:colOff>
      <xdr:row>15</xdr:row>
      <xdr:rowOff>339458</xdr:rowOff>
    </xdr:to>
    <xdr:grpSp>
      <xdr:nvGrpSpPr>
        <xdr:cNvPr id="140" name="cabriolet" descr="Convertible outline">
          <a:extLst>
            <a:ext uri="{FF2B5EF4-FFF2-40B4-BE49-F238E27FC236}">
              <a16:creationId xmlns:a16="http://schemas.microsoft.com/office/drawing/2014/main" id="{40EC04FF-1A17-4185-B78E-B85D185591DA}"/>
            </a:ext>
          </a:extLst>
        </xdr:cNvPr>
        <xdr:cNvGrpSpPr>
          <a:grpSpLocks noChangeAspect="1"/>
        </xdr:cNvGrpSpPr>
      </xdr:nvGrpSpPr>
      <xdr:grpSpPr>
        <a:xfrm>
          <a:off x="1540598" y="7508154"/>
          <a:ext cx="345106" cy="127454"/>
          <a:chOff x="10467972" y="8496934"/>
          <a:chExt cx="345106" cy="127454"/>
        </a:xfrm>
        <a:solidFill>
          <a:srgbClr val="1F4E78"/>
        </a:solidFill>
      </xdr:grpSpPr>
      <xdr:sp macro="" textlink="">
        <xdr:nvSpPr>
          <xdr:cNvPr id="141" name="Freeform: Shape 140">
            <a:extLst>
              <a:ext uri="{FF2B5EF4-FFF2-40B4-BE49-F238E27FC236}">
                <a16:creationId xmlns:a16="http://schemas.microsoft.com/office/drawing/2014/main" id="{A0A15071-5C1F-46E7-AEB9-8FFC67C71C7F}"/>
              </a:ext>
            </a:extLst>
          </xdr:cNvPr>
          <xdr:cNvSpPr/>
        </xdr:nvSpPr>
        <xdr:spPr>
          <a:xfrm>
            <a:off x="10513078" y="8568139"/>
            <a:ext cx="56249" cy="56250"/>
          </a:xfrm>
          <a:custGeom>
            <a:avLst/>
            <a:gdLst>
              <a:gd name="connsiteX0" fmla="*/ 28125 w 56249"/>
              <a:gd name="connsiteY0" fmla="*/ 0 h 56250"/>
              <a:gd name="connsiteX1" fmla="*/ 0 w 56249"/>
              <a:gd name="connsiteY1" fmla="*/ 28125 h 56250"/>
              <a:gd name="connsiteX2" fmla="*/ 28125 w 56249"/>
              <a:gd name="connsiteY2" fmla="*/ 56250 h 56250"/>
              <a:gd name="connsiteX3" fmla="*/ 56250 w 56249"/>
              <a:gd name="connsiteY3" fmla="*/ 28125 h 56250"/>
              <a:gd name="connsiteX4" fmla="*/ 28125 w 56249"/>
              <a:gd name="connsiteY4" fmla="*/ 0 h 56250"/>
              <a:gd name="connsiteX5" fmla="*/ 28125 w 56249"/>
              <a:gd name="connsiteY5" fmla="*/ 48750 h 56250"/>
              <a:gd name="connsiteX6" fmla="*/ 7500 w 56249"/>
              <a:gd name="connsiteY6" fmla="*/ 28125 h 56250"/>
              <a:gd name="connsiteX7" fmla="*/ 28125 w 56249"/>
              <a:gd name="connsiteY7" fmla="*/ 7500 h 56250"/>
              <a:gd name="connsiteX8" fmla="*/ 48750 w 56249"/>
              <a:gd name="connsiteY8" fmla="*/ 28125 h 56250"/>
              <a:gd name="connsiteX9" fmla="*/ 28125 w 56249"/>
              <a:gd name="connsiteY9" fmla="*/ 48750 h 56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56249" h="56250">
                <a:moveTo>
                  <a:pt x="28125" y="0"/>
                </a:moveTo>
                <a:cubicBezTo>
                  <a:pt x="12592" y="0"/>
                  <a:pt x="0" y="12592"/>
                  <a:pt x="0" y="28125"/>
                </a:cubicBezTo>
                <a:cubicBezTo>
                  <a:pt x="0" y="43658"/>
                  <a:pt x="12592" y="56250"/>
                  <a:pt x="28125" y="56250"/>
                </a:cubicBezTo>
                <a:cubicBezTo>
                  <a:pt x="43658" y="56250"/>
                  <a:pt x="56250" y="43658"/>
                  <a:pt x="56250" y="28125"/>
                </a:cubicBezTo>
                <a:cubicBezTo>
                  <a:pt x="56234" y="12599"/>
                  <a:pt x="43651" y="16"/>
                  <a:pt x="28125" y="0"/>
                </a:cubicBezTo>
                <a:close/>
                <a:moveTo>
                  <a:pt x="28125" y="48750"/>
                </a:moveTo>
                <a:cubicBezTo>
                  <a:pt x="16734" y="48750"/>
                  <a:pt x="7500" y="39516"/>
                  <a:pt x="7500" y="28125"/>
                </a:cubicBezTo>
                <a:cubicBezTo>
                  <a:pt x="7500" y="16734"/>
                  <a:pt x="16734" y="7500"/>
                  <a:pt x="28125" y="7500"/>
                </a:cubicBezTo>
                <a:cubicBezTo>
                  <a:pt x="39516" y="7500"/>
                  <a:pt x="48750" y="16734"/>
                  <a:pt x="48750" y="28125"/>
                </a:cubicBezTo>
                <a:cubicBezTo>
                  <a:pt x="48738" y="39511"/>
                  <a:pt x="39511" y="48738"/>
                  <a:pt x="28125" y="4875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42" name="Freeform: Shape 141">
            <a:extLst>
              <a:ext uri="{FF2B5EF4-FFF2-40B4-BE49-F238E27FC236}">
                <a16:creationId xmlns:a16="http://schemas.microsoft.com/office/drawing/2014/main" id="{002041DB-1EEC-4BAD-8EEF-47EE84F5A86C}"/>
              </a:ext>
            </a:extLst>
          </xdr:cNvPr>
          <xdr:cNvSpPr/>
        </xdr:nvSpPr>
        <xdr:spPr>
          <a:xfrm>
            <a:off x="10575137" y="8599578"/>
            <a:ext cx="134625" cy="7500"/>
          </a:xfrm>
          <a:custGeom>
            <a:avLst/>
            <a:gdLst>
              <a:gd name="connsiteX0" fmla="*/ 1522 w 134625"/>
              <a:gd name="connsiteY0" fmla="*/ 0 h 7500"/>
              <a:gd name="connsiteX1" fmla="*/ 0 w 134625"/>
              <a:gd name="connsiteY1" fmla="*/ 7500 h 7500"/>
              <a:gd name="connsiteX2" fmla="*/ 134625 w 134625"/>
              <a:gd name="connsiteY2" fmla="*/ 7500 h 7500"/>
              <a:gd name="connsiteX3" fmla="*/ 133106 w 134625"/>
              <a:gd name="connsiteY3" fmla="*/ 0 h 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34625" h="7500">
                <a:moveTo>
                  <a:pt x="1522" y="0"/>
                </a:moveTo>
                <a:cubicBezTo>
                  <a:pt x="1289" y="2548"/>
                  <a:pt x="778" y="5063"/>
                  <a:pt x="0" y="7500"/>
                </a:cubicBezTo>
                <a:lnTo>
                  <a:pt x="134625" y="7500"/>
                </a:lnTo>
                <a:cubicBezTo>
                  <a:pt x="133850" y="5062"/>
                  <a:pt x="133340" y="2547"/>
                  <a:pt x="133106" y="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43" name="Freeform: Shape 142">
            <a:extLst>
              <a:ext uri="{FF2B5EF4-FFF2-40B4-BE49-F238E27FC236}">
                <a16:creationId xmlns:a16="http://schemas.microsoft.com/office/drawing/2014/main" id="{28D4E15D-33CA-4C02-B581-D56A5DE56321}"/>
              </a:ext>
            </a:extLst>
          </xdr:cNvPr>
          <xdr:cNvSpPr/>
        </xdr:nvSpPr>
        <xdr:spPr>
          <a:xfrm>
            <a:off x="10467972" y="8496934"/>
            <a:ext cx="345106" cy="106964"/>
          </a:xfrm>
          <a:custGeom>
            <a:avLst/>
            <a:gdLst>
              <a:gd name="connsiteX0" fmla="*/ 340276 w 345106"/>
              <a:gd name="connsiteY0" fmla="*/ 75825 h 106964"/>
              <a:gd name="connsiteX1" fmla="*/ 335540 w 345106"/>
              <a:gd name="connsiteY1" fmla="*/ 71700 h 106964"/>
              <a:gd name="connsiteX2" fmla="*/ 311356 w 345106"/>
              <a:gd name="connsiteY2" fmla="*/ 50816 h 106964"/>
              <a:gd name="connsiteX3" fmla="*/ 243856 w 345106"/>
              <a:gd name="connsiteY3" fmla="*/ 35149 h 106964"/>
              <a:gd name="connsiteX4" fmla="*/ 224660 w 345106"/>
              <a:gd name="connsiteY4" fmla="*/ 32730 h 106964"/>
              <a:gd name="connsiteX5" fmla="*/ 162860 w 345106"/>
              <a:gd name="connsiteY5" fmla="*/ 270 h 106964"/>
              <a:gd name="connsiteX6" fmla="*/ 157985 w 345106"/>
              <a:gd name="connsiteY6" fmla="*/ 2357 h 106964"/>
              <a:gd name="connsiteX7" fmla="*/ 159860 w 345106"/>
              <a:gd name="connsiteY7" fmla="*/ 7140 h 106964"/>
              <a:gd name="connsiteX8" fmla="*/ 206086 w 345106"/>
              <a:gd name="connsiteY8" fmla="*/ 30390 h 106964"/>
              <a:gd name="connsiteX9" fmla="*/ 202606 w 345106"/>
              <a:gd name="connsiteY9" fmla="*/ 29955 h 106964"/>
              <a:gd name="connsiteX10" fmla="*/ 194945 w 345106"/>
              <a:gd name="connsiteY10" fmla="*/ 29955 h 106964"/>
              <a:gd name="connsiteX11" fmla="*/ 187606 w 345106"/>
              <a:gd name="connsiteY11" fmla="*/ 37294 h 106964"/>
              <a:gd name="connsiteX12" fmla="*/ 144245 w 345106"/>
              <a:gd name="connsiteY12" fmla="*/ 37294 h 106964"/>
              <a:gd name="connsiteX13" fmla="*/ 141643 w 345106"/>
              <a:gd name="connsiteY13" fmla="*/ 37042 h 106964"/>
              <a:gd name="connsiteX14" fmla="*/ 138856 w 345106"/>
              <a:gd name="connsiteY14" fmla="*/ 36499 h 106964"/>
              <a:gd name="connsiteX15" fmla="*/ 123856 w 345106"/>
              <a:gd name="connsiteY15" fmla="*/ 33592 h 106964"/>
              <a:gd name="connsiteX16" fmla="*/ 123856 w 345106"/>
              <a:gd name="connsiteY16" fmla="*/ 22455 h 106964"/>
              <a:gd name="connsiteX17" fmla="*/ 120106 w 345106"/>
              <a:gd name="connsiteY17" fmla="*/ 18705 h 106964"/>
              <a:gd name="connsiteX18" fmla="*/ 116356 w 345106"/>
              <a:gd name="connsiteY18" fmla="*/ 22455 h 106964"/>
              <a:gd name="connsiteX19" fmla="*/ 116356 w 345106"/>
              <a:gd name="connsiteY19" fmla="*/ 32137 h 106964"/>
              <a:gd name="connsiteX20" fmla="*/ 87275 w 345106"/>
              <a:gd name="connsiteY20" fmla="*/ 26981 h 106964"/>
              <a:gd name="connsiteX21" fmla="*/ 73775 w 345106"/>
              <a:gd name="connsiteY21" fmla="*/ 27319 h 106964"/>
              <a:gd name="connsiteX22" fmla="*/ 63841 w 345106"/>
              <a:gd name="connsiteY22" fmla="*/ 29944 h 106964"/>
              <a:gd name="connsiteX23" fmla="*/ 6778 w 345106"/>
              <a:gd name="connsiteY23" fmla="*/ 52444 h 106964"/>
              <a:gd name="connsiteX24" fmla="*/ 3718 w 345106"/>
              <a:gd name="connsiteY24" fmla="*/ 86760 h 106964"/>
              <a:gd name="connsiteX25" fmla="*/ 106 w 345106"/>
              <a:gd name="connsiteY25" fmla="*/ 91309 h 106964"/>
              <a:gd name="connsiteX26" fmla="*/ 5 w 345106"/>
              <a:gd name="connsiteY26" fmla="*/ 94331 h 106964"/>
              <a:gd name="connsiteX27" fmla="*/ 6856 w 345106"/>
              <a:gd name="connsiteY27" fmla="*/ 103372 h 106964"/>
              <a:gd name="connsiteX28" fmla="*/ 10831 w 345106"/>
              <a:gd name="connsiteY28" fmla="*/ 104355 h 106964"/>
              <a:gd name="connsiteX29" fmla="*/ 29435 w 345106"/>
              <a:gd name="connsiteY29" fmla="*/ 106459 h 106964"/>
              <a:gd name="connsiteX30" fmla="*/ 38435 w 345106"/>
              <a:gd name="connsiteY30" fmla="*/ 106965 h 106964"/>
              <a:gd name="connsiteX31" fmla="*/ 37595 w 345106"/>
              <a:gd name="connsiteY31" fmla="*/ 99405 h 106964"/>
              <a:gd name="connsiteX32" fmla="*/ 29668 w 345106"/>
              <a:gd name="connsiteY32" fmla="*/ 98955 h 106964"/>
              <a:gd name="connsiteX33" fmla="*/ 12463 w 345106"/>
              <a:gd name="connsiteY33" fmla="*/ 97031 h 106964"/>
              <a:gd name="connsiteX34" fmla="*/ 8653 w 345106"/>
              <a:gd name="connsiteY34" fmla="*/ 96086 h 106964"/>
              <a:gd name="connsiteX35" fmla="*/ 7528 w 345106"/>
              <a:gd name="connsiteY35" fmla="*/ 94586 h 106964"/>
              <a:gd name="connsiteX36" fmla="*/ 7546 w 345106"/>
              <a:gd name="connsiteY36" fmla="*/ 94039 h 106964"/>
              <a:gd name="connsiteX37" fmla="*/ 9616 w 345106"/>
              <a:gd name="connsiteY37" fmla="*/ 91414 h 106964"/>
              <a:gd name="connsiteX38" fmla="*/ 11630 w 345106"/>
              <a:gd name="connsiteY38" fmla="*/ 88879 h 106964"/>
              <a:gd name="connsiteX39" fmla="*/ 11165 w 345106"/>
              <a:gd name="connsiteY39" fmla="*/ 85672 h 106964"/>
              <a:gd name="connsiteX40" fmla="*/ 11416 w 345106"/>
              <a:gd name="connsiteY40" fmla="*/ 58376 h 106964"/>
              <a:gd name="connsiteX41" fmla="*/ 66001 w 345106"/>
              <a:gd name="connsiteY41" fmla="*/ 37125 h 106964"/>
              <a:gd name="connsiteX42" fmla="*/ 75414 w 345106"/>
              <a:gd name="connsiteY42" fmla="*/ 34635 h 106964"/>
              <a:gd name="connsiteX43" fmla="*/ 86068 w 345106"/>
              <a:gd name="connsiteY43" fmla="*/ 34372 h 106964"/>
              <a:gd name="connsiteX44" fmla="*/ 137443 w 345106"/>
              <a:gd name="connsiteY44" fmla="*/ 43852 h 106964"/>
              <a:gd name="connsiteX45" fmla="*/ 140233 w 345106"/>
              <a:gd name="connsiteY45" fmla="*/ 44396 h 106964"/>
              <a:gd name="connsiteX46" fmla="*/ 144290 w 345106"/>
              <a:gd name="connsiteY46" fmla="*/ 44771 h 106964"/>
              <a:gd name="connsiteX47" fmla="*/ 195106 w 345106"/>
              <a:gd name="connsiteY47" fmla="*/ 44771 h 106964"/>
              <a:gd name="connsiteX48" fmla="*/ 195106 w 345106"/>
              <a:gd name="connsiteY48" fmla="*/ 37455 h 106964"/>
              <a:gd name="connsiteX49" fmla="*/ 202134 w 345106"/>
              <a:gd name="connsiteY49" fmla="*/ 37455 h 106964"/>
              <a:gd name="connsiteX50" fmla="*/ 242919 w 345106"/>
              <a:gd name="connsiteY50" fmla="*/ 42589 h 106964"/>
              <a:gd name="connsiteX51" fmla="*/ 243099 w 345106"/>
              <a:gd name="connsiteY51" fmla="*/ 42611 h 106964"/>
              <a:gd name="connsiteX52" fmla="*/ 243279 w 345106"/>
              <a:gd name="connsiteY52" fmla="*/ 42611 h 106964"/>
              <a:gd name="connsiteX53" fmla="*/ 308124 w 345106"/>
              <a:gd name="connsiteY53" fmla="*/ 57570 h 106964"/>
              <a:gd name="connsiteX54" fmla="*/ 329900 w 345106"/>
              <a:gd name="connsiteY54" fmla="*/ 76631 h 106964"/>
              <a:gd name="connsiteX55" fmla="*/ 330061 w 345106"/>
              <a:gd name="connsiteY55" fmla="*/ 76815 h 106964"/>
              <a:gd name="connsiteX56" fmla="*/ 330238 w 345106"/>
              <a:gd name="connsiteY56" fmla="*/ 76987 h 106964"/>
              <a:gd name="connsiteX57" fmla="*/ 335671 w 345106"/>
              <a:gd name="connsiteY57" fmla="*/ 81731 h 106964"/>
              <a:gd name="connsiteX58" fmla="*/ 337606 w 345106"/>
              <a:gd name="connsiteY58" fmla="*/ 85654 h 106964"/>
              <a:gd name="connsiteX59" fmla="*/ 337606 w 345106"/>
              <a:gd name="connsiteY59" fmla="*/ 98089 h 106964"/>
              <a:gd name="connsiteX60" fmla="*/ 311293 w 345106"/>
              <a:gd name="connsiteY60" fmla="*/ 98089 h 106964"/>
              <a:gd name="connsiteX61" fmla="*/ 311356 w 345106"/>
              <a:gd name="connsiteY61" fmla="*/ 99315 h 106964"/>
              <a:gd name="connsiteX62" fmla="*/ 310768 w 345106"/>
              <a:gd name="connsiteY62" fmla="*/ 105589 h 106964"/>
              <a:gd name="connsiteX63" fmla="*/ 345106 w 345106"/>
              <a:gd name="connsiteY63" fmla="*/ 105589 h 106964"/>
              <a:gd name="connsiteX64" fmla="*/ 345106 w 345106"/>
              <a:gd name="connsiteY64" fmla="*/ 85669 h 106964"/>
              <a:gd name="connsiteX65" fmla="*/ 340276 w 345106"/>
              <a:gd name="connsiteY65" fmla="*/ 75825 h 10696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</a:cxnLst>
            <a:rect l="l" t="t" r="r" b="b"/>
            <a:pathLst>
              <a:path w="345106" h="106964">
                <a:moveTo>
                  <a:pt x="340276" y="75825"/>
                </a:moveTo>
                <a:cubicBezTo>
                  <a:pt x="338604" y="74561"/>
                  <a:pt x="337022" y="73182"/>
                  <a:pt x="335540" y="71700"/>
                </a:cubicBezTo>
                <a:cubicBezTo>
                  <a:pt x="330013" y="65396"/>
                  <a:pt x="321106" y="55474"/>
                  <a:pt x="311356" y="50816"/>
                </a:cubicBezTo>
                <a:cubicBezTo>
                  <a:pt x="285253" y="38332"/>
                  <a:pt x="243856" y="35149"/>
                  <a:pt x="243856" y="35149"/>
                </a:cubicBezTo>
                <a:lnTo>
                  <a:pt x="224660" y="32730"/>
                </a:lnTo>
                <a:cubicBezTo>
                  <a:pt x="204851" y="20467"/>
                  <a:pt x="184199" y="9619"/>
                  <a:pt x="162860" y="270"/>
                </a:cubicBezTo>
                <a:cubicBezTo>
                  <a:pt x="160937" y="-500"/>
                  <a:pt x="158755" y="434"/>
                  <a:pt x="157985" y="2357"/>
                </a:cubicBezTo>
                <a:cubicBezTo>
                  <a:pt x="157248" y="4196"/>
                  <a:pt x="158069" y="6291"/>
                  <a:pt x="159860" y="7140"/>
                </a:cubicBezTo>
                <a:cubicBezTo>
                  <a:pt x="175670" y="14065"/>
                  <a:pt x="191101" y="21826"/>
                  <a:pt x="206086" y="30390"/>
                </a:cubicBezTo>
                <a:lnTo>
                  <a:pt x="202606" y="29955"/>
                </a:lnTo>
                <a:lnTo>
                  <a:pt x="194945" y="29955"/>
                </a:lnTo>
                <a:cubicBezTo>
                  <a:pt x="190892" y="29955"/>
                  <a:pt x="187606" y="33241"/>
                  <a:pt x="187606" y="37294"/>
                </a:cubicBezTo>
                <a:lnTo>
                  <a:pt x="144245" y="37294"/>
                </a:lnTo>
                <a:cubicBezTo>
                  <a:pt x="143371" y="37294"/>
                  <a:pt x="142500" y="37210"/>
                  <a:pt x="141643" y="37042"/>
                </a:cubicBezTo>
                <a:lnTo>
                  <a:pt x="138856" y="36499"/>
                </a:lnTo>
                <a:lnTo>
                  <a:pt x="123856" y="33592"/>
                </a:lnTo>
                <a:lnTo>
                  <a:pt x="123856" y="22455"/>
                </a:lnTo>
                <a:cubicBezTo>
                  <a:pt x="123856" y="20384"/>
                  <a:pt x="122177" y="18705"/>
                  <a:pt x="120106" y="18705"/>
                </a:cubicBezTo>
                <a:cubicBezTo>
                  <a:pt x="118035" y="18705"/>
                  <a:pt x="116356" y="20384"/>
                  <a:pt x="116356" y="22455"/>
                </a:cubicBezTo>
                <a:lnTo>
                  <a:pt x="116356" y="32137"/>
                </a:lnTo>
                <a:lnTo>
                  <a:pt x="87275" y="26981"/>
                </a:lnTo>
                <a:cubicBezTo>
                  <a:pt x="82795" y="26227"/>
                  <a:pt x="78212" y="26342"/>
                  <a:pt x="73775" y="27319"/>
                </a:cubicBezTo>
                <a:cubicBezTo>
                  <a:pt x="69920" y="28177"/>
                  <a:pt x="65986" y="29306"/>
                  <a:pt x="63841" y="29944"/>
                </a:cubicBezTo>
                <a:cubicBezTo>
                  <a:pt x="50368" y="34031"/>
                  <a:pt x="16486" y="45825"/>
                  <a:pt x="6778" y="52444"/>
                </a:cubicBezTo>
                <a:cubicBezTo>
                  <a:pt x="-546" y="57439"/>
                  <a:pt x="3718" y="86760"/>
                  <a:pt x="3718" y="86760"/>
                </a:cubicBezTo>
                <a:lnTo>
                  <a:pt x="106" y="91309"/>
                </a:lnTo>
                <a:lnTo>
                  <a:pt x="5" y="94331"/>
                </a:lnTo>
                <a:cubicBezTo>
                  <a:pt x="-137" y="98586"/>
                  <a:pt x="2722" y="102358"/>
                  <a:pt x="6856" y="103372"/>
                </a:cubicBezTo>
                <a:lnTo>
                  <a:pt x="10831" y="104355"/>
                </a:lnTo>
                <a:cubicBezTo>
                  <a:pt x="16965" y="105561"/>
                  <a:pt x="23187" y="106265"/>
                  <a:pt x="29435" y="106459"/>
                </a:cubicBezTo>
                <a:lnTo>
                  <a:pt x="38435" y="106965"/>
                </a:lnTo>
                <a:cubicBezTo>
                  <a:pt x="37885" y="104482"/>
                  <a:pt x="37603" y="101948"/>
                  <a:pt x="37595" y="99405"/>
                </a:cubicBezTo>
                <a:lnTo>
                  <a:pt x="29668" y="98955"/>
                </a:lnTo>
                <a:cubicBezTo>
                  <a:pt x="23890" y="98775"/>
                  <a:pt x="18137" y="98132"/>
                  <a:pt x="12463" y="97031"/>
                </a:cubicBezTo>
                <a:lnTo>
                  <a:pt x="8653" y="96086"/>
                </a:lnTo>
                <a:cubicBezTo>
                  <a:pt x="7973" y="95911"/>
                  <a:pt x="7505" y="95288"/>
                  <a:pt x="7528" y="94586"/>
                </a:cubicBezTo>
                <a:lnTo>
                  <a:pt x="7546" y="94039"/>
                </a:lnTo>
                <a:lnTo>
                  <a:pt x="9616" y="91414"/>
                </a:lnTo>
                <a:lnTo>
                  <a:pt x="11630" y="88879"/>
                </a:lnTo>
                <a:lnTo>
                  <a:pt x="11165" y="85672"/>
                </a:lnTo>
                <a:cubicBezTo>
                  <a:pt x="9511" y="74287"/>
                  <a:pt x="9643" y="61519"/>
                  <a:pt x="11416" y="58376"/>
                </a:cubicBezTo>
                <a:cubicBezTo>
                  <a:pt x="20349" y="52586"/>
                  <a:pt x="51515" y="41501"/>
                  <a:pt x="66001" y="37125"/>
                </a:cubicBezTo>
                <a:cubicBezTo>
                  <a:pt x="68416" y="36409"/>
                  <a:pt x="72001" y="35392"/>
                  <a:pt x="75414" y="34635"/>
                </a:cubicBezTo>
                <a:cubicBezTo>
                  <a:pt x="78915" y="33865"/>
                  <a:pt x="82532" y="33775"/>
                  <a:pt x="86068" y="34372"/>
                </a:cubicBezTo>
                <a:lnTo>
                  <a:pt x="137443" y="43852"/>
                </a:lnTo>
                <a:lnTo>
                  <a:pt x="140233" y="44396"/>
                </a:lnTo>
                <a:cubicBezTo>
                  <a:pt x="141570" y="44651"/>
                  <a:pt x="142929" y="44777"/>
                  <a:pt x="144290" y="44771"/>
                </a:cubicBezTo>
                <a:lnTo>
                  <a:pt x="195106" y="44771"/>
                </a:lnTo>
                <a:lnTo>
                  <a:pt x="195106" y="37455"/>
                </a:lnTo>
                <a:lnTo>
                  <a:pt x="202134" y="37455"/>
                </a:lnTo>
                <a:lnTo>
                  <a:pt x="242919" y="42589"/>
                </a:lnTo>
                <a:lnTo>
                  <a:pt x="243099" y="42611"/>
                </a:lnTo>
                <a:lnTo>
                  <a:pt x="243279" y="42611"/>
                </a:lnTo>
                <a:cubicBezTo>
                  <a:pt x="243680" y="42641"/>
                  <a:pt x="283565" y="45825"/>
                  <a:pt x="308124" y="57570"/>
                </a:cubicBezTo>
                <a:cubicBezTo>
                  <a:pt x="316835" y="61732"/>
                  <a:pt x="325659" y="71794"/>
                  <a:pt x="329900" y="76631"/>
                </a:cubicBezTo>
                <a:lnTo>
                  <a:pt x="330061" y="76815"/>
                </a:lnTo>
                <a:lnTo>
                  <a:pt x="330238" y="76987"/>
                </a:lnTo>
                <a:cubicBezTo>
                  <a:pt x="331938" y="78691"/>
                  <a:pt x="333753" y="80277"/>
                  <a:pt x="335671" y="81731"/>
                </a:cubicBezTo>
                <a:cubicBezTo>
                  <a:pt x="336889" y="82669"/>
                  <a:pt x="337603" y="84117"/>
                  <a:pt x="337606" y="85654"/>
                </a:cubicBezTo>
                <a:lnTo>
                  <a:pt x="337606" y="98089"/>
                </a:lnTo>
                <a:lnTo>
                  <a:pt x="311293" y="98089"/>
                </a:lnTo>
                <a:cubicBezTo>
                  <a:pt x="311293" y="98497"/>
                  <a:pt x="311356" y="98902"/>
                  <a:pt x="311356" y="99315"/>
                </a:cubicBezTo>
                <a:cubicBezTo>
                  <a:pt x="311345" y="101419"/>
                  <a:pt x="311149" y="103519"/>
                  <a:pt x="310768" y="105589"/>
                </a:cubicBezTo>
                <a:lnTo>
                  <a:pt x="345106" y="105589"/>
                </a:lnTo>
                <a:lnTo>
                  <a:pt x="345106" y="85669"/>
                </a:lnTo>
                <a:cubicBezTo>
                  <a:pt x="345096" y="81819"/>
                  <a:pt x="343315" y="78189"/>
                  <a:pt x="340276" y="75825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44" name="Freeform: Shape 143">
            <a:extLst>
              <a:ext uri="{FF2B5EF4-FFF2-40B4-BE49-F238E27FC236}">
                <a16:creationId xmlns:a16="http://schemas.microsoft.com/office/drawing/2014/main" id="{FF49F946-6FAC-4852-990E-85CCD1736F5B}"/>
              </a:ext>
            </a:extLst>
          </xdr:cNvPr>
          <xdr:cNvSpPr/>
        </xdr:nvSpPr>
        <xdr:spPr>
          <a:xfrm>
            <a:off x="10715578" y="8568139"/>
            <a:ext cx="56250" cy="56250"/>
          </a:xfrm>
          <a:custGeom>
            <a:avLst/>
            <a:gdLst>
              <a:gd name="connsiteX0" fmla="*/ 28125 w 56250"/>
              <a:gd name="connsiteY0" fmla="*/ 0 h 56250"/>
              <a:gd name="connsiteX1" fmla="*/ 0 w 56250"/>
              <a:gd name="connsiteY1" fmla="*/ 28125 h 56250"/>
              <a:gd name="connsiteX2" fmla="*/ 28125 w 56250"/>
              <a:gd name="connsiteY2" fmla="*/ 56250 h 56250"/>
              <a:gd name="connsiteX3" fmla="*/ 56250 w 56250"/>
              <a:gd name="connsiteY3" fmla="*/ 28125 h 56250"/>
              <a:gd name="connsiteX4" fmla="*/ 28125 w 56250"/>
              <a:gd name="connsiteY4" fmla="*/ 0 h 56250"/>
              <a:gd name="connsiteX5" fmla="*/ 28125 w 56250"/>
              <a:gd name="connsiteY5" fmla="*/ 48750 h 56250"/>
              <a:gd name="connsiteX6" fmla="*/ 7500 w 56250"/>
              <a:gd name="connsiteY6" fmla="*/ 28125 h 56250"/>
              <a:gd name="connsiteX7" fmla="*/ 28125 w 56250"/>
              <a:gd name="connsiteY7" fmla="*/ 7500 h 56250"/>
              <a:gd name="connsiteX8" fmla="*/ 48750 w 56250"/>
              <a:gd name="connsiteY8" fmla="*/ 28125 h 56250"/>
              <a:gd name="connsiteX9" fmla="*/ 28125 w 56250"/>
              <a:gd name="connsiteY9" fmla="*/ 48750 h 56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56250" h="56250">
                <a:moveTo>
                  <a:pt x="28125" y="0"/>
                </a:moveTo>
                <a:cubicBezTo>
                  <a:pt x="12592" y="0"/>
                  <a:pt x="0" y="12592"/>
                  <a:pt x="0" y="28125"/>
                </a:cubicBezTo>
                <a:cubicBezTo>
                  <a:pt x="0" y="43658"/>
                  <a:pt x="12592" y="56250"/>
                  <a:pt x="28125" y="56250"/>
                </a:cubicBezTo>
                <a:cubicBezTo>
                  <a:pt x="43658" y="56250"/>
                  <a:pt x="56250" y="43658"/>
                  <a:pt x="56250" y="28125"/>
                </a:cubicBezTo>
                <a:cubicBezTo>
                  <a:pt x="56234" y="12599"/>
                  <a:pt x="43651" y="16"/>
                  <a:pt x="28125" y="0"/>
                </a:cubicBezTo>
                <a:close/>
                <a:moveTo>
                  <a:pt x="28125" y="48750"/>
                </a:moveTo>
                <a:cubicBezTo>
                  <a:pt x="16734" y="48750"/>
                  <a:pt x="7500" y="39516"/>
                  <a:pt x="7500" y="28125"/>
                </a:cubicBezTo>
                <a:cubicBezTo>
                  <a:pt x="7500" y="16734"/>
                  <a:pt x="16734" y="7500"/>
                  <a:pt x="28125" y="7500"/>
                </a:cubicBezTo>
                <a:cubicBezTo>
                  <a:pt x="39516" y="7500"/>
                  <a:pt x="48750" y="16734"/>
                  <a:pt x="48750" y="28125"/>
                </a:cubicBezTo>
                <a:cubicBezTo>
                  <a:pt x="48738" y="39511"/>
                  <a:pt x="39511" y="48738"/>
                  <a:pt x="28125" y="4875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127191</xdr:colOff>
      <xdr:row>16</xdr:row>
      <xdr:rowOff>192677</xdr:rowOff>
    </xdr:from>
    <xdr:to>
      <xdr:col>4</xdr:col>
      <xdr:colOff>452129</xdr:colOff>
      <xdr:row>16</xdr:row>
      <xdr:rowOff>378821</xdr:rowOff>
    </xdr:to>
    <xdr:grpSp>
      <xdr:nvGrpSpPr>
        <xdr:cNvPr id="149" name="electric_car" descr="Electric car outline">
          <a:extLst>
            <a:ext uri="{FF2B5EF4-FFF2-40B4-BE49-F238E27FC236}">
              <a16:creationId xmlns:a16="http://schemas.microsoft.com/office/drawing/2014/main" id="{4B829208-9906-4F93-8D9E-A151997DB6EA}"/>
            </a:ext>
          </a:extLst>
        </xdr:cNvPr>
        <xdr:cNvGrpSpPr>
          <a:grpSpLocks noChangeAspect="1"/>
        </xdr:cNvGrpSpPr>
      </xdr:nvGrpSpPr>
      <xdr:grpSpPr>
        <a:xfrm>
          <a:off x="3451416" y="8117477"/>
          <a:ext cx="324938" cy="186144"/>
          <a:chOff x="11755684" y="9047839"/>
          <a:chExt cx="324938" cy="186144"/>
        </a:xfrm>
        <a:solidFill>
          <a:srgbClr val="1F4E78"/>
        </a:solidFill>
      </xdr:grpSpPr>
      <xdr:sp macro="" textlink="">
        <xdr:nvSpPr>
          <xdr:cNvPr id="150" name="Freeform: Shape 149">
            <a:extLst>
              <a:ext uri="{FF2B5EF4-FFF2-40B4-BE49-F238E27FC236}">
                <a16:creationId xmlns:a16="http://schemas.microsoft.com/office/drawing/2014/main" id="{7D614792-4092-4AFD-AAFE-844CDDF88720}"/>
              </a:ext>
            </a:extLst>
          </xdr:cNvPr>
          <xdr:cNvSpPr/>
        </xdr:nvSpPr>
        <xdr:spPr>
          <a:xfrm>
            <a:off x="11982599" y="9175386"/>
            <a:ext cx="59034" cy="58597"/>
          </a:xfrm>
          <a:custGeom>
            <a:avLst/>
            <a:gdLst>
              <a:gd name="connsiteX0" fmla="*/ 35306 w 59034"/>
              <a:gd name="connsiteY0" fmla="*/ 574 h 58597"/>
              <a:gd name="connsiteX1" fmla="*/ 578 w 59034"/>
              <a:gd name="connsiteY1" fmla="*/ 23557 h 58597"/>
              <a:gd name="connsiteX2" fmla="*/ 23735 w 59034"/>
              <a:gd name="connsiteY2" fmla="*/ 58024 h 58597"/>
              <a:gd name="connsiteX3" fmla="*/ 58463 w 59034"/>
              <a:gd name="connsiteY3" fmla="*/ 35041 h 58597"/>
              <a:gd name="connsiteX4" fmla="*/ 58463 w 59034"/>
              <a:gd name="connsiteY4" fmla="*/ 23561 h 58597"/>
              <a:gd name="connsiteX5" fmla="*/ 35306 w 59034"/>
              <a:gd name="connsiteY5" fmla="*/ 574 h 58597"/>
              <a:gd name="connsiteX6" fmla="*/ 34543 w 59034"/>
              <a:gd name="connsiteY6" fmla="*/ 50522 h 58597"/>
              <a:gd name="connsiteX7" fmla="*/ 8146 w 59034"/>
              <a:gd name="connsiteY7" fmla="*/ 34203 h 58597"/>
              <a:gd name="connsiteX8" fmla="*/ 8147 w 59034"/>
              <a:gd name="connsiteY8" fmla="*/ 24318 h 58597"/>
              <a:gd name="connsiteX9" fmla="*/ 24503 w 59034"/>
              <a:gd name="connsiteY9" fmla="*/ 8079 h 58597"/>
              <a:gd name="connsiteX10" fmla="*/ 50902 w 59034"/>
              <a:gd name="connsiteY10" fmla="*/ 24393 h 58597"/>
              <a:gd name="connsiteX11" fmla="*/ 50901 w 59034"/>
              <a:gd name="connsiteY11" fmla="*/ 34288 h 58597"/>
              <a:gd name="connsiteX12" fmla="*/ 34543 w 59034"/>
              <a:gd name="connsiteY12" fmla="*/ 50522 h 5859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59034" h="58597">
                <a:moveTo>
                  <a:pt x="35306" y="574"/>
                </a:moveTo>
                <a:cubicBezTo>
                  <a:pt x="19321" y="-2597"/>
                  <a:pt x="3774" y="7693"/>
                  <a:pt x="578" y="23557"/>
                </a:cubicBezTo>
                <a:cubicBezTo>
                  <a:pt x="-2617" y="39421"/>
                  <a:pt x="7751" y="54853"/>
                  <a:pt x="23735" y="58024"/>
                </a:cubicBezTo>
                <a:cubicBezTo>
                  <a:pt x="39719" y="61195"/>
                  <a:pt x="55267" y="50905"/>
                  <a:pt x="58463" y="35041"/>
                </a:cubicBezTo>
                <a:cubicBezTo>
                  <a:pt x="59225" y="31252"/>
                  <a:pt x="59226" y="27350"/>
                  <a:pt x="58463" y="23561"/>
                </a:cubicBezTo>
                <a:cubicBezTo>
                  <a:pt x="56119" y="11966"/>
                  <a:pt x="46988" y="2902"/>
                  <a:pt x="35306" y="574"/>
                </a:cubicBezTo>
                <a:close/>
                <a:moveTo>
                  <a:pt x="34543" y="50522"/>
                </a:moveTo>
                <a:cubicBezTo>
                  <a:pt x="22713" y="53250"/>
                  <a:pt x="10895" y="45944"/>
                  <a:pt x="8146" y="34203"/>
                </a:cubicBezTo>
                <a:cubicBezTo>
                  <a:pt x="7385" y="30952"/>
                  <a:pt x="7385" y="27570"/>
                  <a:pt x="8147" y="24318"/>
                </a:cubicBezTo>
                <a:cubicBezTo>
                  <a:pt x="10009" y="16239"/>
                  <a:pt x="16364" y="9929"/>
                  <a:pt x="24503" y="8079"/>
                </a:cubicBezTo>
                <a:cubicBezTo>
                  <a:pt x="36332" y="5348"/>
                  <a:pt x="48152" y="12652"/>
                  <a:pt x="50902" y="24393"/>
                </a:cubicBezTo>
                <a:cubicBezTo>
                  <a:pt x="51665" y="27648"/>
                  <a:pt x="51665" y="31033"/>
                  <a:pt x="50901" y="34288"/>
                </a:cubicBezTo>
                <a:cubicBezTo>
                  <a:pt x="49037" y="42365"/>
                  <a:pt x="42682" y="48673"/>
                  <a:pt x="34543" y="5052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51" name="Freeform: Shape 150">
            <a:extLst>
              <a:ext uri="{FF2B5EF4-FFF2-40B4-BE49-F238E27FC236}">
                <a16:creationId xmlns:a16="http://schemas.microsoft.com/office/drawing/2014/main" id="{94392D55-88BF-4F12-BC77-E525E2510D01}"/>
              </a:ext>
            </a:extLst>
          </xdr:cNvPr>
          <xdr:cNvSpPr/>
        </xdr:nvSpPr>
        <xdr:spPr>
          <a:xfrm>
            <a:off x="11904245" y="9201589"/>
            <a:ext cx="71122" cy="7500"/>
          </a:xfrm>
          <a:custGeom>
            <a:avLst/>
            <a:gdLst>
              <a:gd name="connsiteX0" fmla="*/ 70989 w 71122"/>
              <a:gd name="connsiteY0" fmla="*/ 0 h 7500"/>
              <a:gd name="connsiteX1" fmla="*/ 134 w 71122"/>
              <a:gd name="connsiteY1" fmla="*/ 0 h 7500"/>
              <a:gd name="connsiteX2" fmla="*/ 292 w 71122"/>
              <a:gd name="connsiteY2" fmla="*/ 3096 h 7500"/>
              <a:gd name="connsiteX3" fmla="*/ 0 w 71122"/>
              <a:gd name="connsiteY3" fmla="*/ 7500 h 7500"/>
              <a:gd name="connsiteX4" fmla="*/ 71123 w 71122"/>
              <a:gd name="connsiteY4" fmla="*/ 7500 h 7500"/>
              <a:gd name="connsiteX5" fmla="*/ 70831 w 71122"/>
              <a:gd name="connsiteY5" fmla="*/ 3096 h 7500"/>
              <a:gd name="connsiteX6" fmla="*/ 70989 w 71122"/>
              <a:gd name="connsiteY6" fmla="*/ 0 h 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1122" h="7500">
                <a:moveTo>
                  <a:pt x="70989" y="0"/>
                </a:moveTo>
                <a:lnTo>
                  <a:pt x="134" y="0"/>
                </a:lnTo>
                <a:cubicBezTo>
                  <a:pt x="220" y="1023"/>
                  <a:pt x="292" y="2051"/>
                  <a:pt x="292" y="3096"/>
                </a:cubicBezTo>
                <a:cubicBezTo>
                  <a:pt x="283" y="4569"/>
                  <a:pt x="186" y="6039"/>
                  <a:pt x="0" y="7500"/>
                </a:cubicBezTo>
                <a:lnTo>
                  <a:pt x="71123" y="7500"/>
                </a:lnTo>
                <a:cubicBezTo>
                  <a:pt x="70937" y="6039"/>
                  <a:pt x="70840" y="4569"/>
                  <a:pt x="70831" y="3096"/>
                </a:cubicBezTo>
                <a:cubicBezTo>
                  <a:pt x="70831" y="2051"/>
                  <a:pt x="70903" y="1023"/>
                  <a:pt x="70989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52" name="Freeform: Shape 151">
            <a:extLst>
              <a:ext uri="{FF2B5EF4-FFF2-40B4-BE49-F238E27FC236}">
                <a16:creationId xmlns:a16="http://schemas.microsoft.com/office/drawing/2014/main" id="{E017A49C-1166-48F7-91C2-88ADD57A0943}"/>
              </a:ext>
            </a:extLst>
          </xdr:cNvPr>
          <xdr:cNvSpPr/>
        </xdr:nvSpPr>
        <xdr:spPr>
          <a:xfrm>
            <a:off x="11755684" y="9047839"/>
            <a:ext cx="324938" cy="161250"/>
          </a:xfrm>
          <a:custGeom>
            <a:avLst/>
            <a:gdLst>
              <a:gd name="connsiteX0" fmla="*/ 292364 w 324938"/>
              <a:gd name="connsiteY0" fmla="*/ 96629 h 161250"/>
              <a:gd name="connsiteX1" fmla="*/ 266440 w 324938"/>
              <a:gd name="connsiteY1" fmla="*/ 96629 h 161250"/>
              <a:gd name="connsiteX2" fmla="*/ 266289 w 324938"/>
              <a:gd name="connsiteY2" fmla="*/ 96598 h 161250"/>
              <a:gd name="connsiteX3" fmla="*/ 265078 w 324938"/>
              <a:gd name="connsiteY3" fmla="*/ 96598 h 161250"/>
              <a:gd name="connsiteX4" fmla="*/ 256305 w 324938"/>
              <a:gd name="connsiteY4" fmla="*/ 92792 h 161250"/>
              <a:gd name="connsiteX5" fmla="*/ 215318 w 324938"/>
              <a:gd name="connsiteY5" fmla="*/ 52427 h 161250"/>
              <a:gd name="connsiteX6" fmla="*/ 196777 w 324938"/>
              <a:gd name="connsiteY6" fmla="*/ 45000 h 161250"/>
              <a:gd name="connsiteX7" fmla="*/ 107281 w 324938"/>
              <a:gd name="connsiteY7" fmla="*/ 45000 h 161250"/>
              <a:gd name="connsiteX8" fmla="*/ 88740 w 324938"/>
              <a:gd name="connsiteY8" fmla="*/ 52425 h 161250"/>
              <a:gd name="connsiteX9" fmla="*/ 48405 w 324938"/>
              <a:gd name="connsiteY9" fmla="*/ 92792 h 161250"/>
              <a:gd name="connsiteX10" fmla="*/ 44502 w 324938"/>
              <a:gd name="connsiteY10" fmla="*/ 102156 h 161250"/>
              <a:gd name="connsiteX11" fmla="*/ 44502 w 324938"/>
              <a:gd name="connsiteY11" fmla="*/ 127500 h 161250"/>
              <a:gd name="connsiteX12" fmla="*/ 34005 w 324938"/>
              <a:gd name="connsiteY12" fmla="*/ 127500 h 161250"/>
              <a:gd name="connsiteX13" fmla="*/ 22670 w 324938"/>
              <a:gd name="connsiteY13" fmla="*/ 116250 h 161250"/>
              <a:gd name="connsiteX14" fmla="*/ 22670 w 324938"/>
              <a:gd name="connsiteY14" fmla="*/ 52121 h 161250"/>
              <a:gd name="connsiteX15" fmla="*/ 37784 w 324938"/>
              <a:gd name="connsiteY15" fmla="*/ 33750 h 161250"/>
              <a:gd name="connsiteX16" fmla="*/ 37784 w 324938"/>
              <a:gd name="connsiteY16" fmla="*/ 18750 h 161250"/>
              <a:gd name="connsiteX17" fmla="*/ 32116 w 324938"/>
              <a:gd name="connsiteY17" fmla="*/ 18750 h 161250"/>
              <a:gd name="connsiteX18" fmla="*/ 32116 w 324938"/>
              <a:gd name="connsiteY18" fmla="*/ 3750 h 161250"/>
              <a:gd name="connsiteX19" fmla="*/ 28338 w 324938"/>
              <a:gd name="connsiteY19" fmla="*/ 0 h 161250"/>
              <a:gd name="connsiteX20" fmla="*/ 24559 w 324938"/>
              <a:gd name="connsiteY20" fmla="*/ 3750 h 161250"/>
              <a:gd name="connsiteX21" fmla="*/ 24559 w 324938"/>
              <a:gd name="connsiteY21" fmla="*/ 18750 h 161250"/>
              <a:gd name="connsiteX22" fmla="*/ 13224 w 324938"/>
              <a:gd name="connsiteY22" fmla="*/ 18750 h 161250"/>
              <a:gd name="connsiteX23" fmla="*/ 13224 w 324938"/>
              <a:gd name="connsiteY23" fmla="*/ 3750 h 161250"/>
              <a:gd name="connsiteX24" fmla="*/ 9446 w 324938"/>
              <a:gd name="connsiteY24" fmla="*/ 0 h 161250"/>
              <a:gd name="connsiteX25" fmla="*/ 5668 w 324938"/>
              <a:gd name="connsiteY25" fmla="*/ 3750 h 161250"/>
              <a:gd name="connsiteX26" fmla="*/ 5668 w 324938"/>
              <a:gd name="connsiteY26" fmla="*/ 18750 h 161250"/>
              <a:gd name="connsiteX27" fmla="*/ 0 w 324938"/>
              <a:gd name="connsiteY27" fmla="*/ 18750 h 161250"/>
              <a:gd name="connsiteX28" fmla="*/ 0 w 324938"/>
              <a:gd name="connsiteY28" fmla="*/ 33750 h 161250"/>
              <a:gd name="connsiteX29" fmla="*/ 15113 w 324938"/>
              <a:gd name="connsiteY29" fmla="*/ 52121 h 161250"/>
              <a:gd name="connsiteX30" fmla="*/ 15113 w 324938"/>
              <a:gd name="connsiteY30" fmla="*/ 116250 h 161250"/>
              <a:gd name="connsiteX31" fmla="*/ 34005 w 324938"/>
              <a:gd name="connsiteY31" fmla="*/ 135000 h 161250"/>
              <a:gd name="connsiteX32" fmla="*/ 44502 w 324938"/>
              <a:gd name="connsiteY32" fmla="*/ 135000 h 161250"/>
              <a:gd name="connsiteX33" fmla="*/ 44502 w 324938"/>
              <a:gd name="connsiteY33" fmla="*/ 135417 h 161250"/>
              <a:gd name="connsiteX34" fmla="*/ 70531 w 324938"/>
              <a:gd name="connsiteY34" fmla="*/ 161250 h 161250"/>
              <a:gd name="connsiteX35" fmla="*/ 75049 w 324938"/>
              <a:gd name="connsiteY35" fmla="*/ 161250 h 161250"/>
              <a:gd name="connsiteX36" fmla="*/ 74757 w 324938"/>
              <a:gd name="connsiteY36" fmla="*/ 156846 h 161250"/>
              <a:gd name="connsiteX37" fmla="*/ 74915 w 324938"/>
              <a:gd name="connsiteY37" fmla="*/ 153750 h 161250"/>
              <a:gd name="connsiteX38" fmla="*/ 70524 w 324938"/>
              <a:gd name="connsiteY38" fmla="*/ 153750 h 161250"/>
              <a:gd name="connsiteX39" fmla="*/ 52058 w 324938"/>
              <a:gd name="connsiteY39" fmla="*/ 135423 h 161250"/>
              <a:gd name="connsiteX40" fmla="*/ 52058 w 324938"/>
              <a:gd name="connsiteY40" fmla="*/ 104100 h 161250"/>
              <a:gd name="connsiteX41" fmla="*/ 265097 w 324938"/>
              <a:gd name="connsiteY41" fmla="*/ 104100 h 161250"/>
              <a:gd name="connsiteX42" fmla="*/ 265412 w 324938"/>
              <a:gd name="connsiteY42" fmla="*/ 104130 h 161250"/>
              <a:gd name="connsiteX43" fmla="*/ 292410 w 324938"/>
              <a:gd name="connsiteY43" fmla="*/ 104130 h 161250"/>
              <a:gd name="connsiteX44" fmla="*/ 317382 w 324938"/>
              <a:gd name="connsiteY44" fmla="*/ 128914 h 161250"/>
              <a:gd name="connsiteX45" fmla="*/ 317382 w 324938"/>
              <a:gd name="connsiteY45" fmla="*/ 148336 h 161250"/>
              <a:gd name="connsiteX46" fmla="*/ 311925 w 324938"/>
              <a:gd name="connsiteY46" fmla="*/ 153750 h 161250"/>
              <a:gd name="connsiteX47" fmla="*/ 293329 w 324938"/>
              <a:gd name="connsiteY47" fmla="*/ 153750 h 161250"/>
              <a:gd name="connsiteX48" fmla="*/ 293487 w 324938"/>
              <a:gd name="connsiteY48" fmla="*/ 156846 h 161250"/>
              <a:gd name="connsiteX49" fmla="*/ 293195 w 324938"/>
              <a:gd name="connsiteY49" fmla="*/ 161250 h 161250"/>
              <a:gd name="connsiteX50" fmla="*/ 311927 w 324938"/>
              <a:gd name="connsiteY50" fmla="*/ 161250 h 161250"/>
              <a:gd name="connsiteX51" fmla="*/ 324938 w 324938"/>
              <a:gd name="connsiteY51" fmla="*/ 148337 h 161250"/>
              <a:gd name="connsiteX52" fmla="*/ 324938 w 324938"/>
              <a:gd name="connsiteY52" fmla="*/ 128958 h 161250"/>
              <a:gd name="connsiteX53" fmla="*/ 292364 w 324938"/>
              <a:gd name="connsiteY53" fmla="*/ 96629 h 161250"/>
              <a:gd name="connsiteX54" fmla="*/ 7557 w 324938"/>
              <a:gd name="connsiteY54" fmla="*/ 33306 h 161250"/>
              <a:gd name="connsiteX55" fmla="*/ 7557 w 324938"/>
              <a:gd name="connsiteY55" fmla="*/ 26250 h 161250"/>
              <a:gd name="connsiteX56" fmla="*/ 30227 w 324938"/>
              <a:gd name="connsiteY56" fmla="*/ 26250 h 161250"/>
              <a:gd name="connsiteX57" fmla="*/ 30227 w 324938"/>
              <a:gd name="connsiteY57" fmla="*/ 33750 h 161250"/>
              <a:gd name="connsiteX58" fmla="*/ 18859 w 324938"/>
              <a:gd name="connsiteY58" fmla="*/ 45003 h 161250"/>
              <a:gd name="connsiteX59" fmla="*/ 16633 w 324938"/>
              <a:gd name="connsiteY59" fmla="*/ 44782 h 161250"/>
              <a:gd name="connsiteX60" fmla="*/ 7557 w 324938"/>
              <a:gd name="connsiteY60" fmla="*/ 33306 h 161250"/>
              <a:gd name="connsiteX61" fmla="*/ 209996 w 324938"/>
              <a:gd name="connsiteY61" fmla="*/ 57750 h 161250"/>
              <a:gd name="connsiteX62" fmla="*/ 249440 w 324938"/>
              <a:gd name="connsiteY62" fmla="*/ 96600 h 161250"/>
              <a:gd name="connsiteX63" fmla="*/ 151134 w 324938"/>
              <a:gd name="connsiteY63" fmla="*/ 96600 h 161250"/>
              <a:gd name="connsiteX64" fmla="*/ 151134 w 324938"/>
              <a:gd name="connsiteY64" fmla="*/ 52500 h 161250"/>
              <a:gd name="connsiteX65" fmla="*/ 196777 w 324938"/>
              <a:gd name="connsiteY65" fmla="*/ 52500 h 161250"/>
              <a:gd name="connsiteX66" fmla="*/ 209996 w 324938"/>
              <a:gd name="connsiteY66" fmla="*/ 57750 h 161250"/>
              <a:gd name="connsiteX67" fmla="*/ 94084 w 324938"/>
              <a:gd name="connsiteY67" fmla="*/ 57729 h 161250"/>
              <a:gd name="connsiteX68" fmla="*/ 107281 w 324938"/>
              <a:gd name="connsiteY68" fmla="*/ 52500 h 161250"/>
              <a:gd name="connsiteX69" fmla="*/ 143577 w 324938"/>
              <a:gd name="connsiteY69" fmla="*/ 52500 h 161250"/>
              <a:gd name="connsiteX70" fmla="*/ 143577 w 324938"/>
              <a:gd name="connsiteY70" fmla="*/ 96600 h 161250"/>
              <a:gd name="connsiteX71" fmla="*/ 55335 w 324938"/>
              <a:gd name="connsiteY71" fmla="*/ 96600 h 161250"/>
              <a:gd name="connsiteX72" fmla="*/ 55308 w 324938"/>
              <a:gd name="connsiteY72" fmla="*/ 96536 h 16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</a:cxnLst>
            <a:rect l="l" t="t" r="r" b="b"/>
            <a:pathLst>
              <a:path w="324938" h="161250">
                <a:moveTo>
                  <a:pt x="292364" y="96629"/>
                </a:moveTo>
                <a:lnTo>
                  <a:pt x="266440" y="96629"/>
                </a:lnTo>
                <a:cubicBezTo>
                  <a:pt x="266387" y="96627"/>
                  <a:pt x="266343" y="96598"/>
                  <a:pt x="266289" y="96598"/>
                </a:cubicBezTo>
                <a:lnTo>
                  <a:pt x="265078" y="96598"/>
                </a:lnTo>
                <a:cubicBezTo>
                  <a:pt x="261740" y="96630"/>
                  <a:pt x="258548" y="95245"/>
                  <a:pt x="256305" y="92792"/>
                </a:cubicBezTo>
                <a:lnTo>
                  <a:pt x="215318" y="52427"/>
                </a:lnTo>
                <a:cubicBezTo>
                  <a:pt x="210396" y="47577"/>
                  <a:pt x="203712" y="44900"/>
                  <a:pt x="196777" y="45000"/>
                </a:cubicBezTo>
                <a:lnTo>
                  <a:pt x="107281" y="45000"/>
                </a:lnTo>
                <a:cubicBezTo>
                  <a:pt x="100358" y="44960"/>
                  <a:pt x="93697" y="47628"/>
                  <a:pt x="88740" y="52425"/>
                </a:cubicBezTo>
                <a:lnTo>
                  <a:pt x="48405" y="92792"/>
                </a:lnTo>
                <a:cubicBezTo>
                  <a:pt x="45875" y="95256"/>
                  <a:pt x="44465" y="98638"/>
                  <a:pt x="44502" y="102156"/>
                </a:cubicBezTo>
                <a:lnTo>
                  <a:pt x="44502" y="127500"/>
                </a:lnTo>
                <a:lnTo>
                  <a:pt x="34005" y="127500"/>
                </a:lnTo>
                <a:cubicBezTo>
                  <a:pt x="27745" y="127500"/>
                  <a:pt x="22670" y="122463"/>
                  <a:pt x="22670" y="116250"/>
                </a:cubicBezTo>
                <a:lnTo>
                  <a:pt x="22670" y="52121"/>
                </a:lnTo>
                <a:cubicBezTo>
                  <a:pt x="31459" y="50328"/>
                  <a:pt x="37771" y="42656"/>
                  <a:pt x="37784" y="33750"/>
                </a:cubicBezTo>
                <a:lnTo>
                  <a:pt x="37784" y="18750"/>
                </a:lnTo>
                <a:lnTo>
                  <a:pt x="32116" y="18750"/>
                </a:lnTo>
                <a:lnTo>
                  <a:pt x="32116" y="3750"/>
                </a:lnTo>
                <a:cubicBezTo>
                  <a:pt x="32116" y="1679"/>
                  <a:pt x="30424" y="0"/>
                  <a:pt x="28338" y="0"/>
                </a:cubicBezTo>
                <a:cubicBezTo>
                  <a:pt x="26251" y="0"/>
                  <a:pt x="24559" y="1679"/>
                  <a:pt x="24559" y="3750"/>
                </a:cubicBezTo>
                <a:lnTo>
                  <a:pt x="24559" y="18750"/>
                </a:lnTo>
                <a:lnTo>
                  <a:pt x="13224" y="18750"/>
                </a:lnTo>
                <a:lnTo>
                  <a:pt x="13224" y="3750"/>
                </a:lnTo>
                <a:cubicBezTo>
                  <a:pt x="13224" y="1679"/>
                  <a:pt x="11533" y="0"/>
                  <a:pt x="9446" y="0"/>
                </a:cubicBezTo>
                <a:cubicBezTo>
                  <a:pt x="7359" y="0"/>
                  <a:pt x="5668" y="1679"/>
                  <a:pt x="5668" y="3750"/>
                </a:cubicBezTo>
                <a:lnTo>
                  <a:pt x="5668" y="18750"/>
                </a:lnTo>
                <a:lnTo>
                  <a:pt x="0" y="18750"/>
                </a:lnTo>
                <a:lnTo>
                  <a:pt x="0" y="33750"/>
                </a:lnTo>
                <a:cubicBezTo>
                  <a:pt x="12" y="42656"/>
                  <a:pt x="6324" y="50328"/>
                  <a:pt x="15113" y="52121"/>
                </a:cubicBezTo>
                <a:lnTo>
                  <a:pt x="15113" y="116250"/>
                </a:lnTo>
                <a:cubicBezTo>
                  <a:pt x="15113" y="126605"/>
                  <a:pt x="23572" y="135000"/>
                  <a:pt x="34005" y="135000"/>
                </a:cubicBezTo>
                <a:lnTo>
                  <a:pt x="44502" y="135000"/>
                </a:lnTo>
                <a:lnTo>
                  <a:pt x="44502" y="135417"/>
                </a:lnTo>
                <a:cubicBezTo>
                  <a:pt x="44544" y="149667"/>
                  <a:pt x="56173" y="161208"/>
                  <a:pt x="70531" y="161250"/>
                </a:cubicBezTo>
                <a:lnTo>
                  <a:pt x="75049" y="161250"/>
                </a:lnTo>
                <a:cubicBezTo>
                  <a:pt x="74863" y="159789"/>
                  <a:pt x="74765" y="158319"/>
                  <a:pt x="74757" y="156846"/>
                </a:cubicBezTo>
                <a:cubicBezTo>
                  <a:pt x="74757" y="155801"/>
                  <a:pt x="74829" y="154773"/>
                  <a:pt x="74915" y="153750"/>
                </a:cubicBezTo>
                <a:lnTo>
                  <a:pt x="70524" y="153750"/>
                </a:lnTo>
                <a:cubicBezTo>
                  <a:pt x="60326" y="153750"/>
                  <a:pt x="52058" y="145544"/>
                  <a:pt x="52058" y="135423"/>
                </a:cubicBezTo>
                <a:lnTo>
                  <a:pt x="52058" y="104100"/>
                </a:lnTo>
                <a:lnTo>
                  <a:pt x="265097" y="104100"/>
                </a:lnTo>
                <a:cubicBezTo>
                  <a:pt x="265205" y="104100"/>
                  <a:pt x="265304" y="104130"/>
                  <a:pt x="265412" y="104130"/>
                </a:cubicBezTo>
                <a:lnTo>
                  <a:pt x="292410" y="104130"/>
                </a:lnTo>
                <a:cubicBezTo>
                  <a:pt x="306202" y="104130"/>
                  <a:pt x="317381" y="115226"/>
                  <a:pt x="317382" y="128914"/>
                </a:cubicBezTo>
                <a:lnTo>
                  <a:pt x="317382" y="148336"/>
                </a:lnTo>
                <a:cubicBezTo>
                  <a:pt x="317381" y="151326"/>
                  <a:pt x="314938" y="153750"/>
                  <a:pt x="311925" y="153750"/>
                </a:cubicBezTo>
                <a:lnTo>
                  <a:pt x="293329" y="153750"/>
                </a:lnTo>
                <a:cubicBezTo>
                  <a:pt x="293415" y="154773"/>
                  <a:pt x="293487" y="155801"/>
                  <a:pt x="293487" y="156846"/>
                </a:cubicBezTo>
                <a:cubicBezTo>
                  <a:pt x="293478" y="158319"/>
                  <a:pt x="293381" y="159789"/>
                  <a:pt x="293195" y="161250"/>
                </a:cubicBezTo>
                <a:lnTo>
                  <a:pt x="311927" y="161250"/>
                </a:lnTo>
                <a:cubicBezTo>
                  <a:pt x="319104" y="161229"/>
                  <a:pt x="324918" y="155460"/>
                  <a:pt x="324938" y="148337"/>
                </a:cubicBezTo>
                <a:lnTo>
                  <a:pt x="324938" y="128958"/>
                </a:lnTo>
                <a:cubicBezTo>
                  <a:pt x="324886" y="111125"/>
                  <a:pt x="310332" y="96681"/>
                  <a:pt x="292364" y="96629"/>
                </a:cubicBezTo>
                <a:close/>
                <a:moveTo>
                  <a:pt x="7557" y="33306"/>
                </a:moveTo>
                <a:lnTo>
                  <a:pt x="7557" y="26250"/>
                </a:lnTo>
                <a:lnTo>
                  <a:pt x="30227" y="26250"/>
                </a:lnTo>
                <a:lnTo>
                  <a:pt x="30227" y="33750"/>
                </a:lnTo>
                <a:cubicBezTo>
                  <a:pt x="30219" y="39973"/>
                  <a:pt x="25129" y="45012"/>
                  <a:pt x="18859" y="45003"/>
                </a:cubicBezTo>
                <a:cubicBezTo>
                  <a:pt x="18111" y="45003"/>
                  <a:pt x="17366" y="44928"/>
                  <a:pt x="16633" y="44782"/>
                </a:cubicBezTo>
                <a:cubicBezTo>
                  <a:pt x="11248" y="43577"/>
                  <a:pt x="7457" y="38784"/>
                  <a:pt x="7557" y="33306"/>
                </a:cubicBezTo>
                <a:close/>
                <a:moveTo>
                  <a:pt x="209996" y="57750"/>
                </a:moveTo>
                <a:lnTo>
                  <a:pt x="249440" y="96600"/>
                </a:lnTo>
                <a:lnTo>
                  <a:pt x="151134" y="96600"/>
                </a:lnTo>
                <a:lnTo>
                  <a:pt x="151134" y="52500"/>
                </a:lnTo>
                <a:lnTo>
                  <a:pt x="196777" y="52500"/>
                </a:lnTo>
                <a:cubicBezTo>
                  <a:pt x="201718" y="52400"/>
                  <a:pt x="206489" y="54294"/>
                  <a:pt x="209996" y="57750"/>
                </a:cubicBezTo>
                <a:close/>
                <a:moveTo>
                  <a:pt x="94084" y="57729"/>
                </a:moveTo>
                <a:cubicBezTo>
                  <a:pt x="97619" y="54331"/>
                  <a:pt x="102361" y="52453"/>
                  <a:pt x="107281" y="52500"/>
                </a:cubicBezTo>
                <a:lnTo>
                  <a:pt x="143577" y="52500"/>
                </a:lnTo>
                <a:lnTo>
                  <a:pt x="143577" y="96600"/>
                </a:lnTo>
                <a:lnTo>
                  <a:pt x="55335" y="96600"/>
                </a:lnTo>
                <a:cubicBezTo>
                  <a:pt x="55285" y="96600"/>
                  <a:pt x="55273" y="96572"/>
                  <a:pt x="55308" y="9653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53" name="Freeform: Shape 152">
            <a:extLst>
              <a:ext uri="{FF2B5EF4-FFF2-40B4-BE49-F238E27FC236}">
                <a16:creationId xmlns:a16="http://schemas.microsoft.com/office/drawing/2014/main" id="{B3ADE338-2A37-4E97-8AEE-61B95DBAD196}"/>
              </a:ext>
            </a:extLst>
          </xdr:cNvPr>
          <xdr:cNvSpPr/>
        </xdr:nvSpPr>
        <xdr:spPr>
          <a:xfrm>
            <a:off x="11837964" y="9175386"/>
            <a:ext cx="59034" cy="58597"/>
          </a:xfrm>
          <a:custGeom>
            <a:avLst/>
            <a:gdLst>
              <a:gd name="connsiteX0" fmla="*/ 35305 w 59034"/>
              <a:gd name="connsiteY0" fmla="*/ 574 h 58597"/>
              <a:gd name="connsiteX1" fmla="*/ 578 w 59034"/>
              <a:gd name="connsiteY1" fmla="*/ 23557 h 58597"/>
              <a:gd name="connsiteX2" fmla="*/ 23735 w 59034"/>
              <a:gd name="connsiteY2" fmla="*/ 58024 h 58597"/>
              <a:gd name="connsiteX3" fmla="*/ 58463 w 59034"/>
              <a:gd name="connsiteY3" fmla="*/ 35040 h 58597"/>
              <a:gd name="connsiteX4" fmla="*/ 58463 w 59034"/>
              <a:gd name="connsiteY4" fmla="*/ 23561 h 58597"/>
              <a:gd name="connsiteX5" fmla="*/ 35305 w 59034"/>
              <a:gd name="connsiteY5" fmla="*/ 574 h 58597"/>
              <a:gd name="connsiteX6" fmla="*/ 34543 w 59034"/>
              <a:gd name="connsiteY6" fmla="*/ 50522 h 58597"/>
              <a:gd name="connsiteX7" fmla="*/ 8147 w 59034"/>
              <a:gd name="connsiteY7" fmla="*/ 34203 h 58597"/>
              <a:gd name="connsiteX8" fmla="*/ 8148 w 59034"/>
              <a:gd name="connsiteY8" fmla="*/ 24317 h 58597"/>
              <a:gd name="connsiteX9" fmla="*/ 24503 w 59034"/>
              <a:gd name="connsiteY9" fmla="*/ 8080 h 58597"/>
              <a:gd name="connsiteX10" fmla="*/ 50903 w 59034"/>
              <a:gd name="connsiteY10" fmla="*/ 24394 h 58597"/>
              <a:gd name="connsiteX11" fmla="*/ 50901 w 59034"/>
              <a:gd name="connsiteY11" fmla="*/ 34288 h 58597"/>
              <a:gd name="connsiteX12" fmla="*/ 34543 w 59034"/>
              <a:gd name="connsiteY12" fmla="*/ 50522 h 5859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59034" h="58597">
                <a:moveTo>
                  <a:pt x="35305" y="574"/>
                </a:moveTo>
                <a:cubicBezTo>
                  <a:pt x="19321" y="-2597"/>
                  <a:pt x="3773" y="7693"/>
                  <a:pt x="578" y="23557"/>
                </a:cubicBezTo>
                <a:cubicBezTo>
                  <a:pt x="-2617" y="39422"/>
                  <a:pt x="7751" y="54853"/>
                  <a:pt x="23735" y="58024"/>
                </a:cubicBezTo>
                <a:cubicBezTo>
                  <a:pt x="39720" y="61195"/>
                  <a:pt x="55268" y="50905"/>
                  <a:pt x="58463" y="35040"/>
                </a:cubicBezTo>
                <a:cubicBezTo>
                  <a:pt x="59225" y="31251"/>
                  <a:pt x="59226" y="27350"/>
                  <a:pt x="58463" y="23561"/>
                </a:cubicBezTo>
                <a:cubicBezTo>
                  <a:pt x="56119" y="11966"/>
                  <a:pt x="46988" y="2902"/>
                  <a:pt x="35305" y="574"/>
                </a:cubicBezTo>
                <a:close/>
                <a:moveTo>
                  <a:pt x="34543" y="50522"/>
                </a:moveTo>
                <a:cubicBezTo>
                  <a:pt x="22714" y="53250"/>
                  <a:pt x="10895" y="45944"/>
                  <a:pt x="8147" y="34203"/>
                </a:cubicBezTo>
                <a:cubicBezTo>
                  <a:pt x="7385" y="30951"/>
                  <a:pt x="7385" y="27569"/>
                  <a:pt x="8148" y="24317"/>
                </a:cubicBezTo>
                <a:cubicBezTo>
                  <a:pt x="10010" y="16239"/>
                  <a:pt x="16365" y="9930"/>
                  <a:pt x="24503" y="8080"/>
                </a:cubicBezTo>
                <a:cubicBezTo>
                  <a:pt x="36333" y="5349"/>
                  <a:pt x="48152" y="12654"/>
                  <a:pt x="50903" y="24394"/>
                </a:cubicBezTo>
                <a:cubicBezTo>
                  <a:pt x="51666" y="27649"/>
                  <a:pt x="51665" y="31034"/>
                  <a:pt x="50901" y="34288"/>
                </a:cubicBezTo>
                <a:cubicBezTo>
                  <a:pt x="49037" y="42365"/>
                  <a:pt x="42682" y="48672"/>
                  <a:pt x="34543" y="5052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8</xdr:col>
      <xdr:colOff>152704</xdr:colOff>
      <xdr:row>17</xdr:row>
      <xdr:rowOff>153267</xdr:rowOff>
    </xdr:from>
    <xdr:to>
      <xdr:col>8</xdr:col>
      <xdr:colOff>426463</xdr:colOff>
      <xdr:row>17</xdr:row>
      <xdr:rowOff>434411</xdr:rowOff>
    </xdr:to>
    <xdr:grpSp>
      <xdr:nvGrpSpPr>
        <xdr:cNvPr id="154" name="oilcan" descr="Fuel outline">
          <a:extLst>
            <a:ext uri="{FF2B5EF4-FFF2-40B4-BE49-F238E27FC236}">
              <a16:creationId xmlns:a16="http://schemas.microsoft.com/office/drawing/2014/main" id="{A46049A9-778C-4830-897F-CAF8AC0B57CD}"/>
            </a:ext>
          </a:extLst>
        </xdr:cNvPr>
        <xdr:cNvGrpSpPr>
          <a:grpSpLocks noChangeAspect="1"/>
        </xdr:cNvGrpSpPr>
      </xdr:nvGrpSpPr>
      <xdr:grpSpPr>
        <a:xfrm>
          <a:off x="7267879" y="8706717"/>
          <a:ext cx="273759" cy="281144"/>
          <a:chOff x="10502065" y="8999194"/>
          <a:chExt cx="273759" cy="281144"/>
        </a:xfrm>
        <a:solidFill>
          <a:srgbClr val="1F4E78"/>
        </a:solidFill>
      </xdr:grpSpPr>
      <xdr:sp macro="" textlink="">
        <xdr:nvSpPr>
          <xdr:cNvPr id="155" name="Freeform: Shape 154">
            <a:extLst>
              <a:ext uri="{FF2B5EF4-FFF2-40B4-BE49-F238E27FC236}">
                <a16:creationId xmlns:a16="http://schemas.microsoft.com/office/drawing/2014/main" id="{03766887-9444-47B9-8A0A-C956439B29C0}"/>
              </a:ext>
            </a:extLst>
          </xdr:cNvPr>
          <xdr:cNvSpPr/>
        </xdr:nvSpPr>
        <xdr:spPr>
          <a:xfrm>
            <a:off x="10747205" y="9045014"/>
            <a:ext cx="28620" cy="45706"/>
          </a:xfrm>
          <a:custGeom>
            <a:avLst/>
            <a:gdLst>
              <a:gd name="connsiteX0" fmla="*/ 14308 w 28620"/>
              <a:gd name="connsiteY0" fmla="*/ 0 h 45706"/>
              <a:gd name="connsiteX1" fmla="*/ 17 w 28620"/>
              <a:gd name="connsiteY1" fmla="*/ 30702 h 45706"/>
              <a:gd name="connsiteX2" fmla="*/ 13615 w 28620"/>
              <a:gd name="connsiteY2" fmla="*/ 45690 h 45706"/>
              <a:gd name="connsiteX3" fmla="*/ 13616 w 28620"/>
              <a:gd name="connsiteY3" fmla="*/ 45690 h 45706"/>
              <a:gd name="connsiteX4" fmla="*/ 14322 w 28620"/>
              <a:gd name="connsiteY4" fmla="*/ 45707 h 45706"/>
              <a:gd name="connsiteX5" fmla="*/ 28603 w 28620"/>
              <a:gd name="connsiteY5" fmla="*/ 32091 h 45706"/>
              <a:gd name="connsiteX6" fmla="*/ 28603 w 28620"/>
              <a:gd name="connsiteY6" fmla="*/ 30702 h 45706"/>
              <a:gd name="connsiteX7" fmla="*/ 14308 w 28620"/>
              <a:gd name="connsiteY7" fmla="*/ 0 h 45706"/>
              <a:gd name="connsiteX8" fmla="*/ 21112 w 28620"/>
              <a:gd name="connsiteY8" fmla="*/ 31727 h 45706"/>
              <a:gd name="connsiteX9" fmla="*/ 14322 w 28620"/>
              <a:gd name="connsiteY9" fmla="*/ 38207 h 45706"/>
              <a:gd name="connsiteX10" fmla="*/ 13980 w 28620"/>
              <a:gd name="connsiteY10" fmla="*/ 38198 h 45706"/>
              <a:gd name="connsiteX11" fmla="*/ 7509 w 28620"/>
              <a:gd name="connsiteY11" fmla="*/ 31067 h 45706"/>
              <a:gd name="connsiteX12" fmla="*/ 7509 w 28620"/>
              <a:gd name="connsiteY12" fmla="*/ 31065 h 45706"/>
              <a:gd name="connsiteX13" fmla="*/ 7517 w 28620"/>
              <a:gd name="connsiteY13" fmla="*/ 30883 h 45706"/>
              <a:gd name="connsiteX14" fmla="*/ 7517 w 28620"/>
              <a:gd name="connsiteY14" fmla="*/ 30702 h 45706"/>
              <a:gd name="connsiteX15" fmla="*/ 14305 w 28620"/>
              <a:gd name="connsiteY15" fmla="*/ 14341 h 45706"/>
              <a:gd name="connsiteX16" fmla="*/ 21102 w 28620"/>
              <a:gd name="connsiteY16" fmla="*/ 30696 h 45706"/>
              <a:gd name="connsiteX17" fmla="*/ 21102 w 28620"/>
              <a:gd name="connsiteY17" fmla="*/ 30881 h 45706"/>
              <a:gd name="connsiteX18" fmla="*/ 21111 w 28620"/>
              <a:gd name="connsiteY18" fmla="*/ 31068 h 45706"/>
              <a:gd name="connsiteX19" fmla="*/ 21112 w 28620"/>
              <a:gd name="connsiteY19" fmla="*/ 31727 h 4570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</a:cxnLst>
            <a:rect l="l" t="t" r="r" b="b"/>
            <a:pathLst>
              <a:path w="28620" h="45706">
                <a:moveTo>
                  <a:pt x="14308" y="0"/>
                </a:moveTo>
                <a:cubicBezTo>
                  <a:pt x="14308" y="0"/>
                  <a:pt x="17" y="21154"/>
                  <a:pt x="17" y="30702"/>
                </a:cubicBezTo>
                <a:cubicBezTo>
                  <a:pt x="-366" y="38595"/>
                  <a:pt x="5722" y="45306"/>
                  <a:pt x="13615" y="45690"/>
                </a:cubicBezTo>
                <a:cubicBezTo>
                  <a:pt x="13615" y="45690"/>
                  <a:pt x="13616" y="45690"/>
                  <a:pt x="13616" y="45690"/>
                </a:cubicBezTo>
                <a:cubicBezTo>
                  <a:pt x="13852" y="45701"/>
                  <a:pt x="14088" y="45707"/>
                  <a:pt x="14322" y="45707"/>
                </a:cubicBezTo>
                <a:cubicBezTo>
                  <a:pt x="21951" y="45701"/>
                  <a:pt x="28233" y="39711"/>
                  <a:pt x="28603" y="32091"/>
                </a:cubicBezTo>
                <a:cubicBezTo>
                  <a:pt x="28626" y="31628"/>
                  <a:pt x="28626" y="31165"/>
                  <a:pt x="28603" y="30702"/>
                </a:cubicBezTo>
                <a:cubicBezTo>
                  <a:pt x="28611" y="21199"/>
                  <a:pt x="14308" y="0"/>
                  <a:pt x="14308" y="0"/>
                </a:cubicBezTo>
                <a:close/>
                <a:moveTo>
                  <a:pt x="21112" y="31727"/>
                </a:moveTo>
                <a:cubicBezTo>
                  <a:pt x="20943" y="35354"/>
                  <a:pt x="17953" y="38207"/>
                  <a:pt x="14322" y="38207"/>
                </a:cubicBezTo>
                <a:lnTo>
                  <a:pt x="13980" y="38198"/>
                </a:lnTo>
                <a:cubicBezTo>
                  <a:pt x="10223" y="38016"/>
                  <a:pt x="7326" y="34823"/>
                  <a:pt x="7509" y="31067"/>
                </a:cubicBezTo>
                <a:cubicBezTo>
                  <a:pt x="7509" y="31066"/>
                  <a:pt x="7509" y="31066"/>
                  <a:pt x="7509" y="31065"/>
                </a:cubicBezTo>
                <a:lnTo>
                  <a:pt x="7517" y="30883"/>
                </a:lnTo>
                <a:lnTo>
                  <a:pt x="7517" y="30702"/>
                </a:lnTo>
                <a:cubicBezTo>
                  <a:pt x="8789" y="24888"/>
                  <a:pt x="11088" y="19348"/>
                  <a:pt x="14305" y="14341"/>
                </a:cubicBezTo>
                <a:cubicBezTo>
                  <a:pt x="17523" y="19346"/>
                  <a:pt x="19824" y="24884"/>
                  <a:pt x="21102" y="30696"/>
                </a:cubicBezTo>
                <a:lnTo>
                  <a:pt x="21102" y="30881"/>
                </a:lnTo>
                <a:lnTo>
                  <a:pt x="21111" y="31068"/>
                </a:lnTo>
                <a:cubicBezTo>
                  <a:pt x="21123" y="31287"/>
                  <a:pt x="21123" y="31507"/>
                  <a:pt x="21112" y="31727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56" name="Freeform: Shape 155">
            <a:extLst>
              <a:ext uri="{FF2B5EF4-FFF2-40B4-BE49-F238E27FC236}">
                <a16:creationId xmlns:a16="http://schemas.microsoft.com/office/drawing/2014/main" id="{0920BB4D-FD89-4070-A87E-2167B61124D3}"/>
              </a:ext>
            </a:extLst>
          </xdr:cNvPr>
          <xdr:cNvSpPr/>
        </xdr:nvSpPr>
        <xdr:spPr>
          <a:xfrm>
            <a:off x="10502065" y="8999194"/>
            <a:ext cx="267817" cy="281144"/>
          </a:xfrm>
          <a:custGeom>
            <a:avLst/>
            <a:gdLst>
              <a:gd name="connsiteX0" fmla="*/ 267242 w 267817"/>
              <a:gd name="connsiteY0" fmla="*/ 19207 h 281144"/>
              <a:gd name="connsiteX1" fmla="*/ 267242 w 267817"/>
              <a:gd name="connsiteY1" fmla="*/ 13466 h 281144"/>
              <a:gd name="connsiteX2" fmla="*/ 267233 w 267817"/>
              <a:gd name="connsiteY2" fmla="*/ 13442 h 281144"/>
              <a:gd name="connsiteX3" fmla="*/ 263518 w 267817"/>
              <a:gd name="connsiteY3" fmla="*/ 4584 h 281144"/>
              <a:gd name="connsiteX4" fmla="*/ 253755 w 267817"/>
              <a:gd name="connsiteY4" fmla="*/ 559 h 281144"/>
              <a:gd name="connsiteX5" fmla="*/ 190245 w 267817"/>
              <a:gd name="connsiteY5" fmla="*/ 26809 h 281144"/>
              <a:gd name="connsiteX6" fmla="*/ 175476 w 267817"/>
              <a:gd name="connsiteY6" fmla="*/ 38659 h 281144"/>
              <a:gd name="connsiteX7" fmla="*/ 161826 w 267817"/>
              <a:gd name="connsiteY7" fmla="*/ 58176 h 281144"/>
              <a:gd name="connsiteX8" fmla="*/ 156896 w 267817"/>
              <a:gd name="connsiteY8" fmla="*/ 55979 h 281144"/>
              <a:gd name="connsiteX9" fmla="*/ 146999 w 267817"/>
              <a:gd name="connsiteY9" fmla="*/ 59773 h 281144"/>
              <a:gd name="connsiteX10" fmla="*/ 146996 w 267817"/>
              <a:gd name="connsiteY10" fmla="*/ 59782 h 281144"/>
              <a:gd name="connsiteX11" fmla="*/ 143149 w 267817"/>
              <a:gd name="connsiteY11" fmla="*/ 68445 h 281144"/>
              <a:gd name="connsiteX12" fmla="*/ 117850 w 267817"/>
              <a:gd name="connsiteY12" fmla="*/ 44553 h 281144"/>
              <a:gd name="connsiteX13" fmla="*/ 99842 w 267817"/>
              <a:gd name="connsiteY13" fmla="*/ 37394 h 281144"/>
              <a:gd name="connsiteX14" fmla="*/ 26250 w 267817"/>
              <a:gd name="connsiteY14" fmla="*/ 37394 h 281144"/>
              <a:gd name="connsiteX15" fmla="*/ 0 w 267817"/>
              <a:gd name="connsiteY15" fmla="*/ 63644 h 281144"/>
              <a:gd name="connsiteX16" fmla="*/ 0 w 267817"/>
              <a:gd name="connsiteY16" fmla="*/ 254894 h 281144"/>
              <a:gd name="connsiteX17" fmla="*/ 26250 w 267817"/>
              <a:gd name="connsiteY17" fmla="*/ 281144 h 281144"/>
              <a:gd name="connsiteX18" fmla="*/ 180000 w 267817"/>
              <a:gd name="connsiteY18" fmla="*/ 281144 h 281144"/>
              <a:gd name="connsiteX19" fmla="*/ 206250 w 267817"/>
              <a:gd name="connsiteY19" fmla="*/ 254894 h 281144"/>
              <a:gd name="connsiteX20" fmla="*/ 206250 w 267817"/>
              <a:gd name="connsiteY20" fmla="*/ 115882 h 281144"/>
              <a:gd name="connsiteX21" fmla="*/ 197813 w 267817"/>
              <a:gd name="connsiteY21" fmla="*/ 96690 h 281144"/>
              <a:gd name="connsiteX22" fmla="*/ 203102 w 267817"/>
              <a:gd name="connsiteY22" fmla="*/ 84829 h 281144"/>
              <a:gd name="connsiteX23" fmla="*/ 199334 w 267817"/>
              <a:gd name="connsiteY23" fmla="*/ 74912 h 281144"/>
              <a:gd name="connsiteX24" fmla="*/ 194870 w 267817"/>
              <a:gd name="connsiteY24" fmla="*/ 72920 h 281144"/>
              <a:gd name="connsiteX25" fmla="*/ 202531 w 267817"/>
              <a:gd name="connsiteY25" fmla="*/ 54194 h 281144"/>
              <a:gd name="connsiteX26" fmla="*/ 212740 w 267817"/>
              <a:gd name="connsiteY26" fmla="*/ 43974 h 281144"/>
              <a:gd name="connsiteX27" fmla="*/ 263185 w 267817"/>
              <a:gd name="connsiteY27" fmla="*/ 23269 h 281144"/>
              <a:gd name="connsiteX28" fmla="*/ 267242 w 267817"/>
              <a:gd name="connsiteY28" fmla="*/ 19207 h 281144"/>
              <a:gd name="connsiteX29" fmla="*/ 198750 w 267817"/>
              <a:gd name="connsiteY29" fmla="*/ 115889 h 281144"/>
              <a:gd name="connsiteX30" fmla="*/ 198750 w 267817"/>
              <a:gd name="connsiteY30" fmla="*/ 254894 h 281144"/>
              <a:gd name="connsiteX31" fmla="*/ 180000 w 267817"/>
              <a:gd name="connsiteY31" fmla="*/ 273644 h 281144"/>
              <a:gd name="connsiteX32" fmla="*/ 26250 w 267817"/>
              <a:gd name="connsiteY32" fmla="*/ 273644 h 281144"/>
              <a:gd name="connsiteX33" fmla="*/ 7500 w 267817"/>
              <a:gd name="connsiteY33" fmla="*/ 254894 h 281144"/>
              <a:gd name="connsiteX34" fmla="*/ 7500 w 267817"/>
              <a:gd name="connsiteY34" fmla="*/ 63644 h 281144"/>
              <a:gd name="connsiteX35" fmla="*/ 26250 w 267817"/>
              <a:gd name="connsiteY35" fmla="*/ 44894 h 281144"/>
              <a:gd name="connsiteX36" fmla="*/ 99836 w 267817"/>
              <a:gd name="connsiteY36" fmla="*/ 44894 h 281144"/>
              <a:gd name="connsiteX37" fmla="*/ 112707 w 267817"/>
              <a:gd name="connsiteY37" fmla="*/ 50010 h 281144"/>
              <a:gd name="connsiteX38" fmla="*/ 141852 w 267817"/>
              <a:gd name="connsiteY38" fmla="*/ 77535 h 281144"/>
              <a:gd name="connsiteX39" fmla="*/ 142839 w 267817"/>
              <a:gd name="connsiteY39" fmla="*/ 78182 h 281144"/>
              <a:gd name="connsiteX40" fmla="*/ 147401 w 267817"/>
              <a:gd name="connsiteY40" fmla="*/ 80353 h 281144"/>
              <a:gd name="connsiteX41" fmla="*/ 191232 w 267817"/>
              <a:gd name="connsiteY41" fmla="*/ 100976 h 281144"/>
              <a:gd name="connsiteX42" fmla="*/ 198750 w 267817"/>
              <a:gd name="connsiteY42" fmla="*/ 115889 h 281144"/>
              <a:gd name="connsiteX43" fmla="*/ 196260 w 267817"/>
              <a:gd name="connsiteY43" fmla="*/ 81762 h 281144"/>
              <a:gd name="connsiteX44" fmla="*/ 191360 w 267817"/>
              <a:gd name="connsiteY44" fmla="*/ 92750 h 281144"/>
              <a:gd name="connsiteX45" fmla="*/ 149345 w 267817"/>
              <a:gd name="connsiteY45" fmla="*/ 72978 h 281144"/>
              <a:gd name="connsiteX46" fmla="*/ 153852 w 267817"/>
              <a:gd name="connsiteY46" fmla="*/ 62837 h 281144"/>
              <a:gd name="connsiteX47" fmla="*/ 209894 w 267817"/>
              <a:gd name="connsiteY47" fmla="*/ 37031 h 281144"/>
              <a:gd name="connsiteX48" fmla="*/ 195591 w 267817"/>
              <a:gd name="connsiteY48" fmla="*/ 51349 h 281144"/>
              <a:gd name="connsiteX49" fmla="*/ 188016 w 267817"/>
              <a:gd name="connsiteY49" fmla="*/ 69864 h 281144"/>
              <a:gd name="connsiteX50" fmla="*/ 168803 w 267817"/>
              <a:gd name="connsiteY50" fmla="*/ 61290 h 281144"/>
              <a:gd name="connsiteX51" fmla="*/ 181624 w 267817"/>
              <a:gd name="connsiteY51" fmla="*/ 42957 h 281144"/>
              <a:gd name="connsiteX52" fmla="*/ 193106 w 267817"/>
              <a:gd name="connsiteY52" fmla="*/ 33743 h 281144"/>
              <a:gd name="connsiteX53" fmla="*/ 256605 w 267817"/>
              <a:gd name="connsiteY53" fmla="*/ 7493 h 281144"/>
              <a:gd name="connsiteX54" fmla="*/ 260315 w 267817"/>
              <a:gd name="connsiteY54" fmla="*/ 16341 h 28114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</a:cxnLst>
            <a:rect l="l" t="t" r="r" b="b"/>
            <a:pathLst>
              <a:path w="267817" h="281144">
                <a:moveTo>
                  <a:pt x="267242" y="19207"/>
                </a:moveTo>
                <a:cubicBezTo>
                  <a:pt x="268010" y="17370"/>
                  <a:pt x="268010" y="15303"/>
                  <a:pt x="267242" y="13466"/>
                </a:cubicBezTo>
                <a:lnTo>
                  <a:pt x="267233" y="13442"/>
                </a:lnTo>
                <a:lnTo>
                  <a:pt x="263518" y="4584"/>
                </a:lnTo>
                <a:cubicBezTo>
                  <a:pt x="261912" y="799"/>
                  <a:pt x="257562" y="-994"/>
                  <a:pt x="253755" y="559"/>
                </a:cubicBezTo>
                <a:lnTo>
                  <a:pt x="190245" y="26809"/>
                </a:lnTo>
                <a:cubicBezTo>
                  <a:pt x="184293" y="29269"/>
                  <a:pt x="179168" y="33381"/>
                  <a:pt x="175476" y="38659"/>
                </a:cubicBezTo>
                <a:lnTo>
                  <a:pt x="161826" y="58176"/>
                </a:lnTo>
                <a:lnTo>
                  <a:pt x="156896" y="55979"/>
                </a:lnTo>
                <a:cubicBezTo>
                  <a:pt x="153115" y="54294"/>
                  <a:pt x="148684" y="55993"/>
                  <a:pt x="146999" y="59773"/>
                </a:cubicBezTo>
                <a:cubicBezTo>
                  <a:pt x="146998" y="59776"/>
                  <a:pt x="146997" y="59779"/>
                  <a:pt x="146996" y="59782"/>
                </a:cubicBezTo>
                <a:lnTo>
                  <a:pt x="143149" y="68445"/>
                </a:lnTo>
                <a:lnTo>
                  <a:pt x="117850" y="44553"/>
                </a:lnTo>
                <a:cubicBezTo>
                  <a:pt x="112982" y="39955"/>
                  <a:pt x="106539" y="37394"/>
                  <a:pt x="99842" y="37394"/>
                </a:cubicBezTo>
                <a:lnTo>
                  <a:pt x="26250" y="37394"/>
                </a:lnTo>
                <a:cubicBezTo>
                  <a:pt x="11752" y="37394"/>
                  <a:pt x="0" y="49147"/>
                  <a:pt x="0" y="63644"/>
                </a:cubicBezTo>
                <a:lnTo>
                  <a:pt x="0" y="254894"/>
                </a:lnTo>
                <a:cubicBezTo>
                  <a:pt x="0" y="269392"/>
                  <a:pt x="11752" y="281144"/>
                  <a:pt x="26250" y="281144"/>
                </a:cubicBezTo>
                <a:lnTo>
                  <a:pt x="180000" y="281144"/>
                </a:lnTo>
                <a:cubicBezTo>
                  <a:pt x="194498" y="281144"/>
                  <a:pt x="206250" y="269392"/>
                  <a:pt x="206250" y="254894"/>
                </a:cubicBezTo>
                <a:lnTo>
                  <a:pt x="206250" y="115882"/>
                </a:lnTo>
                <a:cubicBezTo>
                  <a:pt x="206220" y="108591"/>
                  <a:pt x="203165" y="101641"/>
                  <a:pt x="197813" y="96690"/>
                </a:cubicBezTo>
                <a:lnTo>
                  <a:pt x="203102" y="84829"/>
                </a:lnTo>
                <a:cubicBezTo>
                  <a:pt x="204793" y="81049"/>
                  <a:pt x="203108" y="76614"/>
                  <a:pt x="199334" y="74912"/>
                </a:cubicBezTo>
                <a:lnTo>
                  <a:pt x="194870" y="72920"/>
                </a:lnTo>
                <a:lnTo>
                  <a:pt x="202531" y="54194"/>
                </a:lnTo>
                <a:cubicBezTo>
                  <a:pt x="204428" y="49558"/>
                  <a:pt x="208106" y="45876"/>
                  <a:pt x="212740" y="43974"/>
                </a:cubicBezTo>
                <a:lnTo>
                  <a:pt x="263185" y="23269"/>
                </a:lnTo>
                <a:cubicBezTo>
                  <a:pt x="265026" y="22512"/>
                  <a:pt x="266487" y="21049"/>
                  <a:pt x="267242" y="19207"/>
                </a:cubicBezTo>
                <a:close/>
                <a:moveTo>
                  <a:pt x="198750" y="115889"/>
                </a:moveTo>
                <a:lnTo>
                  <a:pt x="198750" y="254894"/>
                </a:lnTo>
                <a:cubicBezTo>
                  <a:pt x="198750" y="265249"/>
                  <a:pt x="190355" y="273644"/>
                  <a:pt x="180000" y="273644"/>
                </a:cubicBezTo>
                <a:lnTo>
                  <a:pt x="26250" y="273644"/>
                </a:lnTo>
                <a:cubicBezTo>
                  <a:pt x="15895" y="273644"/>
                  <a:pt x="7500" y="265249"/>
                  <a:pt x="7500" y="254894"/>
                </a:cubicBezTo>
                <a:lnTo>
                  <a:pt x="7500" y="63644"/>
                </a:lnTo>
                <a:cubicBezTo>
                  <a:pt x="7500" y="53289"/>
                  <a:pt x="15895" y="44894"/>
                  <a:pt x="26250" y="44894"/>
                </a:cubicBezTo>
                <a:lnTo>
                  <a:pt x="99836" y="44894"/>
                </a:lnTo>
                <a:cubicBezTo>
                  <a:pt x="104622" y="44894"/>
                  <a:pt x="109227" y="46724"/>
                  <a:pt x="112707" y="50010"/>
                </a:cubicBezTo>
                <a:lnTo>
                  <a:pt x="141852" y="77535"/>
                </a:lnTo>
                <a:cubicBezTo>
                  <a:pt x="142144" y="77802"/>
                  <a:pt x="142478" y="78020"/>
                  <a:pt x="142839" y="78182"/>
                </a:cubicBezTo>
                <a:lnTo>
                  <a:pt x="147401" y="80353"/>
                </a:lnTo>
                <a:lnTo>
                  <a:pt x="191232" y="100976"/>
                </a:lnTo>
                <a:cubicBezTo>
                  <a:pt x="195938" y="104493"/>
                  <a:pt x="198721" y="110014"/>
                  <a:pt x="198750" y="115889"/>
                </a:cubicBezTo>
                <a:close/>
                <a:moveTo>
                  <a:pt x="196260" y="81762"/>
                </a:moveTo>
                <a:lnTo>
                  <a:pt x="191360" y="92750"/>
                </a:lnTo>
                <a:lnTo>
                  <a:pt x="149345" y="72978"/>
                </a:lnTo>
                <a:lnTo>
                  <a:pt x="153852" y="62837"/>
                </a:lnTo>
                <a:close/>
                <a:moveTo>
                  <a:pt x="209894" y="37031"/>
                </a:moveTo>
                <a:cubicBezTo>
                  <a:pt x="203402" y="39696"/>
                  <a:pt x="198249" y="44853"/>
                  <a:pt x="195591" y="51349"/>
                </a:cubicBezTo>
                <a:lnTo>
                  <a:pt x="188016" y="69864"/>
                </a:lnTo>
                <a:lnTo>
                  <a:pt x="168803" y="61290"/>
                </a:lnTo>
                <a:lnTo>
                  <a:pt x="181624" y="42957"/>
                </a:lnTo>
                <a:cubicBezTo>
                  <a:pt x="184494" y="38854"/>
                  <a:pt x="188478" y="35656"/>
                  <a:pt x="193106" y="33743"/>
                </a:cubicBezTo>
                <a:lnTo>
                  <a:pt x="256605" y="7493"/>
                </a:lnTo>
                <a:lnTo>
                  <a:pt x="260315" y="16341"/>
                </a:ln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57" name="Freeform: Shape 156">
            <a:extLst>
              <a:ext uri="{FF2B5EF4-FFF2-40B4-BE49-F238E27FC236}">
                <a16:creationId xmlns:a16="http://schemas.microsoft.com/office/drawing/2014/main" id="{2A5A3551-ED14-46C6-85E4-C65EDC566711}"/>
              </a:ext>
            </a:extLst>
          </xdr:cNvPr>
          <xdr:cNvSpPr/>
        </xdr:nvSpPr>
        <xdr:spPr>
          <a:xfrm>
            <a:off x="10528316" y="9059089"/>
            <a:ext cx="105099" cy="35934"/>
          </a:xfrm>
          <a:custGeom>
            <a:avLst/>
            <a:gdLst>
              <a:gd name="connsiteX0" fmla="*/ 78513 w 105099"/>
              <a:gd name="connsiteY0" fmla="*/ 5460 h 35934"/>
              <a:gd name="connsiteX1" fmla="*/ 64779 w 105099"/>
              <a:gd name="connsiteY1" fmla="*/ 0 h 35934"/>
              <a:gd name="connsiteX2" fmla="*/ 3749 w 105099"/>
              <a:gd name="connsiteY2" fmla="*/ 0 h 35934"/>
              <a:gd name="connsiteX3" fmla="*/ 0 w 105099"/>
              <a:gd name="connsiteY3" fmla="*/ 3751 h 35934"/>
              <a:gd name="connsiteX4" fmla="*/ 1098 w 105099"/>
              <a:gd name="connsiteY4" fmla="*/ 6401 h 35934"/>
              <a:gd name="connsiteX5" fmla="*/ 22392 w 105099"/>
              <a:gd name="connsiteY5" fmla="*/ 27699 h 35934"/>
              <a:gd name="connsiteX6" fmla="*/ 42271 w 105099"/>
              <a:gd name="connsiteY6" fmla="*/ 35934 h 35934"/>
              <a:gd name="connsiteX7" fmla="*/ 101350 w 105099"/>
              <a:gd name="connsiteY7" fmla="*/ 35934 h 35934"/>
              <a:gd name="connsiteX8" fmla="*/ 105100 w 105099"/>
              <a:gd name="connsiteY8" fmla="*/ 32184 h 35934"/>
              <a:gd name="connsiteX9" fmla="*/ 103925 w 105099"/>
              <a:gd name="connsiteY9" fmla="*/ 29458 h 35934"/>
              <a:gd name="connsiteX10" fmla="*/ 42278 w 105099"/>
              <a:gd name="connsiteY10" fmla="*/ 28434 h 35934"/>
              <a:gd name="connsiteX11" fmla="*/ 42271 w 105099"/>
              <a:gd name="connsiteY11" fmla="*/ 28434 h 35934"/>
              <a:gd name="connsiteX12" fmla="*/ 27693 w 105099"/>
              <a:gd name="connsiteY12" fmla="*/ 22397 h 35934"/>
              <a:gd name="connsiteX13" fmla="*/ 12866 w 105099"/>
              <a:gd name="connsiteY13" fmla="*/ 7566 h 35934"/>
              <a:gd name="connsiteX14" fmla="*/ 12893 w 105099"/>
              <a:gd name="connsiteY14" fmla="*/ 7500 h 35934"/>
              <a:gd name="connsiteX15" fmla="*/ 64779 w 105099"/>
              <a:gd name="connsiteY15" fmla="*/ 7500 h 35934"/>
              <a:gd name="connsiteX16" fmla="*/ 73366 w 105099"/>
              <a:gd name="connsiteY16" fmla="*/ 10912 h 35934"/>
              <a:gd name="connsiteX17" fmla="*/ 91851 w 105099"/>
              <a:gd name="connsiteY17" fmla="*/ 28369 h 35934"/>
              <a:gd name="connsiteX18" fmla="*/ 91826 w 105099"/>
              <a:gd name="connsiteY18" fmla="*/ 28434 h 359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</a:cxnLst>
            <a:rect l="l" t="t" r="r" b="b"/>
            <a:pathLst>
              <a:path w="105099" h="35934">
                <a:moveTo>
                  <a:pt x="78513" y="5460"/>
                </a:moveTo>
                <a:cubicBezTo>
                  <a:pt x="74800" y="1953"/>
                  <a:pt x="69886" y="0"/>
                  <a:pt x="64779" y="0"/>
                </a:cubicBezTo>
                <a:lnTo>
                  <a:pt x="3749" y="0"/>
                </a:lnTo>
                <a:cubicBezTo>
                  <a:pt x="1678" y="0"/>
                  <a:pt x="0" y="1680"/>
                  <a:pt x="0" y="3751"/>
                </a:cubicBezTo>
                <a:cubicBezTo>
                  <a:pt x="0" y="4745"/>
                  <a:pt x="395" y="5698"/>
                  <a:pt x="1098" y="6401"/>
                </a:cubicBezTo>
                <a:lnTo>
                  <a:pt x="22392" y="27699"/>
                </a:lnTo>
                <a:cubicBezTo>
                  <a:pt x="27664" y="32972"/>
                  <a:pt x="34815" y="35934"/>
                  <a:pt x="42271" y="35934"/>
                </a:cubicBezTo>
                <a:lnTo>
                  <a:pt x="101350" y="35934"/>
                </a:lnTo>
                <a:cubicBezTo>
                  <a:pt x="103421" y="35934"/>
                  <a:pt x="105100" y="34255"/>
                  <a:pt x="105100" y="32184"/>
                </a:cubicBezTo>
                <a:cubicBezTo>
                  <a:pt x="105099" y="31152"/>
                  <a:pt x="104675" y="30166"/>
                  <a:pt x="103925" y="29458"/>
                </a:cubicBezTo>
                <a:close/>
                <a:moveTo>
                  <a:pt x="42278" y="28434"/>
                </a:moveTo>
                <a:lnTo>
                  <a:pt x="42271" y="28434"/>
                </a:lnTo>
                <a:cubicBezTo>
                  <a:pt x="36804" y="28435"/>
                  <a:pt x="31560" y="26263"/>
                  <a:pt x="27693" y="22397"/>
                </a:cubicBezTo>
                <a:lnTo>
                  <a:pt x="12866" y="7566"/>
                </a:lnTo>
                <a:cubicBezTo>
                  <a:pt x="12831" y="7529"/>
                  <a:pt x="12844" y="7500"/>
                  <a:pt x="12893" y="7500"/>
                </a:cubicBezTo>
                <a:lnTo>
                  <a:pt x="64779" y="7500"/>
                </a:lnTo>
                <a:cubicBezTo>
                  <a:pt x="67972" y="7499"/>
                  <a:pt x="71045" y="8720"/>
                  <a:pt x="73366" y="10912"/>
                </a:cubicBezTo>
                <a:lnTo>
                  <a:pt x="91851" y="28369"/>
                </a:lnTo>
                <a:cubicBezTo>
                  <a:pt x="91889" y="28406"/>
                  <a:pt x="91878" y="28434"/>
                  <a:pt x="91826" y="28434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10</xdr:col>
      <xdr:colOff>115130</xdr:colOff>
      <xdr:row>14</xdr:row>
      <xdr:rowOff>85088</xdr:rowOff>
    </xdr:from>
    <xdr:to>
      <xdr:col>10</xdr:col>
      <xdr:colOff>477851</xdr:colOff>
      <xdr:row>14</xdr:row>
      <xdr:rowOff>445088</xdr:rowOff>
    </xdr:to>
    <xdr:grpSp>
      <xdr:nvGrpSpPr>
        <xdr:cNvPr id="177" name="race1" descr="Race Flag with solid fill">
          <a:extLst>
            <a:ext uri="{FF2B5EF4-FFF2-40B4-BE49-F238E27FC236}">
              <a16:creationId xmlns:a16="http://schemas.microsoft.com/office/drawing/2014/main" id="{25FA29C3-7991-4460-94BA-8A2E1A4A04CF}"/>
            </a:ext>
          </a:extLst>
        </xdr:cNvPr>
        <xdr:cNvGrpSpPr>
          <a:grpSpLocks noChangeAspect="1"/>
        </xdr:cNvGrpSpPr>
      </xdr:nvGrpSpPr>
      <xdr:grpSpPr>
        <a:xfrm>
          <a:off x="9125780" y="6752588"/>
          <a:ext cx="362721" cy="360000"/>
          <a:chOff x="7391074" y="4733925"/>
          <a:chExt cx="362721" cy="360000"/>
        </a:xfrm>
      </xdr:grpSpPr>
      <xdr:sp macro="" textlink="">
        <xdr:nvSpPr>
          <xdr:cNvPr id="178" name="Freeform: Shape 177">
            <a:extLst>
              <a:ext uri="{FF2B5EF4-FFF2-40B4-BE49-F238E27FC236}">
                <a16:creationId xmlns:a16="http://schemas.microsoft.com/office/drawing/2014/main" id="{C78DD549-BEEC-4E8E-9EE9-E55E822259E5}"/>
              </a:ext>
            </a:extLst>
          </xdr:cNvPr>
          <xdr:cNvSpPr/>
        </xdr:nvSpPr>
        <xdr:spPr>
          <a:xfrm>
            <a:off x="7591662" y="4821930"/>
            <a:ext cx="154575" cy="139499"/>
          </a:xfrm>
          <a:custGeom>
            <a:avLst/>
            <a:gdLst>
              <a:gd name="connsiteX0" fmla="*/ 75397 w 154575"/>
              <a:gd name="connsiteY0" fmla="*/ 5223 h 139499"/>
              <a:gd name="connsiteX1" fmla="*/ 51272 w 154575"/>
              <a:gd name="connsiteY1" fmla="*/ 14 h 139499"/>
              <a:gd name="connsiteX2" fmla="*/ 41717 w 154575"/>
              <a:gd name="connsiteY2" fmla="*/ 1248 h 139499"/>
              <a:gd name="connsiteX3" fmla="*/ 0 w 154575"/>
              <a:gd name="connsiteY3" fmla="*/ 102280 h 139499"/>
              <a:gd name="connsiteX4" fmla="*/ 9446 w 154575"/>
              <a:gd name="connsiteY4" fmla="*/ 101077 h 139499"/>
              <a:gd name="connsiteX5" fmla="*/ 33669 w 154575"/>
              <a:gd name="connsiteY5" fmla="*/ 106312 h 139499"/>
              <a:gd name="connsiteX6" fmla="*/ 105771 w 154575"/>
              <a:gd name="connsiteY6" fmla="*/ 139499 h 139499"/>
              <a:gd name="connsiteX7" fmla="*/ 112848 w 154575"/>
              <a:gd name="connsiteY7" fmla="*/ 139124 h 139499"/>
              <a:gd name="connsiteX8" fmla="*/ 154576 w 154575"/>
              <a:gd name="connsiteY8" fmla="*/ 38024 h 139499"/>
              <a:gd name="connsiteX9" fmla="*/ 75397 w 154575"/>
              <a:gd name="connsiteY9" fmla="*/ 5223 h 139499"/>
              <a:gd name="connsiteX10" fmla="*/ 63801 w 154575"/>
              <a:gd name="connsiteY10" fmla="*/ 110947 h 139499"/>
              <a:gd name="connsiteX11" fmla="*/ 61708 w 154575"/>
              <a:gd name="connsiteY11" fmla="*/ 109529 h 139499"/>
              <a:gd name="connsiteX12" fmla="*/ 72034 w 154575"/>
              <a:gd name="connsiteY12" fmla="*/ 84513 h 139499"/>
              <a:gd name="connsiteX13" fmla="*/ 69140 w 154575"/>
              <a:gd name="connsiteY13" fmla="*/ 82679 h 139499"/>
              <a:gd name="connsiteX14" fmla="*/ 49160 w 154575"/>
              <a:gd name="connsiteY14" fmla="*/ 71245 h 139499"/>
              <a:gd name="connsiteX15" fmla="*/ 38819 w 154575"/>
              <a:gd name="connsiteY15" fmla="*/ 96295 h 139499"/>
              <a:gd name="connsiteX16" fmla="*/ 37969 w 154575"/>
              <a:gd name="connsiteY16" fmla="*/ 95920 h 139499"/>
              <a:gd name="connsiteX17" fmla="*/ 17207 w 154575"/>
              <a:gd name="connsiteY17" fmla="*/ 90333 h 139499"/>
              <a:gd name="connsiteX18" fmla="*/ 27718 w 154575"/>
              <a:gd name="connsiteY18" fmla="*/ 64878 h 139499"/>
              <a:gd name="connsiteX19" fmla="*/ 45476 w 154575"/>
              <a:gd name="connsiteY19" fmla="*/ 69577 h 139499"/>
              <a:gd name="connsiteX20" fmla="*/ 49164 w 154575"/>
              <a:gd name="connsiteY20" fmla="*/ 71264 h 139499"/>
              <a:gd name="connsiteX21" fmla="*/ 59989 w 154575"/>
              <a:gd name="connsiteY21" fmla="*/ 45048 h 139499"/>
              <a:gd name="connsiteX22" fmla="*/ 56267 w 154575"/>
              <a:gd name="connsiteY22" fmla="*/ 43439 h 139499"/>
              <a:gd name="connsiteX23" fmla="*/ 38717 w 154575"/>
              <a:gd name="connsiteY23" fmla="*/ 38245 h 139499"/>
              <a:gd name="connsiteX24" fmla="*/ 49836 w 154575"/>
              <a:gd name="connsiteY24" fmla="*/ 11313 h 139499"/>
              <a:gd name="connsiteX25" fmla="*/ 51291 w 154575"/>
              <a:gd name="connsiteY25" fmla="*/ 11283 h 139499"/>
              <a:gd name="connsiteX26" fmla="*/ 71116 w 154575"/>
              <a:gd name="connsiteY26" fmla="*/ 15648 h 139499"/>
              <a:gd name="connsiteX27" fmla="*/ 71966 w 154575"/>
              <a:gd name="connsiteY27" fmla="*/ 16023 h 139499"/>
              <a:gd name="connsiteX28" fmla="*/ 59989 w 154575"/>
              <a:gd name="connsiteY28" fmla="*/ 45033 h 139499"/>
              <a:gd name="connsiteX29" fmla="*/ 82995 w 154575"/>
              <a:gd name="connsiteY29" fmla="*/ 58015 h 139499"/>
              <a:gd name="connsiteX30" fmla="*/ 94799 w 154575"/>
              <a:gd name="connsiteY30" fmla="*/ 29429 h 139499"/>
              <a:gd name="connsiteX31" fmla="*/ 117998 w 154575"/>
              <a:gd name="connsiteY31" fmla="*/ 41947 h 139499"/>
              <a:gd name="connsiteX32" fmla="*/ 105990 w 154575"/>
              <a:gd name="connsiteY32" fmla="*/ 71028 h 139499"/>
              <a:gd name="connsiteX33" fmla="*/ 83800 w 154575"/>
              <a:gd name="connsiteY33" fmla="*/ 58548 h 139499"/>
              <a:gd name="connsiteX34" fmla="*/ 82965 w 154575"/>
              <a:gd name="connsiteY34" fmla="*/ 58015 h 139499"/>
              <a:gd name="connsiteX35" fmla="*/ 72053 w 154575"/>
              <a:gd name="connsiteY35" fmla="*/ 84517 h 139499"/>
              <a:gd name="connsiteX36" fmla="*/ 95139 w 154575"/>
              <a:gd name="connsiteY36" fmla="*/ 97312 h 139499"/>
              <a:gd name="connsiteX37" fmla="*/ 84370 w 154575"/>
              <a:gd name="connsiteY37" fmla="*/ 123344 h 139499"/>
              <a:gd name="connsiteX38" fmla="*/ 63801 w 154575"/>
              <a:gd name="connsiteY38" fmla="*/ 110947 h 139499"/>
              <a:gd name="connsiteX39" fmla="*/ 98811 w 154575"/>
              <a:gd name="connsiteY39" fmla="*/ 98842 h 139499"/>
              <a:gd name="connsiteX40" fmla="*/ 95203 w 154575"/>
              <a:gd name="connsiteY40" fmla="*/ 97233 h 139499"/>
              <a:gd name="connsiteX41" fmla="*/ 106013 w 154575"/>
              <a:gd name="connsiteY41" fmla="*/ 71148 h 139499"/>
              <a:gd name="connsiteX42" fmla="*/ 125944 w 154575"/>
              <a:gd name="connsiteY42" fmla="*/ 77695 h 139499"/>
              <a:gd name="connsiteX43" fmla="*/ 115035 w 154575"/>
              <a:gd name="connsiteY43" fmla="*/ 104122 h 139499"/>
              <a:gd name="connsiteX44" fmla="*/ 98811 w 154575"/>
              <a:gd name="connsiteY44" fmla="*/ 98842 h 1394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</a:cxnLst>
            <a:rect l="l" t="t" r="r" b="b"/>
            <a:pathLst>
              <a:path w="154575" h="139499">
                <a:moveTo>
                  <a:pt x="75397" y="5223"/>
                </a:moveTo>
                <a:cubicBezTo>
                  <a:pt x="67774" y="1945"/>
                  <a:pt x="59578" y="175"/>
                  <a:pt x="51272" y="14"/>
                </a:cubicBezTo>
                <a:cubicBezTo>
                  <a:pt x="48041" y="-84"/>
                  <a:pt x="44815" y="332"/>
                  <a:pt x="41717" y="1248"/>
                </a:cubicBezTo>
                <a:lnTo>
                  <a:pt x="0" y="102280"/>
                </a:lnTo>
                <a:cubicBezTo>
                  <a:pt x="3064" y="101385"/>
                  <a:pt x="6253" y="100978"/>
                  <a:pt x="9446" y="101077"/>
                </a:cubicBezTo>
                <a:cubicBezTo>
                  <a:pt x="17787" y="101241"/>
                  <a:pt x="26014" y="103020"/>
                  <a:pt x="33669" y="106312"/>
                </a:cubicBezTo>
                <a:cubicBezTo>
                  <a:pt x="57340" y="115938"/>
                  <a:pt x="74335" y="139499"/>
                  <a:pt x="105771" y="139499"/>
                </a:cubicBezTo>
                <a:cubicBezTo>
                  <a:pt x="108135" y="139501"/>
                  <a:pt x="110497" y="139376"/>
                  <a:pt x="112848" y="139124"/>
                </a:cubicBezTo>
                <a:lnTo>
                  <a:pt x="154576" y="38024"/>
                </a:lnTo>
                <a:cubicBezTo>
                  <a:pt x="112039" y="36089"/>
                  <a:pt x="100784" y="15547"/>
                  <a:pt x="75397" y="5223"/>
                </a:cubicBezTo>
                <a:close/>
                <a:moveTo>
                  <a:pt x="63801" y="110947"/>
                </a:moveTo>
                <a:cubicBezTo>
                  <a:pt x="63110" y="110474"/>
                  <a:pt x="62403" y="110002"/>
                  <a:pt x="61708" y="109529"/>
                </a:cubicBezTo>
                <a:lnTo>
                  <a:pt x="72034" y="84513"/>
                </a:lnTo>
                <a:lnTo>
                  <a:pt x="69140" y="82679"/>
                </a:lnTo>
                <a:cubicBezTo>
                  <a:pt x="62742" y="78434"/>
                  <a:pt x="56067" y="74614"/>
                  <a:pt x="49160" y="71245"/>
                </a:cubicBezTo>
                <a:lnTo>
                  <a:pt x="38819" y="96295"/>
                </a:lnTo>
                <a:cubicBezTo>
                  <a:pt x="38528" y="96175"/>
                  <a:pt x="38260" y="96022"/>
                  <a:pt x="37969" y="95920"/>
                </a:cubicBezTo>
                <a:cubicBezTo>
                  <a:pt x="31327" y="93156"/>
                  <a:pt x="24345" y="91277"/>
                  <a:pt x="17207" y="90333"/>
                </a:cubicBezTo>
                <a:lnTo>
                  <a:pt x="27718" y="64878"/>
                </a:lnTo>
                <a:cubicBezTo>
                  <a:pt x="33831" y="65607"/>
                  <a:pt x="39809" y="67189"/>
                  <a:pt x="45476" y="69577"/>
                </a:cubicBezTo>
                <a:cubicBezTo>
                  <a:pt x="46749" y="70094"/>
                  <a:pt x="47947" y="70702"/>
                  <a:pt x="49164" y="71264"/>
                </a:cubicBezTo>
                <a:lnTo>
                  <a:pt x="59989" y="45048"/>
                </a:lnTo>
                <a:cubicBezTo>
                  <a:pt x="58777" y="44493"/>
                  <a:pt x="57537" y="43957"/>
                  <a:pt x="56267" y="43439"/>
                </a:cubicBezTo>
                <a:cubicBezTo>
                  <a:pt x="50611" y="41118"/>
                  <a:pt x="44730" y="39378"/>
                  <a:pt x="38717" y="38245"/>
                </a:cubicBezTo>
                <a:lnTo>
                  <a:pt x="49836" y="11313"/>
                </a:lnTo>
                <a:cubicBezTo>
                  <a:pt x="50286" y="11313"/>
                  <a:pt x="50773" y="11283"/>
                  <a:pt x="51291" y="11283"/>
                </a:cubicBezTo>
                <a:cubicBezTo>
                  <a:pt x="58122" y="11451"/>
                  <a:pt x="64855" y="12934"/>
                  <a:pt x="71116" y="15648"/>
                </a:cubicBezTo>
                <a:cubicBezTo>
                  <a:pt x="71411" y="15768"/>
                  <a:pt x="71675" y="15918"/>
                  <a:pt x="71966" y="16023"/>
                </a:cubicBezTo>
                <a:lnTo>
                  <a:pt x="59989" y="45033"/>
                </a:lnTo>
                <a:cubicBezTo>
                  <a:pt x="67963" y="48803"/>
                  <a:pt x="75652" y="53142"/>
                  <a:pt x="82995" y="58015"/>
                </a:cubicBezTo>
                <a:lnTo>
                  <a:pt x="94799" y="29429"/>
                </a:lnTo>
                <a:cubicBezTo>
                  <a:pt x="102069" y="34397"/>
                  <a:pt x="109844" y="38592"/>
                  <a:pt x="117998" y="41947"/>
                </a:cubicBezTo>
                <a:lnTo>
                  <a:pt x="105990" y="71028"/>
                </a:lnTo>
                <a:cubicBezTo>
                  <a:pt x="98304" y="67396"/>
                  <a:pt x="90889" y="63225"/>
                  <a:pt x="83800" y="58548"/>
                </a:cubicBezTo>
                <a:lnTo>
                  <a:pt x="82965" y="58015"/>
                </a:lnTo>
                <a:lnTo>
                  <a:pt x="72053" y="84517"/>
                </a:lnTo>
                <a:cubicBezTo>
                  <a:pt x="79419" y="89342"/>
                  <a:pt x="87135" y="93619"/>
                  <a:pt x="95139" y="97312"/>
                </a:cubicBezTo>
                <a:lnTo>
                  <a:pt x="84370" y="123344"/>
                </a:lnTo>
                <a:cubicBezTo>
                  <a:pt x="77166" y="119809"/>
                  <a:pt x="70284" y="115661"/>
                  <a:pt x="63801" y="110947"/>
                </a:cubicBezTo>
                <a:close/>
                <a:moveTo>
                  <a:pt x="98811" y="98842"/>
                </a:moveTo>
                <a:cubicBezTo>
                  <a:pt x="97553" y="98328"/>
                  <a:pt x="96404" y="97773"/>
                  <a:pt x="95203" y="97233"/>
                </a:cubicBezTo>
                <a:lnTo>
                  <a:pt x="106013" y="71148"/>
                </a:lnTo>
                <a:cubicBezTo>
                  <a:pt x="112405" y="74022"/>
                  <a:pt x="119086" y="76216"/>
                  <a:pt x="125944" y="77695"/>
                </a:cubicBezTo>
                <a:lnTo>
                  <a:pt x="115035" y="104122"/>
                </a:lnTo>
                <a:cubicBezTo>
                  <a:pt x="109510" y="102738"/>
                  <a:pt x="104089" y="100974"/>
                  <a:pt x="98811" y="9884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79" name="Freeform: Shape 178">
            <a:extLst>
              <a:ext uri="{FF2B5EF4-FFF2-40B4-BE49-F238E27FC236}">
                <a16:creationId xmlns:a16="http://schemas.microsoft.com/office/drawing/2014/main" id="{56420519-F13A-475C-AB64-E105159C27E0}"/>
              </a:ext>
            </a:extLst>
          </xdr:cNvPr>
          <xdr:cNvSpPr/>
        </xdr:nvSpPr>
        <xdr:spPr>
          <a:xfrm>
            <a:off x="7399269" y="4821927"/>
            <a:ext cx="154572" cy="139491"/>
          </a:xfrm>
          <a:custGeom>
            <a:avLst/>
            <a:gdLst>
              <a:gd name="connsiteX0" fmla="*/ 154572 w 154572"/>
              <a:gd name="connsiteY0" fmla="*/ 102284 h 139491"/>
              <a:gd name="connsiteX1" fmla="*/ 112859 w 154572"/>
              <a:gd name="connsiteY1" fmla="*/ 1248 h 139491"/>
              <a:gd name="connsiteX2" fmla="*/ 103304 w 154572"/>
              <a:gd name="connsiteY2" fmla="*/ 14 h 139491"/>
              <a:gd name="connsiteX3" fmla="*/ 79179 w 154572"/>
              <a:gd name="connsiteY3" fmla="*/ 5223 h 139491"/>
              <a:gd name="connsiteX4" fmla="*/ 0 w 154572"/>
              <a:gd name="connsiteY4" fmla="*/ 38024 h 139491"/>
              <a:gd name="connsiteX5" fmla="*/ 41739 w 154572"/>
              <a:gd name="connsiteY5" fmla="*/ 139117 h 139491"/>
              <a:gd name="connsiteX6" fmla="*/ 48812 w 154572"/>
              <a:gd name="connsiteY6" fmla="*/ 139492 h 139491"/>
              <a:gd name="connsiteX7" fmla="*/ 120918 w 154572"/>
              <a:gd name="connsiteY7" fmla="*/ 106304 h 139491"/>
              <a:gd name="connsiteX8" fmla="*/ 145141 w 154572"/>
              <a:gd name="connsiteY8" fmla="*/ 101054 h 139491"/>
              <a:gd name="connsiteX9" fmla="*/ 154572 w 154572"/>
              <a:gd name="connsiteY9" fmla="*/ 102284 h 139491"/>
              <a:gd name="connsiteX10" fmla="*/ 39540 w 154572"/>
              <a:gd name="connsiteY10" fmla="*/ 104125 h 139491"/>
              <a:gd name="connsiteX11" fmla="*/ 28629 w 154572"/>
              <a:gd name="connsiteY11" fmla="*/ 77699 h 139491"/>
              <a:gd name="connsiteX12" fmla="*/ 48590 w 154572"/>
              <a:gd name="connsiteY12" fmla="*/ 71140 h 139491"/>
              <a:gd name="connsiteX13" fmla="*/ 59282 w 154572"/>
              <a:gd name="connsiteY13" fmla="*/ 97278 h 139491"/>
              <a:gd name="connsiteX14" fmla="*/ 55765 w 154572"/>
              <a:gd name="connsiteY14" fmla="*/ 98845 h 139491"/>
              <a:gd name="connsiteX15" fmla="*/ 39540 w 154572"/>
              <a:gd name="connsiteY15" fmla="*/ 104125 h 139491"/>
              <a:gd name="connsiteX16" fmla="*/ 116619 w 154572"/>
              <a:gd name="connsiteY16" fmla="*/ 95905 h 139491"/>
              <a:gd name="connsiteX17" fmla="*/ 115772 w 154572"/>
              <a:gd name="connsiteY17" fmla="*/ 96280 h 139491"/>
              <a:gd name="connsiteX18" fmla="*/ 105427 w 154572"/>
              <a:gd name="connsiteY18" fmla="*/ 71230 h 139491"/>
              <a:gd name="connsiteX19" fmla="*/ 85432 w 154572"/>
              <a:gd name="connsiteY19" fmla="*/ 82664 h 139491"/>
              <a:gd name="connsiteX20" fmla="*/ 82538 w 154572"/>
              <a:gd name="connsiteY20" fmla="*/ 84498 h 139491"/>
              <a:gd name="connsiteX21" fmla="*/ 92868 w 154572"/>
              <a:gd name="connsiteY21" fmla="*/ 109514 h 139491"/>
              <a:gd name="connsiteX22" fmla="*/ 90771 w 154572"/>
              <a:gd name="connsiteY22" fmla="*/ 110932 h 139491"/>
              <a:gd name="connsiteX23" fmla="*/ 70202 w 154572"/>
              <a:gd name="connsiteY23" fmla="*/ 123329 h 139491"/>
              <a:gd name="connsiteX24" fmla="*/ 59475 w 154572"/>
              <a:gd name="connsiteY24" fmla="*/ 97368 h 139491"/>
              <a:gd name="connsiteX25" fmla="*/ 82523 w 154572"/>
              <a:gd name="connsiteY25" fmla="*/ 84517 h 139491"/>
              <a:gd name="connsiteX26" fmla="*/ 71566 w 154572"/>
              <a:gd name="connsiteY26" fmla="*/ 58015 h 139491"/>
              <a:gd name="connsiteX27" fmla="*/ 70731 w 154572"/>
              <a:gd name="connsiteY27" fmla="*/ 58548 h 139491"/>
              <a:gd name="connsiteX28" fmla="*/ 48582 w 154572"/>
              <a:gd name="connsiteY28" fmla="*/ 71058 h 139491"/>
              <a:gd name="connsiteX29" fmla="*/ 36563 w 154572"/>
              <a:gd name="connsiteY29" fmla="*/ 41947 h 139491"/>
              <a:gd name="connsiteX30" fmla="*/ 59762 w 154572"/>
              <a:gd name="connsiteY30" fmla="*/ 29429 h 139491"/>
              <a:gd name="connsiteX31" fmla="*/ 71566 w 154572"/>
              <a:gd name="connsiteY31" fmla="*/ 58015 h 139491"/>
              <a:gd name="connsiteX32" fmla="*/ 94572 w 154572"/>
              <a:gd name="connsiteY32" fmla="*/ 45033 h 139491"/>
              <a:gd name="connsiteX33" fmla="*/ 82595 w 154572"/>
              <a:gd name="connsiteY33" fmla="*/ 16023 h 139491"/>
              <a:gd name="connsiteX34" fmla="*/ 83445 w 154572"/>
              <a:gd name="connsiteY34" fmla="*/ 15648 h 139491"/>
              <a:gd name="connsiteX35" fmla="*/ 103273 w 154572"/>
              <a:gd name="connsiteY35" fmla="*/ 11283 h 139491"/>
              <a:gd name="connsiteX36" fmla="*/ 104728 w 154572"/>
              <a:gd name="connsiteY36" fmla="*/ 11313 h 139491"/>
              <a:gd name="connsiteX37" fmla="*/ 115848 w 154572"/>
              <a:gd name="connsiteY37" fmla="*/ 38245 h 139491"/>
              <a:gd name="connsiteX38" fmla="*/ 98297 w 154572"/>
              <a:gd name="connsiteY38" fmla="*/ 43439 h 139491"/>
              <a:gd name="connsiteX39" fmla="*/ 94572 w 154572"/>
              <a:gd name="connsiteY39" fmla="*/ 45048 h 139491"/>
              <a:gd name="connsiteX40" fmla="*/ 105397 w 154572"/>
              <a:gd name="connsiteY40" fmla="*/ 71264 h 139491"/>
              <a:gd name="connsiteX41" fmla="*/ 109088 w 154572"/>
              <a:gd name="connsiteY41" fmla="*/ 69577 h 139491"/>
              <a:gd name="connsiteX42" fmla="*/ 126847 w 154572"/>
              <a:gd name="connsiteY42" fmla="*/ 64878 h 139491"/>
              <a:gd name="connsiteX43" fmla="*/ 137358 w 154572"/>
              <a:gd name="connsiteY43" fmla="*/ 90333 h 139491"/>
              <a:gd name="connsiteX44" fmla="*/ 116619 w 154572"/>
              <a:gd name="connsiteY44" fmla="*/ 95905 h 13949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</a:cxnLst>
            <a:rect l="l" t="t" r="r" b="b"/>
            <a:pathLst>
              <a:path w="154572" h="139491">
                <a:moveTo>
                  <a:pt x="154572" y="102284"/>
                </a:moveTo>
                <a:lnTo>
                  <a:pt x="112859" y="1248"/>
                </a:lnTo>
                <a:cubicBezTo>
                  <a:pt x="109761" y="332"/>
                  <a:pt x="106535" y="-84"/>
                  <a:pt x="103304" y="14"/>
                </a:cubicBezTo>
                <a:cubicBezTo>
                  <a:pt x="94997" y="175"/>
                  <a:pt x="86803" y="1945"/>
                  <a:pt x="79179" y="5223"/>
                </a:cubicBezTo>
                <a:cubicBezTo>
                  <a:pt x="53789" y="15547"/>
                  <a:pt x="42529" y="36089"/>
                  <a:pt x="0" y="38024"/>
                </a:cubicBezTo>
                <a:lnTo>
                  <a:pt x="41739" y="139117"/>
                </a:lnTo>
                <a:cubicBezTo>
                  <a:pt x="44088" y="139368"/>
                  <a:pt x="46450" y="139493"/>
                  <a:pt x="48812" y="139492"/>
                </a:cubicBezTo>
                <a:cubicBezTo>
                  <a:pt x="80248" y="139492"/>
                  <a:pt x="97247" y="115930"/>
                  <a:pt x="120918" y="106304"/>
                </a:cubicBezTo>
                <a:cubicBezTo>
                  <a:pt x="128571" y="103006"/>
                  <a:pt x="136799" y="101223"/>
                  <a:pt x="145141" y="101054"/>
                </a:cubicBezTo>
                <a:cubicBezTo>
                  <a:pt x="148331" y="100965"/>
                  <a:pt x="151514" y="101381"/>
                  <a:pt x="154572" y="102284"/>
                </a:cubicBezTo>
                <a:close/>
                <a:moveTo>
                  <a:pt x="39540" y="104125"/>
                </a:moveTo>
                <a:lnTo>
                  <a:pt x="28629" y="77699"/>
                </a:lnTo>
                <a:cubicBezTo>
                  <a:pt x="35496" y="76217"/>
                  <a:pt x="42187" y="74018"/>
                  <a:pt x="48590" y="71140"/>
                </a:cubicBezTo>
                <a:lnTo>
                  <a:pt x="59282" y="97278"/>
                </a:lnTo>
                <a:cubicBezTo>
                  <a:pt x="58111" y="97803"/>
                  <a:pt x="56993" y="98347"/>
                  <a:pt x="55765" y="98845"/>
                </a:cubicBezTo>
                <a:cubicBezTo>
                  <a:pt x="50486" y="100977"/>
                  <a:pt x="45065" y="102741"/>
                  <a:pt x="39540" y="104125"/>
                </a:cubicBezTo>
                <a:close/>
                <a:moveTo>
                  <a:pt x="116619" y="95905"/>
                </a:moveTo>
                <a:cubicBezTo>
                  <a:pt x="116328" y="96025"/>
                  <a:pt x="116059" y="96179"/>
                  <a:pt x="115772" y="96280"/>
                </a:cubicBezTo>
                <a:lnTo>
                  <a:pt x="105427" y="71230"/>
                </a:lnTo>
                <a:cubicBezTo>
                  <a:pt x="98515" y="74599"/>
                  <a:pt x="91836" y="78419"/>
                  <a:pt x="85432" y="82664"/>
                </a:cubicBezTo>
                <a:lnTo>
                  <a:pt x="82538" y="84498"/>
                </a:lnTo>
                <a:lnTo>
                  <a:pt x="92868" y="109514"/>
                </a:lnTo>
                <a:cubicBezTo>
                  <a:pt x="92173" y="109987"/>
                  <a:pt x="91462" y="110459"/>
                  <a:pt x="90771" y="110932"/>
                </a:cubicBezTo>
                <a:cubicBezTo>
                  <a:pt x="84288" y="115647"/>
                  <a:pt x="77406" y="119795"/>
                  <a:pt x="70202" y="123329"/>
                </a:cubicBezTo>
                <a:lnTo>
                  <a:pt x="59475" y="97368"/>
                </a:lnTo>
                <a:cubicBezTo>
                  <a:pt x="67464" y="93651"/>
                  <a:pt x="75168" y="89355"/>
                  <a:pt x="82523" y="84517"/>
                </a:cubicBezTo>
                <a:lnTo>
                  <a:pt x="71566" y="58015"/>
                </a:lnTo>
                <a:lnTo>
                  <a:pt x="70731" y="58548"/>
                </a:lnTo>
                <a:cubicBezTo>
                  <a:pt x="63658" y="63237"/>
                  <a:pt x="56256" y="67418"/>
                  <a:pt x="48582" y="71058"/>
                </a:cubicBezTo>
                <a:lnTo>
                  <a:pt x="36563" y="41947"/>
                </a:lnTo>
                <a:cubicBezTo>
                  <a:pt x="44717" y="38593"/>
                  <a:pt x="52493" y="34398"/>
                  <a:pt x="59762" y="29429"/>
                </a:cubicBezTo>
                <a:lnTo>
                  <a:pt x="71566" y="58015"/>
                </a:lnTo>
                <a:cubicBezTo>
                  <a:pt x="78909" y="53143"/>
                  <a:pt x="86598" y="48804"/>
                  <a:pt x="94572" y="45033"/>
                </a:cubicBezTo>
                <a:lnTo>
                  <a:pt x="82595" y="16023"/>
                </a:lnTo>
                <a:cubicBezTo>
                  <a:pt x="82886" y="15903"/>
                  <a:pt x="83154" y="15753"/>
                  <a:pt x="83445" y="15648"/>
                </a:cubicBezTo>
                <a:cubicBezTo>
                  <a:pt x="89708" y="12933"/>
                  <a:pt x="96441" y="11451"/>
                  <a:pt x="103273" y="11283"/>
                </a:cubicBezTo>
                <a:cubicBezTo>
                  <a:pt x="103791" y="11283"/>
                  <a:pt x="104275" y="11283"/>
                  <a:pt x="104728" y="11313"/>
                </a:cubicBezTo>
                <a:lnTo>
                  <a:pt x="115848" y="38245"/>
                </a:lnTo>
                <a:cubicBezTo>
                  <a:pt x="109834" y="39377"/>
                  <a:pt x="103953" y="41117"/>
                  <a:pt x="98297" y="43439"/>
                </a:cubicBezTo>
                <a:cubicBezTo>
                  <a:pt x="97023" y="43957"/>
                  <a:pt x="95781" y="44493"/>
                  <a:pt x="94572" y="45048"/>
                </a:cubicBezTo>
                <a:lnTo>
                  <a:pt x="105397" y="71264"/>
                </a:lnTo>
                <a:cubicBezTo>
                  <a:pt x="106617" y="70690"/>
                  <a:pt x="107815" y="70094"/>
                  <a:pt x="109088" y="69577"/>
                </a:cubicBezTo>
                <a:cubicBezTo>
                  <a:pt x="114755" y="67188"/>
                  <a:pt x="120734" y="65606"/>
                  <a:pt x="126847" y="64878"/>
                </a:cubicBezTo>
                <a:lnTo>
                  <a:pt x="137358" y="90333"/>
                </a:lnTo>
                <a:cubicBezTo>
                  <a:pt x="130227" y="91273"/>
                  <a:pt x="123253" y="93147"/>
                  <a:pt x="116619" y="9590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80" name="Freeform: Shape 179">
            <a:extLst>
              <a:ext uri="{FF2B5EF4-FFF2-40B4-BE49-F238E27FC236}">
                <a16:creationId xmlns:a16="http://schemas.microsoft.com/office/drawing/2014/main" id="{5F09FBB6-1746-414F-8C02-920A392FF1B4}"/>
              </a:ext>
            </a:extLst>
          </xdr:cNvPr>
          <xdr:cNvSpPr/>
        </xdr:nvSpPr>
        <xdr:spPr>
          <a:xfrm>
            <a:off x="7522291" y="4808202"/>
            <a:ext cx="100787" cy="214634"/>
          </a:xfrm>
          <a:custGeom>
            <a:avLst/>
            <a:gdLst>
              <a:gd name="connsiteX0" fmla="*/ 58629 w 100787"/>
              <a:gd name="connsiteY0" fmla="*/ 111438 h 214634"/>
              <a:gd name="connsiteX1" fmla="*/ 100296 w 100787"/>
              <a:gd name="connsiteY1" fmla="*/ 10521 h 214634"/>
              <a:gd name="connsiteX2" fmla="*/ 95903 w 100787"/>
              <a:gd name="connsiteY2" fmla="*/ 852 h 214634"/>
              <a:gd name="connsiteX3" fmla="*/ 86317 w 100787"/>
              <a:gd name="connsiteY3" fmla="*/ 4836 h 214634"/>
              <a:gd name="connsiteX4" fmla="*/ 50460 w 100787"/>
              <a:gd name="connsiteY4" fmla="*/ 91660 h 214634"/>
              <a:gd name="connsiteX5" fmla="*/ 14626 w 100787"/>
              <a:gd name="connsiteY5" fmla="*/ 4848 h 214634"/>
              <a:gd name="connsiteX6" fmla="*/ 4884 w 100787"/>
              <a:gd name="connsiteY6" fmla="*/ 487 h 214634"/>
              <a:gd name="connsiteX7" fmla="*/ 491 w 100787"/>
              <a:gd name="connsiteY7" fmla="*/ 10156 h 214634"/>
              <a:gd name="connsiteX8" fmla="*/ 646 w 100787"/>
              <a:gd name="connsiteY8" fmla="*/ 10533 h 214634"/>
              <a:gd name="connsiteX9" fmla="*/ 42295 w 100787"/>
              <a:gd name="connsiteY9" fmla="*/ 111438 h 214634"/>
              <a:gd name="connsiteX10" fmla="*/ 4024 w 100787"/>
              <a:gd name="connsiteY10" fmla="*/ 204126 h 214634"/>
              <a:gd name="connsiteX11" fmla="*/ 7918 w 100787"/>
              <a:gd name="connsiteY11" fmla="*/ 214004 h 214634"/>
              <a:gd name="connsiteX12" fmla="*/ 17870 w 100787"/>
              <a:gd name="connsiteY12" fmla="*/ 210139 h 214634"/>
              <a:gd name="connsiteX13" fmla="*/ 18004 w 100787"/>
              <a:gd name="connsiteY13" fmla="*/ 209815 h 214634"/>
              <a:gd name="connsiteX14" fmla="*/ 50460 w 100787"/>
              <a:gd name="connsiteY14" fmla="*/ 131223 h 214634"/>
              <a:gd name="connsiteX15" fmla="*/ 82916 w 100787"/>
              <a:gd name="connsiteY15" fmla="*/ 209823 h 214634"/>
              <a:gd name="connsiteX16" fmla="*/ 92868 w 100787"/>
              <a:gd name="connsiteY16" fmla="*/ 213687 h 214634"/>
              <a:gd name="connsiteX17" fmla="*/ 96896 w 100787"/>
              <a:gd name="connsiteY17" fmla="*/ 204134 h 2146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00787" h="214634">
                <a:moveTo>
                  <a:pt x="58629" y="111438"/>
                </a:moveTo>
                <a:lnTo>
                  <a:pt x="100296" y="10521"/>
                </a:lnTo>
                <a:cubicBezTo>
                  <a:pt x="101773" y="6647"/>
                  <a:pt x="99807" y="2318"/>
                  <a:pt x="95903" y="852"/>
                </a:cubicBezTo>
                <a:cubicBezTo>
                  <a:pt x="92149" y="-558"/>
                  <a:pt x="87939" y="1192"/>
                  <a:pt x="86317" y="4836"/>
                </a:cubicBezTo>
                <a:lnTo>
                  <a:pt x="50460" y="91660"/>
                </a:lnTo>
                <a:lnTo>
                  <a:pt x="14626" y="4848"/>
                </a:lnTo>
                <a:cubicBezTo>
                  <a:pt x="13149" y="973"/>
                  <a:pt x="8788" y="-978"/>
                  <a:pt x="4884" y="487"/>
                </a:cubicBezTo>
                <a:cubicBezTo>
                  <a:pt x="981" y="1954"/>
                  <a:pt x="-986" y="6282"/>
                  <a:pt x="491" y="10156"/>
                </a:cubicBezTo>
                <a:cubicBezTo>
                  <a:pt x="539" y="10283"/>
                  <a:pt x="591" y="10409"/>
                  <a:pt x="646" y="10533"/>
                </a:cubicBezTo>
                <a:lnTo>
                  <a:pt x="42295" y="111438"/>
                </a:lnTo>
                <a:lnTo>
                  <a:pt x="4024" y="204126"/>
                </a:lnTo>
                <a:cubicBezTo>
                  <a:pt x="2351" y="207921"/>
                  <a:pt x="4095" y="212343"/>
                  <a:pt x="7918" y="214004"/>
                </a:cubicBezTo>
                <a:cubicBezTo>
                  <a:pt x="11742" y="215664"/>
                  <a:pt x="16197" y="213934"/>
                  <a:pt x="17870" y="210139"/>
                </a:cubicBezTo>
                <a:cubicBezTo>
                  <a:pt x="17918" y="210032"/>
                  <a:pt x="17962" y="209924"/>
                  <a:pt x="18004" y="209815"/>
                </a:cubicBezTo>
                <a:lnTo>
                  <a:pt x="50460" y="131223"/>
                </a:lnTo>
                <a:lnTo>
                  <a:pt x="82916" y="209823"/>
                </a:lnTo>
                <a:cubicBezTo>
                  <a:pt x="84589" y="213617"/>
                  <a:pt x="89045" y="215348"/>
                  <a:pt x="92868" y="213687"/>
                </a:cubicBezTo>
                <a:cubicBezTo>
                  <a:pt x="96566" y="212082"/>
                  <a:pt x="98340" y="207875"/>
                  <a:pt x="96896" y="20413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10</xdr:col>
      <xdr:colOff>143656</xdr:colOff>
      <xdr:row>15</xdr:row>
      <xdr:rowOff>168150</xdr:rowOff>
    </xdr:from>
    <xdr:to>
      <xdr:col>10</xdr:col>
      <xdr:colOff>449324</xdr:colOff>
      <xdr:row>15</xdr:row>
      <xdr:rowOff>383312</xdr:rowOff>
    </xdr:to>
    <xdr:sp macro="" textlink="">
      <xdr:nvSpPr>
        <xdr:cNvPr id="181" name="race2" descr="Race Flag outline">
          <a:extLst>
            <a:ext uri="{FF2B5EF4-FFF2-40B4-BE49-F238E27FC236}">
              <a16:creationId xmlns:a16="http://schemas.microsoft.com/office/drawing/2014/main" id="{5F34A030-C223-4DFD-BDCD-D25167397FB3}"/>
            </a:ext>
          </a:extLst>
        </xdr:cNvPr>
        <xdr:cNvSpPr>
          <a:spLocks noChangeAspect="1"/>
        </xdr:cNvSpPr>
      </xdr:nvSpPr>
      <xdr:spPr>
        <a:xfrm>
          <a:off x="8287531" y="6892800"/>
          <a:ext cx="305668" cy="215162"/>
        </a:xfrm>
        <a:custGeom>
          <a:avLst/>
          <a:gdLst>
            <a:gd name="connsiteX0" fmla="*/ 40050 w 305668"/>
            <a:gd name="connsiteY0" fmla="*/ 142412 h 215162"/>
            <a:gd name="connsiteX1" fmla="*/ 48363 w 305668"/>
            <a:gd name="connsiteY1" fmla="*/ 142412 h 215162"/>
            <a:gd name="connsiteX2" fmla="*/ 98237 w 305668"/>
            <a:gd name="connsiteY2" fmla="*/ 124787 h 215162"/>
            <a:gd name="connsiteX3" fmla="*/ 100504 w 305668"/>
            <a:gd name="connsiteY3" fmla="*/ 123287 h 215162"/>
            <a:gd name="connsiteX4" fmla="*/ 119018 w 305668"/>
            <a:gd name="connsiteY4" fmla="*/ 112412 h 215162"/>
            <a:gd name="connsiteX5" fmla="*/ 140177 w 305668"/>
            <a:gd name="connsiteY5" fmla="*/ 107537 h 215162"/>
            <a:gd name="connsiteX6" fmla="*/ 143955 w 305668"/>
            <a:gd name="connsiteY6" fmla="*/ 107537 h 215162"/>
            <a:gd name="connsiteX7" fmla="*/ 143955 w 305668"/>
            <a:gd name="connsiteY7" fmla="*/ 107537 h 215162"/>
            <a:gd name="connsiteX8" fmla="*/ 144711 w 305668"/>
            <a:gd name="connsiteY8" fmla="*/ 107537 h 215162"/>
            <a:gd name="connsiteX9" fmla="*/ 148489 w 305668"/>
            <a:gd name="connsiteY9" fmla="*/ 116912 h 215162"/>
            <a:gd name="connsiteX10" fmla="*/ 109572 w 305668"/>
            <a:gd name="connsiteY10" fmla="*/ 209912 h 215162"/>
            <a:gd name="connsiteX11" fmla="*/ 111461 w 305668"/>
            <a:gd name="connsiteY11" fmla="*/ 214787 h 215162"/>
            <a:gd name="connsiteX12" fmla="*/ 116373 w 305668"/>
            <a:gd name="connsiteY12" fmla="*/ 212912 h 215162"/>
            <a:gd name="connsiteX13" fmla="*/ 116373 w 305668"/>
            <a:gd name="connsiteY13" fmla="*/ 212912 h 215162"/>
            <a:gd name="connsiteX14" fmla="*/ 152645 w 305668"/>
            <a:gd name="connsiteY14" fmla="*/ 126662 h 215162"/>
            <a:gd name="connsiteX15" fmla="*/ 188917 w 305668"/>
            <a:gd name="connsiteY15" fmla="*/ 212912 h 215162"/>
            <a:gd name="connsiteX16" fmla="*/ 192318 w 305668"/>
            <a:gd name="connsiteY16" fmla="*/ 215162 h 215162"/>
            <a:gd name="connsiteX17" fmla="*/ 193829 w 305668"/>
            <a:gd name="connsiteY17" fmla="*/ 214787 h 215162"/>
            <a:gd name="connsiteX18" fmla="*/ 195718 w 305668"/>
            <a:gd name="connsiteY18" fmla="*/ 209912 h 215162"/>
            <a:gd name="connsiteX19" fmla="*/ 156801 w 305668"/>
            <a:gd name="connsiteY19" fmla="*/ 116912 h 215162"/>
            <a:gd name="connsiteX20" fmla="*/ 160580 w 305668"/>
            <a:gd name="connsiteY20" fmla="*/ 107537 h 215162"/>
            <a:gd name="connsiteX21" fmla="*/ 161335 w 305668"/>
            <a:gd name="connsiteY21" fmla="*/ 107537 h 215162"/>
            <a:gd name="connsiteX22" fmla="*/ 161335 w 305668"/>
            <a:gd name="connsiteY22" fmla="*/ 107537 h 215162"/>
            <a:gd name="connsiteX23" fmla="*/ 164736 w 305668"/>
            <a:gd name="connsiteY23" fmla="*/ 107537 h 215162"/>
            <a:gd name="connsiteX24" fmla="*/ 186272 w 305668"/>
            <a:gd name="connsiteY24" fmla="*/ 112412 h 215162"/>
            <a:gd name="connsiteX25" fmla="*/ 204786 w 305668"/>
            <a:gd name="connsiteY25" fmla="*/ 123287 h 215162"/>
            <a:gd name="connsiteX26" fmla="*/ 207053 w 305668"/>
            <a:gd name="connsiteY26" fmla="*/ 124787 h 215162"/>
            <a:gd name="connsiteX27" fmla="*/ 257305 w 305668"/>
            <a:gd name="connsiteY27" fmla="*/ 142412 h 215162"/>
            <a:gd name="connsiteX28" fmla="*/ 265240 w 305668"/>
            <a:gd name="connsiteY28" fmla="*/ 142412 h 215162"/>
            <a:gd name="connsiteX29" fmla="*/ 305668 w 305668"/>
            <a:gd name="connsiteY29" fmla="*/ 41537 h 215162"/>
            <a:gd name="connsiteX30" fmla="*/ 294711 w 305668"/>
            <a:gd name="connsiteY30" fmla="*/ 41537 h 215162"/>
            <a:gd name="connsiteX31" fmla="*/ 248615 w 305668"/>
            <a:gd name="connsiteY31" fmla="*/ 25037 h 215162"/>
            <a:gd name="connsiteX32" fmla="*/ 246348 w 305668"/>
            <a:gd name="connsiteY32" fmla="*/ 23537 h 215162"/>
            <a:gd name="connsiteX33" fmla="*/ 226701 w 305668"/>
            <a:gd name="connsiteY33" fmla="*/ 12287 h 215162"/>
            <a:gd name="connsiteX34" fmla="*/ 202897 w 305668"/>
            <a:gd name="connsiteY34" fmla="*/ 7037 h 215162"/>
            <a:gd name="connsiteX35" fmla="*/ 203653 w 305668"/>
            <a:gd name="connsiteY35" fmla="*/ 5162 h 215162"/>
            <a:gd name="connsiteX36" fmla="*/ 201386 w 305668"/>
            <a:gd name="connsiteY36" fmla="*/ 287 h 215162"/>
            <a:gd name="connsiteX37" fmla="*/ 196474 w 305668"/>
            <a:gd name="connsiteY37" fmla="*/ 2162 h 215162"/>
            <a:gd name="connsiteX38" fmla="*/ 152645 w 305668"/>
            <a:gd name="connsiteY38" fmla="*/ 107162 h 215162"/>
            <a:gd name="connsiteX39" fmla="*/ 108816 w 305668"/>
            <a:gd name="connsiteY39" fmla="*/ 2162 h 215162"/>
            <a:gd name="connsiteX40" fmla="*/ 103904 w 305668"/>
            <a:gd name="connsiteY40" fmla="*/ 287 h 215162"/>
            <a:gd name="connsiteX41" fmla="*/ 102015 w 305668"/>
            <a:gd name="connsiteY41" fmla="*/ 5162 h 215162"/>
            <a:gd name="connsiteX42" fmla="*/ 102771 w 305668"/>
            <a:gd name="connsiteY42" fmla="*/ 7037 h 215162"/>
            <a:gd name="connsiteX43" fmla="*/ 78967 w 305668"/>
            <a:gd name="connsiteY43" fmla="*/ 12287 h 215162"/>
            <a:gd name="connsiteX44" fmla="*/ 59320 w 305668"/>
            <a:gd name="connsiteY44" fmla="*/ 23537 h 215162"/>
            <a:gd name="connsiteX45" fmla="*/ 57053 w 305668"/>
            <a:gd name="connsiteY45" fmla="*/ 25037 h 215162"/>
            <a:gd name="connsiteX46" fmla="*/ 10957 w 305668"/>
            <a:gd name="connsiteY46" fmla="*/ 41537 h 215162"/>
            <a:gd name="connsiteX47" fmla="*/ 0 w 305668"/>
            <a:gd name="connsiteY47" fmla="*/ 41537 h 215162"/>
            <a:gd name="connsiteX48" fmla="*/ 40050 w 305668"/>
            <a:gd name="connsiteY48" fmla="*/ 142412 h 215162"/>
            <a:gd name="connsiteX49" fmla="*/ 32872 w 305668"/>
            <a:gd name="connsiteY49" fmla="*/ 103787 h 215162"/>
            <a:gd name="connsiteX50" fmla="*/ 23426 w 305668"/>
            <a:gd name="connsiteY50" fmla="*/ 80162 h 215162"/>
            <a:gd name="connsiteX51" fmla="*/ 42695 w 305668"/>
            <a:gd name="connsiteY51" fmla="*/ 77537 h 215162"/>
            <a:gd name="connsiteX52" fmla="*/ 52897 w 305668"/>
            <a:gd name="connsiteY52" fmla="*/ 101537 h 215162"/>
            <a:gd name="connsiteX53" fmla="*/ 35516 w 305668"/>
            <a:gd name="connsiteY53" fmla="*/ 103787 h 215162"/>
            <a:gd name="connsiteX54" fmla="*/ 32872 w 305668"/>
            <a:gd name="connsiteY54" fmla="*/ 103787 h 215162"/>
            <a:gd name="connsiteX55" fmla="*/ 49874 w 305668"/>
            <a:gd name="connsiteY55" fmla="*/ 74912 h 215162"/>
            <a:gd name="connsiteX56" fmla="*/ 67632 w 305668"/>
            <a:gd name="connsiteY56" fmla="*/ 65912 h 215162"/>
            <a:gd name="connsiteX57" fmla="*/ 77834 w 305668"/>
            <a:gd name="connsiteY57" fmla="*/ 89537 h 215162"/>
            <a:gd name="connsiteX58" fmla="*/ 60454 w 305668"/>
            <a:gd name="connsiteY58" fmla="*/ 98912 h 215162"/>
            <a:gd name="connsiteX59" fmla="*/ 49874 w 305668"/>
            <a:gd name="connsiteY59" fmla="*/ 74912 h 215162"/>
            <a:gd name="connsiteX60" fmla="*/ 64610 w 305668"/>
            <a:gd name="connsiteY60" fmla="*/ 59162 h 215162"/>
            <a:gd name="connsiteX61" fmla="*/ 46851 w 305668"/>
            <a:gd name="connsiteY61" fmla="*/ 68162 h 215162"/>
            <a:gd name="connsiteX62" fmla="*/ 36650 w 305668"/>
            <a:gd name="connsiteY62" fmla="*/ 44162 h 215162"/>
            <a:gd name="connsiteX63" fmla="*/ 54408 w 305668"/>
            <a:gd name="connsiteY63" fmla="*/ 35162 h 215162"/>
            <a:gd name="connsiteX64" fmla="*/ 64610 w 305668"/>
            <a:gd name="connsiteY64" fmla="*/ 59162 h 215162"/>
            <a:gd name="connsiteX65" fmla="*/ 91058 w 305668"/>
            <a:gd name="connsiteY65" fmla="*/ 120662 h 215162"/>
            <a:gd name="connsiteX66" fmla="*/ 73678 w 305668"/>
            <a:gd name="connsiteY66" fmla="*/ 130037 h 215162"/>
            <a:gd name="connsiteX67" fmla="*/ 63476 w 305668"/>
            <a:gd name="connsiteY67" fmla="*/ 106037 h 215162"/>
            <a:gd name="connsiteX68" fmla="*/ 81234 w 305668"/>
            <a:gd name="connsiteY68" fmla="*/ 97037 h 215162"/>
            <a:gd name="connsiteX69" fmla="*/ 91058 w 305668"/>
            <a:gd name="connsiteY69" fmla="*/ 120662 h 215162"/>
            <a:gd name="connsiteX70" fmla="*/ 74056 w 305668"/>
            <a:gd name="connsiteY70" fmla="*/ 61787 h 215162"/>
            <a:gd name="connsiteX71" fmla="*/ 75567 w 305668"/>
            <a:gd name="connsiteY71" fmla="*/ 60662 h 215162"/>
            <a:gd name="connsiteX72" fmla="*/ 91058 w 305668"/>
            <a:gd name="connsiteY72" fmla="*/ 51287 h 215162"/>
            <a:gd name="connsiteX73" fmla="*/ 101260 w 305668"/>
            <a:gd name="connsiteY73" fmla="*/ 75287 h 215162"/>
            <a:gd name="connsiteX74" fmla="*/ 84257 w 305668"/>
            <a:gd name="connsiteY74" fmla="*/ 85412 h 215162"/>
            <a:gd name="connsiteX75" fmla="*/ 74056 w 305668"/>
            <a:gd name="connsiteY75" fmla="*/ 61787 h 215162"/>
            <a:gd name="connsiteX76" fmla="*/ 98237 w 305668"/>
            <a:gd name="connsiteY76" fmla="*/ 48662 h 215162"/>
            <a:gd name="connsiteX77" fmla="*/ 115617 w 305668"/>
            <a:gd name="connsiteY77" fmla="*/ 45287 h 215162"/>
            <a:gd name="connsiteX78" fmla="*/ 119018 w 305668"/>
            <a:gd name="connsiteY78" fmla="*/ 45287 h 215162"/>
            <a:gd name="connsiteX79" fmla="*/ 128842 w 305668"/>
            <a:gd name="connsiteY79" fmla="*/ 68912 h 215162"/>
            <a:gd name="connsiteX80" fmla="*/ 128086 w 305668"/>
            <a:gd name="connsiteY80" fmla="*/ 68912 h 215162"/>
            <a:gd name="connsiteX81" fmla="*/ 108816 w 305668"/>
            <a:gd name="connsiteY81" fmla="*/ 72287 h 215162"/>
            <a:gd name="connsiteX82" fmla="*/ 98237 w 305668"/>
            <a:gd name="connsiteY82" fmla="*/ 48662 h 215162"/>
            <a:gd name="connsiteX83" fmla="*/ 115617 w 305668"/>
            <a:gd name="connsiteY83" fmla="*/ 37787 h 215162"/>
            <a:gd name="connsiteX84" fmla="*/ 114862 w 305668"/>
            <a:gd name="connsiteY84" fmla="*/ 37787 h 215162"/>
            <a:gd name="connsiteX85" fmla="*/ 95592 w 305668"/>
            <a:gd name="connsiteY85" fmla="*/ 41537 h 215162"/>
            <a:gd name="connsiteX86" fmla="*/ 85391 w 305668"/>
            <a:gd name="connsiteY86" fmla="*/ 17537 h 215162"/>
            <a:gd name="connsiteX87" fmla="*/ 103527 w 305668"/>
            <a:gd name="connsiteY87" fmla="*/ 14162 h 215162"/>
            <a:gd name="connsiteX88" fmla="*/ 106171 w 305668"/>
            <a:gd name="connsiteY88" fmla="*/ 14162 h 215162"/>
            <a:gd name="connsiteX89" fmla="*/ 115617 w 305668"/>
            <a:gd name="connsiteY89" fmla="*/ 37787 h 215162"/>
            <a:gd name="connsiteX90" fmla="*/ 88035 w 305668"/>
            <a:gd name="connsiteY90" fmla="*/ 44912 h 215162"/>
            <a:gd name="connsiteX91" fmla="*/ 73678 w 305668"/>
            <a:gd name="connsiteY91" fmla="*/ 53162 h 215162"/>
            <a:gd name="connsiteX92" fmla="*/ 71033 w 305668"/>
            <a:gd name="connsiteY92" fmla="*/ 55037 h 215162"/>
            <a:gd name="connsiteX93" fmla="*/ 60831 w 305668"/>
            <a:gd name="connsiteY93" fmla="*/ 31412 h 215162"/>
            <a:gd name="connsiteX94" fmla="*/ 63098 w 305668"/>
            <a:gd name="connsiteY94" fmla="*/ 29912 h 215162"/>
            <a:gd name="connsiteX95" fmla="*/ 78212 w 305668"/>
            <a:gd name="connsiteY95" fmla="*/ 20912 h 215162"/>
            <a:gd name="connsiteX96" fmla="*/ 88035 w 305668"/>
            <a:gd name="connsiteY96" fmla="*/ 44912 h 215162"/>
            <a:gd name="connsiteX97" fmla="*/ 10957 w 305668"/>
            <a:gd name="connsiteY97" fmla="*/ 49037 h 215162"/>
            <a:gd name="connsiteX98" fmla="*/ 29471 w 305668"/>
            <a:gd name="connsiteY98" fmla="*/ 46412 h 215162"/>
            <a:gd name="connsiteX99" fmla="*/ 39673 w 305668"/>
            <a:gd name="connsiteY99" fmla="*/ 70412 h 215162"/>
            <a:gd name="connsiteX100" fmla="*/ 23048 w 305668"/>
            <a:gd name="connsiteY100" fmla="*/ 72662 h 215162"/>
            <a:gd name="connsiteX101" fmla="*/ 20403 w 305668"/>
            <a:gd name="connsiteY101" fmla="*/ 72662 h 215162"/>
            <a:gd name="connsiteX102" fmla="*/ 10957 w 305668"/>
            <a:gd name="connsiteY102" fmla="*/ 49037 h 215162"/>
            <a:gd name="connsiteX103" fmla="*/ 47985 w 305668"/>
            <a:gd name="connsiteY103" fmla="*/ 134912 h 215162"/>
            <a:gd name="connsiteX104" fmla="*/ 44962 w 305668"/>
            <a:gd name="connsiteY104" fmla="*/ 134912 h 215162"/>
            <a:gd name="connsiteX105" fmla="*/ 35516 w 305668"/>
            <a:gd name="connsiteY105" fmla="*/ 111287 h 215162"/>
            <a:gd name="connsiteX106" fmla="*/ 55542 w 305668"/>
            <a:gd name="connsiteY106" fmla="*/ 108287 h 215162"/>
            <a:gd name="connsiteX107" fmla="*/ 65743 w 305668"/>
            <a:gd name="connsiteY107" fmla="*/ 132287 h 215162"/>
            <a:gd name="connsiteX108" fmla="*/ 47985 w 305668"/>
            <a:gd name="connsiteY108" fmla="*/ 134912 h 215162"/>
            <a:gd name="connsiteX109" fmla="*/ 97481 w 305668"/>
            <a:gd name="connsiteY109" fmla="*/ 116537 h 215162"/>
            <a:gd name="connsiteX110" fmla="*/ 87280 w 305668"/>
            <a:gd name="connsiteY110" fmla="*/ 92912 h 215162"/>
            <a:gd name="connsiteX111" fmla="*/ 88035 w 305668"/>
            <a:gd name="connsiteY111" fmla="*/ 92537 h 215162"/>
            <a:gd name="connsiteX112" fmla="*/ 104282 w 305668"/>
            <a:gd name="connsiteY112" fmla="*/ 82787 h 215162"/>
            <a:gd name="connsiteX113" fmla="*/ 114484 w 305668"/>
            <a:gd name="connsiteY113" fmla="*/ 106787 h 215162"/>
            <a:gd name="connsiteX114" fmla="*/ 97481 w 305668"/>
            <a:gd name="connsiteY114" fmla="*/ 116537 h 215162"/>
            <a:gd name="connsiteX115" fmla="*/ 140177 w 305668"/>
            <a:gd name="connsiteY115" fmla="*/ 100412 h 215162"/>
            <a:gd name="connsiteX116" fmla="*/ 121663 w 305668"/>
            <a:gd name="connsiteY116" fmla="*/ 103787 h 215162"/>
            <a:gd name="connsiteX117" fmla="*/ 111083 w 305668"/>
            <a:gd name="connsiteY117" fmla="*/ 79412 h 215162"/>
            <a:gd name="connsiteX118" fmla="*/ 127708 w 305668"/>
            <a:gd name="connsiteY118" fmla="*/ 76412 h 215162"/>
            <a:gd name="connsiteX119" fmla="*/ 131486 w 305668"/>
            <a:gd name="connsiteY119" fmla="*/ 76412 h 215162"/>
            <a:gd name="connsiteX120" fmla="*/ 131486 w 305668"/>
            <a:gd name="connsiteY120" fmla="*/ 76412 h 215162"/>
            <a:gd name="connsiteX121" fmla="*/ 131486 w 305668"/>
            <a:gd name="connsiteY121" fmla="*/ 76412 h 215162"/>
            <a:gd name="connsiteX122" fmla="*/ 141310 w 305668"/>
            <a:gd name="connsiteY122" fmla="*/ 100412 h 215162"/>
            <a:gd name="connsiteX123" fmla="*/ 140177 w 305668"/>
            <a:gd name="connsiteY123" fmla="*/ 100412 h 215162"/>
            <a:gd name="connsiteX124" fmla="*/ 269774 w 305668"/>
            <a:gd name="connsiteY124" fmla="*/ 103787 h 215162"/>
            <a:gd name="connsiteX125" fmla="*/ 252393 w 305668"/>
            <a:gd name="connsiteY125" fmla="*/ 101537 h 215162"/>
            <a:gd name="connsiteX126" fmla="*/ 262595 w 305668"/>
            <a:gd name="connsiteY126" fmla="*/ 77537 h 215162"/>
            <a:gd name="connsiteX127" fmla="*/ 281864 w 305668"/>
            <a:gd name="connsiteY127" fmla="*/ 80162 h 215162"/>
            <a:gd name="connsiteX128" fmla="*/ 272419 w 305668"/>
            <a:gd name="connsiteY128" fmla="*/ 103787 h 215162"/>
            <a:gd name="connsiteX129" fmla="*/ 269774 w 305668"/>
            <a:gd name="connsiteY129" fmla="*/ 103787 h 215162"/>
            <a:gd name="connsiteX130" fmla="*/ 186650 w 305668"/>
            <a:gd name="connsiteY130" fmla="*/ 45662 h 215162"/>
            <a:gd name="connsiteX131" fmla="*/ 189673 w 305668"/>
            <a:gd name="connsiteY131" fmla="*/ 45662 h 215162"/>
            <a:gd name="connsiteX132" fmla="*/ 207053 w 305668"/>
            <a:gd name="connsiteY132" fmla="*/ 49037 h 215162"/>
            <a:gd name="connsiteX133" fmla="*/ 196852 w 305668"/>
            <a:gd name="connsiteY133" fmla="*/ 72662 h 215162"/>
            <a:gd name="connsiteX134" fmla="*/ 177204 w 305668"/>
            <a:gd name="connsiteY134" fmla="*/ 69287 h 215162"/>
            <a:gd name="connsiteX135" fmla="*/ 176449 w 305668"/>
            <a:gd name="connsiteY135" fmla="*/ 69287 h 215162"/>
            <a:gd name="connsiteX136" fmla="*/ 186650 w 305668"/>
            <a:gd name="connsiteY136" fmla="*/ 45662 h 215162"/>
            <a:gd name="connsiteX137" fmla="*/ 214232 w 305668"/>
            <a:gd name="connsiteY137" fmla="*/ 51662 h 215162"/>
            <a:gd name="connsiteX138" fmla="*/ 229723 w 305668"/>
            <a:gd name="connsiteY138" fmla="*/ 61037 h 215162"/>
            <a:gd name="connsiteX139" fmla="*/ 231235 w 305668"/>
            <a:gd name="connsiteY139" fmla="*/ 62162 h 215162"/>
            <a:gd name="connsiteX140" fmla="*/ 221033 w 305668"/>
            <a:gd name="connsiteY140" fmla="*/ 85787 h 215162"/>
            <a:gd name="connsiteX141" fmla="*/ 204031 w 305668"/>
            <a:gd name="connsiteY141" fmla="*/ 75662 h 215162"/>
            <a:gd name="connsiteX142" fmla="*/ 214232 w 305668"/>
            <a:gd name="connsiteY142" fmla="*/ 51662 h 215162"/>
            <a:gd name="connsiteX143" fmla="*/ 250882 w 305668"/>
            <a:gd name="connsiteY143" fmla="*/ 35537 h 215162"/>
            <a:gd name="connsiteX144" fmla="*/ 268640 w 305668"/>
            <a:gd name="connsiteY144" fmla="*/ 44162 h 215162"/>
            <a:gd name="connsiteX145" fmla="*/ 258439 w 305668"/>
            <a:gd name="connsiteY145" fmla="*/ 68162 h 215162"/>
            <a:gd name="connsiteX146" fmla="*/ 240681 w 305668"/>
            <a:gd name="connsiteY146" fmla="*/ 59162 h 215162"/>
            <a:gd name="connsiteX147" fmla="*/ 250882 w 305668"/>
            <a:gd name="connsiteY147" fmla="*/ 35537 h 215162"/>
            <a:gd name="connsiteX148" fmla="*/ 224434 w 305668"/>
            <a:gd name="connsiteY148" fmla="*/ 97037 h 215162"/>
            <a:gd name="connsiteX149" fmla="*/ 242192 w 305668"/>
            <a:gd name="connsiteY149" fmla="*/ 106037 h 215162"/>
            <a:gd name="connsiteX150" fmla="*/ 231990 w 305668"/>
            <a:gd name="connsiteY150" fmla="*/ 130037 h 215162"/>
            <a:gd name="connsiteX151" fmla="*/ 214610 w 305668"/>
            <a:gd name="connsiteY151" fmla="*/ 120662 h 215162"/>
            <a:gd name="connsiteX152" fmla="*/ 224434 w 305668"/>
            <a:gd name="connsiteY152" fmla="*/ 97037 h 215162"/>
            <a:gd name="connsiteX153" fmla="*/ 227456 w 305668"/>
            <a:gd name="connsiteY153" fmla="*/ 89912 h 215162"/>
            <a:gd name="connsiteX154" fmla="*/ 237658 w 305668"/>
            <a:gd name="connsiteY154" fmla="*/ 66287 h 215162"/>
            <a:gd name="connsiteX155" fmla="*/ 255416 w 305668"/>
            <a:gd name="connsiteY155" fmla="*/ 75287 h 215162"/>
            <a:gd name="connsiteX156" fmla="*/ 245215 w 305668"/>
            <a:gd name="connsiteY156" fmla="*/ 98912 h 215162"/>
            <a:gd name="connsiteX157" fmla="*/ 227456 w 305668"/>
            <a:gd name="connsiteY157" fmla="*/ 89912 h 215162"/>
            <a:gd name="connsiteX158" fmla="*/ 284887 w 305668"/>
            <a:gd name="connsiteY158" fmla="*/ 72662 h 215162"/>
            <a:gd name="connsiteX159" fmla="*/ 282242 w 305668"/>
            <a:gd name="connsiteY159" fmla="*/ 72662 h 215162"/>
            <a:gd name="connsiteX160" fmla="*/ 265618 w 305668"/>
            <a:gd name="connsiteY160" fmla="*/ 70412 h 215162"/>
            <a:gd name="connsiteX161" fmla="*/ 275819 w 305668"/>
            <a:gd name="connsiteY161" fmla="*/ 46412 h 215162"/>
            <a:gd name="connsiteX162" fmla="*/ 294333 w 305668"/>
            <a:gd name="connsiteY162" fmla="*/ 49037 h 215162"/>
            <a:gd name="connsiteX163" fmla="*/ 284887 w 305668"/>
            <a:gd name="connsiteY163" fmla="*/ 72662 h 215162"/>
            <a:gd name="connsiteX164" fmla="*/ 244459 w 305668"/>
            <a:gd name="connsiteY164" fmla="*/ 31037 h 215162"/>
            <a:gd name="connsiteX165" fmla="*/ 234257 w 305668"/>
            <a:gd name="connsiteY165" fmla="*/ 54662 h 215162"/>
            <a:gd name="connsiteX166" fmla="*/ 231235 w 305668"/>
            <a:gd name="connsiteY166" fmla="*/ 52412 h 215162"/>
            <a:gd name="connsiteX167" fmla="*/ 217255 w 305668"/>
            <a:gd name="connsiteY167" fmla="*/ 44162 h 215162"/>
            <a:gd name="connsiteX168" fmla="*/ 227456 w 305668"/>
            <a:gd name="connsiteY168" fmla="*/ 20162 h 215162"/>
            <a:gd name="connsiteX169" fmla="*/ 242570 w 305668"/>
            <a:gd name="connsiteY169" fmla="*/ 29162 h 215162"/>
            <a:gd name="connsiteX170" fmla="*/ 244459 w 305668"/>
            <a:gd name="connsiteY170" fmla="*/ 31037 h 215162"/>
            <a:gd name="connsiteX171" fmla="*/ 202141 w 305668"/>
            <a:gd name="connsiteY171" fmla="*/ 14162 h 215162"/>
            <a:gd name="connsiteX172" fmla="*/ 220277 w 305668"/>
            <a:gd name="connsiteY172" fmla="*/ 17537 h 215162"/>
            <a:gd name="connsiteX173" fmla="*/ 210076 w 305668"/>
            <a:gd name="connsiteY173" fmla="*/ 41537 h 215162"/>
            <a:gd name="connsiteX174" fmla="*/ 189673 w 305668"/>
            <a:gd name="connsiteY174" fmla="*/ 37787 h 215162"/>
            <a:gd name="connsiteX175" fmla="*/ 199497 w 305668"/>
            <a:gd name="connsiteY175" fmla="*/ 14162 h 215162"/>
            <a:gd name="connsiteX176" fmla="*/ 202141 w 305668"/>
            <a:gd name="connsiteY176" fmla="*/ 14162 h 215162"/>
            <a:gd name="connsiteX177" fmla="*/ 163602 w 305668"/>
            <a:gd name="connsiteY177" fmla="*/ 100412 h 215162"/>
            <a:gd name="connsiteX178" fmla="*/ 173426 w 305668"/>
            <a:gd name="connsiteY178" fmla="*/ 76787 h 215162"/>
            <a:gd name="connsiteX179" fmla="*/ 173426 w 305668"/>
            <a:gd name="connsiteY179" fmla="*/ 76787 h 215162"/>
            <a:gd name="connsiteX180" fmla="*/ 173426 w 305668"/>
            <a:gd name="connsiteY180" fmla="*/ 76787 h 215162"/>
            <a:gd name="connsiteX181" fmla="*/ 176827 w 305668"/>
            <a:gd name="connsiteY181" fmla="*/ 76787 h 215162"/>
            <a:gd name="connsiteX182" fmla="*/ 193451 w 305668"/>
            <a:gd name="connsiteY182" fmla="*/ 79787 h 215162"/>
            <a:gd name="connsiteX183" fmla="*/ 183250 w 305668"/>
            <a:gd name="connsiteY183" fmla="*/ 103787 h 215162"/>
            <a:gd name="connsiteX184" fmla="*/ 164358 w 305668"/>
            <a:gd name="connsiteY184" fmla="*/ 100412 h 215162"/>
            <a:gd name="connsiteX185" fmla="*/ 163602 w 305668"/>
            <a:gd name="connsiteY185" fmla="*/ 100412 h 215162"/>
            <a:gd name="connsiteX186" fmla="*/ 201008 w 305668"/>
            <a:gd name="connsiteY186" fmla="*/ 82412 h 215162"/>
            <a:gd name="connsiteX187" fmla="*/ 217255 w 305668"/>
            <a:gd name="connsiteY187" fmla="*/ 92162 h 215162"/>
            <a:gd name="connsiteX188" fmla="*/ 218010 w 305668"/>
            <a:gd name="connsiteY188" fmla="*/ 92537 h 215162"/>
            <a:gd name="connsiteX189" fmla="*/ 207809 w 305668"/>
            <a:gd name="connsiteY189" fmla="*/ 116162 h 215162"/>
            <a:gd name="connsiteX190" fmla="*/ 190429 w 305668"/>
            <a:gd name="connsiteY190" fmla="*/ 106037 h 215162"/>
            <a:gd name="connsiteX191" fmla="*/ 201008 w 305668"/>
            <a:gd name="connsiteY191" fmla="*/ 82412 h 215162"/>
            <a:gd name="connsiteX192" fmla="*/ 259950 w 305668"/>
            <a:gd name="connsiteY192" fmla="*/ 134912 h 215162"/>
            <a:gd name="connsiteX193" fmla="*/ 257305 w 305668"/>
            <a:gd name="connsiteY193" fmla="*/ 134912 h 215162"/>
            <a:gd name="connsiteX194" fmla="*/ 239169 w 305668"/>
            <a:gd name="connsiteY194" fmla="*/ 132287 h 215162"/>
            <a:gd name="connsiteX195" fmla="*/ 249371 w 305668"/>
            <a:gd name="connsiteY195" fmla="*/ 108287 h 215162"/>
            <a:gd name="connsiteX196" fmla="*/ 269396 w 305668"/>
            <a:gd name="connsiteY196" fmla="*/ 111287 h 215162"/>
            <a:gd name="connsiteX197" fmla="*/ 259950 w 305668"/>
            <a:gd name="connsiteY197" fmla="*/ 134912 h 2151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</a:cxnLst>
          <a:rect l="l" t="t" r="r" b="b"/>
          <a:pathLst>
            <a:path w="305668" h="215162">
              <a:moveTo>
                <a:pt x="40050" y="142412"/>
              </a:moveTo>
              <a:lnTo>
                <a:pt x="48363" y="142412"/>
              </a:lnTo>
              <a:cubicBezTo>
                <a:pt x="73300" y="141287"/>
                <a:pt x="86146" y="133037"/>
                <a:pt x="98237" y="124787"/>
              </a:cubicBezTo>
              <a:lnTo>
                <a:pt x="100504" y="123287"/>
              </a:lnTo>
              <a:cubicBezTo>
                <a:pt x="106549" y="119162"/>
                <a:pt x="112595" y="115412"/>
                <a:pt x="119018" y="112412"/>
              </a:cubicBezTo>
              <a:cubicBezTo>
                <a:pt x="125819" y="109412"/>
                <a:pt x="132998" y="107912"/>
                <a:pt x="140177" y="107537"/>
              </a:cubicBezTo>
              <a:lnTo>
                <a:pt x="143955" y="107537"/>
              </a:lnTo>
              <a:lnTo>
                <a:pt x="143955" y="107537"/>
              </a:lnTo>
              <a:cubicBezTo>
                <a:pt x="144333" y="107537"/>
                <a:pt x="144333" y="107537"/>
                <a:pt x="144711" y="107537"/>
              </a:cubicBezTo>
              <a:lnTo>
                <a:pt x="148489" y="116912"/>
              </a:lnTo>
              <a:lnTo>
                <a:pt x="109572" y="209912"/>
              </a:lnTo>
              <a:cubicBezTo>
                <a:pt x="108816" y="211787"/>
                <a:pt x="109572" y="214037"/>
                <a:pt x="111461" y="214787"/>
              </a:cubicBezTo>
              <a:cubicBezTo>
                <a:pt x="113350" y="215537"/>
                <a:pt x="115617" y="214787"/>
                <a:pt x="116373" y="212912"/>
              </a:cubicBezTo>
              <a:lnTo>
                <a:pt x="116373" y="212912"/>
              </a:lnTo>
              <a:lnTo>
                <a:pt x="152645" y="126662"/>
              </a:lnTo>
              <a:lnTo>
                <a:pt x="188917" y="212912"/>
              </a:lnTo>
              <a:cubicBezTo>
                <a:pt x="189673" y="214412"/>
                <a:pt x="190806" y="215162"/>
                <a:pt x="192318" y="215162"/>
              </a:cubicBezTo>
              <a:cubicBezTo>
                <a:pt x="192696" y="215162"/>
                <a:pt x="193451" y="215162"/>
                <a:pt x="193829" y="214787"/>
              </a:cubicBezTo>
              <a:cubicBezTo>
                <a:pt x="195718" y="214037"/>
                <a:pt x="196852" y="211787"/>
                <a:pt x="195718" y="209912"/>
              </a:cubicBezTo>
              <a:lnTo>
                <a:pt x="156801" y="116912"/>
              </a:lnTo>
              <a:lnTo>
                <a:pt x="160580" y="107537"/>
              </a:lnTo>
              <a:cubicBezTo>
                <a:pt x="160957" y="107537"/>
                <a:pt x="160957" y="107537"/>
                <a:pt x="161335" y="107537"/>
              </a:cubicBezTo>
              <a:lnTo>
                <a:pt x="161335" y="107537"/>
              </a:lnTo>
              <a:lnTo>
                <a:pt x="164736" y="107537"/>
              </a:lnTo>
              <a:cubicBezTo>
                <a:pt x="172292" y="107537"/>
                <a:pt x="179471" y="109412"/>
                <a:pt x="186272" y="112412"/>
              </a:cubicBezTo>
              <a:cubicBezTo>
                <a:pt x="192696" y="115412"/>
                <a:pt x="199119" y="119162"/>
                <a:pt x="204786" y="123287"/>
              </a:cubicBezTo>
              <a:lnTo>
                <a:pt x="207053" y="124787"/>
              </a:lnTo>
              <a:cubicBezTo>
                <a:pt x="219522" y="133037"/>
                <a:pt x="232368" y="141287"/>
                <a:pt x="257305" y="142412"/>
              </a:cubicBezTo>
              <a:lnTo>
                <a:pt x="265240" y="142412"/>
              </a:lnTo>
              <a:lnTo>
                <a:pt x="305668" y="41537"/>
              </a:lnTo>
              <a:lnTo>
                <a:pt x="294711" y="41537"/>
              </a:lnTo>
              <a:cubicBezTo>
                <a:pt x="272041" y="40412"/>
                <a:pt x="260706" y="32912"/>
                <a:pt x="248615" y="25037"/>
              </a:cubicBezTo>
              <a:lnTo>
                <a:pt x="246348" y="23537"/>
              </a:lnTo>
              <a:cubicBezTo>
                <a:pt x="240303" y="19037"/>
                <a:pt x="233502" y="15287"/>
                <a:pt x="226701" y="12287"/>
              </a:cubicBezTo>
              <a:cubicBezTo>
                <a:pt x="219144" y="8912"/>
                <a:pt x="211209" y="7037"/>
                <a:pt x="202897" y="7037"/>
              </a:cubicBezTo>
              <a:lnTo>
                <a:pt x="203653" y="5162"/>
              </a:lnTo>
              <a:cubicBezTo>
                <a:pt x="204408" y="3287"/>
                <a:pt x="203653" y="1037"/>
                <a:pt x="201386" y="287"/>
              </a:cubicBezTo>
              <a:cubicBezTo>
                <a:pt x="199497" y="-463"/>
                <a:pt x="197230" y="287"/>
                <a:pt x="196474" y="2162"/>
              </a:cubicBezTo>
              <a:lnTo>
                <a:pt x="152645" y="107162"/>
              </a:lnTo>
              <a:lnTo>
                <a:pt x="108816" y="2162"/>
              </a:lnTo>
              <a:cubicBezTo>
                <a:pt x="108061" y="287"/>
                <a:pt x="105794" y="-463"/>
                <a:pt x="103904" y="287"/>
              </a:cubicBezTo>
              <a:cubicBezTo>
                <a:pt x="102015" y="1037"/>
                <a:pt x="101260" y="3287"/>
                <a:pt x="102015" y="5162"/>
              </a:cubicBezTo>
              <a:lnTo>
                <a:pt x="102771" y="7037"/>
              </a:lnTo>
              <a:cubicBezTo>
                <a:pt x="94459" y="7412"/>
                <a:pt x="86524" y="9287"/>
                <a:pt x="78967" y="12287"/>
              </a:cubicBezTo>
              <a:cubicBezTo>
                <a:pt x="72166" y="15662"/>
                <a:pt x="65365" y="19412"/>
                <a:pt x="59320" y="23537"/>
              </a:cubicBezTo>
              <a:lnTo>
                <a:pt x="57053" y="25037"/>
              </a:lnTo>
              <a:cubicBezTo>
                <a:pt x="44962" y="32912"/>
                <a:pt x="33627" y="40412"/>
                <a:pt x="10957" y="41537"/>
              </a:cubicBezTo>
              <a:lnTo>
                <a:pt x="0" y="41537"/>
              </a:lnTo>
              <a:lnTo>
                <a:pt x="40050" y="142412"/>
              </a:lnTo>
              <a:close/>
              <a:moveTo>
                <a:pt x="32872" y="103787"/>
              </a:moveTo>
              <a:lnTo>
                <a:pt x="23426" y="80162"/>
              </a:lnTo>
              <a:cubicBezTo>
                <a:pt x="29849" y="79787"/>
                <a:pt x="36272" y="79037"/>
                <a:pt x="42695" y="77537"/>
              </a:cubicBezTo>
              <a:lnTo>
                <a:pt x="52897" y="101537"/>
              </a:lnTo>
              <a:cubicBezTo>
                <a:pt x="47229" y="103037"/>
                <a:pt x="41562" y="103787"/>
                <a:pt x="35516" y="103787"/>
              </a:cubicBezTo>
              <a:lnTo>
                <a:pt x="32872" y="103787"/>
              </a:lnTo>
              <a:close/>
              <a:moveTo>
                <a:pt x="49874" y="74912"/>
              </a:moveTo>
              <a:cubicBezTo>
                <a:pt x="55919" y="72662"/>
                <a:pt x="61965" y="69662"/>
                <a:pt x="67632" y="65912"/>
              </a:cubicBezTo>
              <a:lnTo>
                <a:pt x="77834" y="89537"/>
              </a:lnTo>
              <a:cubicBezTo>
                <a:pt x="72166" y="93287"/>
                <a:pt x="66499" y="96287"/>
                <a:pt x="60454" y="98912"/>
              </a:cubicBezTo>
              <a:lnTo>
                <a:pt x="49874" y="74912"/>
              </a:lnTo>
              <a:close/>
              <a:moveTo>
                <a:pt x="64610" y="59162"/>
              </a:moveTo>
              <a:cubicBezTo>
                <a:pt x="58942" y="62912"/>
                <a:pt x="53275" y="65912"/>
                <a:pt x="46851" y="68162"/>
              </a:cubicBezTo>
              <a:lnTo>
                <a:pt x="36650" y="44162"/>
              </a:lnTo>
              <a:cubicBezTo>
                <a:pt x="42695" y="41912"/>
                <a:pt x="48741" y="38912"/>
                <a:pt x="54408" y="35162"/>
              </a:cubicBezTo>
              <a:lnTo>
                <a:pt x="64610" y="59162"/>
              </a:lnTo>
              <a:close/>
              <a:moveTo>
                <a:pt x="91058" y="120662"/>
              </a:moveTo>
              <a:cubicBezTo>
                <a:pt x="85391" y="124412"/>
                <a:pt x="79723" y="127412"/>
                <a:pt x="73678" y="130037"/>
              </a:cubicBezTo>
              <a:lnTo>
                <a:pt x="63476" y="106037"/>
              </a:lnTo>
              <a:cubicBezTo>
                <a:pt x="69522" y="103787"/>
                <a:pt x="75567" y="100412"/>
                <a:pt x="81234" y="97037"/>
              </a:cubicBezTo>
              <a:lnTo>
                <a:pt x="91058" y="120662"/>
              </a:lnTo>
              <a:close/>
              <a:moveTo>
                <a:pt x="74056" y="61787"/>
              </a:moveTo>
              <a:lnTo>
                <a:pt x="75567" y="60662"/>
              </a:lnTo>
              <a:cubicBezTo>
                <a:pt x="80479" y="57287"/>
                <a:pt x="85768" y="54287"/>
                <a:pt x="91058" y="51287"/>
              </a:cubicBezTo>
              <a:lnTo>
                <a:pt x="101260" y="75287"/>
              </a:lnTo>
              <a:cubicBezTo>
                <a:pt x="95214" y="78287"/>
                <a:pt x="89547" y="81662"/>
                <a:pt x="84257" y="85412"/>
              </a:cubicBezTo>
              <a:lnTo>
                <a:pt x="74056" y="61787"/>
              </a:lnTo>
              <a:close/>
              <a:moveTo>
                <a:pt x="98237" y="48662"/>
              </a:moveTo>
              <a:cubicBezTo>
                <a:pt x="103904" y="46787"/>
                <a:pt x="109572" y="45662"/>
                <a:pt x="115617" y="45287"/>
              </a:cubicBezTo>
              <a:lnTo>
                <a:pt x="119018" y="45287"/>
              </a:lnTo>
              <a:lnTo>
                <a:pt x="128842" y="68912"/>
              </a:lnTo>
              <a:lnTo>
                <a:pt x="128086" y="68912"/>
              </a:lnTo>
              <a:cubicBezTo>
                <a:pt x="121663" y="69287"/>
                <a:pt x="114862" y="70412"/>
                <a:pt x="108816" y="72287"/>
              </a:cubicBezTo>
              <a:lnTo>
                <a:pt x="98237" y="48662"/>
              </a:lnTo>
              <a:close/>
              <a:moveTo>
                <a:pt x="115617" y="37787"/>
              </a:moveTo>
              <a:lnTo>
                <a:pt x="114862" y="37787"/>
              </a:lnTo>
              <a:cubicBezTo>
                <a:pt x="108061" y="38162"/>
                <a:pt x="101637" y="39287"/>
                <a:pt x="95592" y="41537"/>
              </a:cubicBezTo>
              <a:lnTo>
                <a:pt x="85391" y="17537"/>
              </a:lnTo>
              <a:cubicBezTo>
                <a:pt x="91058" y="15287"/>
                <a:pt x="97103" y="14162"/>
                <a:pt x="103527" y="14162"/>
              </a:cubicBezTo>
              <a:lnTo>
                <a:pt x="106171" y="14162"/>
              </a:lnTo>
              <a:lnTo>
                <a:pt x="115617" y="37787"/>
              </a:lnTo>
              <a:close/>
              <a:moveTo>
                <a:pt x="88035" y="44912"/>
              </a:moveTo>
              <a:cubicBezTo>
                <a:pt x="83124" y="47537"/>
                <a:pt x="78212" y="50162"/>
                <a:pt x="73678" y="53162"/>
              </a:cubicBezTo>
              <a:cubicBezTo>
                <a:pt x="72922" y="53537"/>
                <a:pt x="71033" y="55037"/>
                <a:pt x="71033" y="55037"/>
              </a:cubicBezTo>
              <a:lnTo>
                <a:pt x="60831" y="31412"/>
              </a:lnTo>
              <a:lnTo>
                <a:pt x="63098" y="29912"/>
              </a:lnTo>
              <a:cubicBezTo>
                <a:pt x="68010" y="26537"/>
                <a:pt x="72922" y="23537"/>
                <a:pt x="78212" y="20912"/>
              </a:cubicBezTo>
              <a:lnTo>
                <a:pt x="88035" y="44912"/>
              </a:lnTo>
              <a:close/>
              <a:moveTo>
                <a:pt x="10957" y="49037"/>
              </a:moveTo>
              <a:cubicBezTo>
                <a:pt x="17380" y="48662"/>
                <a:pt x="23426" y="47912"/>
                <a:pt x="29471" y="46412"/>
              </a:cubicBezTo>
              <a:lnTo>
                <a:pt x="39673" y="70412"/>
              </a:lnTo>
              <a:cubicBezTo>
                <a:pt x="34383" y="71537"/>
                <a:pt x="28715" y="72287"/>
                <a:pt x="23048" y="72662"/>
              </a:cubicBezTo>
              <a:lnTo>
                <a:pt x="20403" y="72662"/>
              </a:lnTo>
              <a:lnTo>
                <a:pt x="10957" y="49037"/>
              </a:lnTo>
              <a:close/>
              <a:moveTo>
                <a:pt x="47985" y="134912"/>
              </a:moveTo>
              <a:lnTo>
                <a:pt x="44962" y="134912"/>
              </a:lnTo>
              <a:lnTo>
                <a:pt x="35516" y="111287"/>
              </a:lnTo>
              <a:cubicBezTo>
                <a:pt x="42317" y="110912"/>
                <a:pt x="49118" y="110162"/>
                <a:pt x="55542" y="108287"/>
              </a:cubicBezTo>
              <a:lnTo>
                <a:pt x="65743" y="132287"/>
              </a:lnTo>
              <a:cubicBezTo>
                <a:pt x="60454" y="133787"/>
                <a:pt x="54408" y="134537"/>
                <a:pt x="47985" y="134912"/>
              </a:cubicBezTo>
              <a:close/>
              <a:moveTo>
                <a:pt x="97481" y="116537"/>
              </a:moveTo>
              <a:lnTo>
                <a:pt x="87280" y="92912"/>
              </a:lnTo>
              <a:lnTo>
                <a:pt x="88035" y="92537"/>
              </a:lnTo>
              <a:cubicBezTo>
                <a:pt x="93325" y="88787"/>
                <a:pt x="98615" y="85787"/>
                <a:pt x="104282" y="82787"/>
              </a:cubicBezTo>
              <a:lnTo>
                <a:pt x="114484" y="106787"/>
              </a:lnTo>
              <a:cubicBezTo>
                <a:pt x="108438" y="109412"/>
                <a:pt x="102771" y="112787"/>
                <a:pt x="97481" y="116537"/>
              </a:cubicBezTo>
              <a:close/>
              <a:moveTo>
                <a:pt x="140177" y="100412"/>
              </a:moveTo>
              <a:cubicBezTo>
                <a:pt x="133753" y="100787"/>
                <a:pt x="127708" y="101537"/>
                <a:pt x="121663" y="103787"/>
              </a:cubicBezTo>
              <a:lnTo>
                <a:pt x="111083" y="79412"/>
              </a:lnTo>
              <a:cubicBezTo>
                <a:pt x="116373" y="77537"/>
                <a:pt x="122041" y="76787"/>
                <a:pt x="127708" y="76412"/>
              </a:cubicBezTo>
              <a:lnTo>
                <a:pt x="131486" y="76412"/>
              </a:lnTo>
              <a:lnTo>
                <a:pt x="131486" y="76412"/>
              </a:lnTo>
              <a:lnTo>
                <a:pt x="131486" y="76412"/>
              </a:lnTo>
              <a:lnTo>
                <a:pt x="141310" y="100412"/>
              </a:lnTo>
              <a:lnTo>
                <a:pt x="140177" y="100412"/>
              </a:lnTo>
              <a:close/>
              <a:moveTo>
                <a:pt x="269774" y="103787"/>
              </a:moveTo>
              <a:cubicBezTo>
                <a:pt x="263728" y="103412"/>
                <a:pt x="258061" y="102662"/>
                <a:pt x="252393" y="101537"/>
              </a:cubicBezTo>
              <a:lnTo>
                <a:pt x="262595" y="77537"/>
              </a:lnTo>
              <a:cubicBezTo>
                <a:pt x="269018" y="79037"/>
                <a:pt x="275441" y="80162"/>
                <a:pt x="281864" y="80162"/>
              </a:cubicBezTo>
              <a:lnTo>
                <a:pt x="272419" y="103787"/>
              </a:lnTo>
              <a:lnTo>
                <a:pt x="269774" y="103787"/>
              </a:lnTo>
              <a:close/>
              <a:moveTo>
                <a:pt x="186650" y="45662"/>
              </a:moveTo>
              <a:lnTo>
                <a:pt x="189673" y="45662"/>
              </a:lnTo>
              <a:cubicBezTo>
                <a:pt x="195718" y="45662"/>
                <a:pt x="201386" y="46787"/>
                <a:pt x="207053" y="49037"/>
              </a:cubicBezTo>
              <a:lnTo>
                <a:pt x="196852" y="72662"/>
              </a:lnTo>
              <a:cubicBezTo>
                <a:pt x="190429" y="70412"/>
                <a:pt x="184005" y="69287"/>
                <a:pt x="177204" y="69287"/>
              </a:cubicBezTo>
              <a:lnTo>
                <a:pt x="176449" y="69287"/>
              </a:lnTo>
              <a:lnTo>
                <a:pt x="186650" y="45662"/>
              </a:lnTo>
              <a:close/>
              <a:moveTo>
                <a:pt x="214232" y="51662"/>
              </a:moveTo>
              <a:cubicBezTo>
                <a:pt x="219522" y="54287"/>
                <a:pt x="224811" y="57662"/>
                <a:pt x="229723" y="61037"/>
              </a:cubicBezTo>
              <a:lnTo>
                <a:pt x="231235" y="62162"/>
              </a:lnTo>
              <a:lnTo>
                <a:pt x="221033" y="85787"/>
              </a:lnTo>
              <a:cubicBezTo>
                <a:pt x="215743" y="82037"/>
                <a:pt x="209698" y="78662"/>
                <a:pt x="204031" y="75662"/>
              </a:cubicBezTo>
              <a:lnTo>
                <a:pt x="214232" y="51662"/>
              </a:lnTo>
              <a:close/>
              <a:moveTo>
                <a:pt x="250882" y="35537"/>
              </a:moveTo>
              <a:cubicBezTo>
                <a:pt x="256550" y="39287"/>
                <a:pt x="262217" y="41912"/>
                <a:pt x="268640" y="44162"/>
              </a:cubicBezTo>
              <a:lnTo>
                <a:pt x="258439" y="68162"/>
              </a:lnTo>
              <a:cubicBezTo>
                <a:pt x="252393" y="65912"/>
                <a:pt x="246348" y="62912"/>
                <a:pt x="240681" y="59162"/>
              </a:cubicBezTo>
              <a:lnTo>
                <a:pt x="250882" y="35537"/>
              </a:lnTo>
              <a:close/>
              <a:moveTo>
                <a:pt x="224434" y="97037"/>
              </a:moveTo>
              <a:cubicBezTo>
                <a:pt x="230101" y="100787"/>
                <a:pt x="235769" y="103787"/>
                <a:pt x="242192" y="106037"/>
              </a:cubicBezTo>
              <a:lnTo>
                <a:pt x="231990" y="130037"/>
              </a:lnTo>
              <a:cubicBezTo>
                <a:pt x="225945" y="127412"/>
                <a:pt x="219900" y="124412"/>
                <a:pt x="214610" y="120662"/>
              </a:cubicBezTo>
              <a:lnTo>
                <a:pt x="224434" y="97037"/>
              </a:lnTo>
              <a:close/>
              <a:moveTo>
                <a:pt x="227456" y="89912"/>
              </a:moveTo>
              <a:lnTo>
                <a:pt x="237658" y="66287"/>
              </a:lnTo>
              <a:cubicBezTo>
                <a:pt x="243325" y="70037"/>
                <a:pt x="248993" y="73037"/>
                <a:pt x="255416" y="75287"/>
              </a:cubicBezTo>
              <a:lnTo>
                <a:pt x="245215" y="98912"/>
              </a:lnTo>
              <a:cubicBezTo>
                <a:pt x="238791" y="96662"/>
                <a:pt x="233124" y="93662"/>
                <a:pt x="227456" y="89912"/>
              </a:cubicBezTo>
              <a:close/>
              <a:moveTo>
                <a:pt x="284887" y="72662"/>
              </a:moveTo>
              <a:lnTo>
                <a:pt x="282242" y="72662"/>
              </a:lnTo>
              <a:cubicBezTo>
                <a:pt x="276575" y="72287"/>
                <a:pt x="270907" y="71537"/>
                <a:pt x="265618" y="70412"/>
              </a:cubicBezTo>
              <a:lnTo>
                <a:pt x="275819" y="46412"/>
              </a:lnTo>
              <a:cubicBezTo>
                <a:pt x="281864" y="47912"/>
                <a:pt x="288288" y="48662"/>
                <a:pt x="294333" y="49037"/>
              </a:cubicBezTo>
              <a:lnTo>
                <a:pt x="284887" y="72662"/>
              </a:lnTo>
              <a:close/>
              <a:moveTo>
                <a:pt x="244459" y="31037"/>
              </a:moveTo>
              <a:lnTo>
                <a:pt x="234257" y="54662"/>
              </a:lnTo>
              <a:cubicBezTo>
                <a:pt x="234257" y="54662"/>
                <a:pt x="231990" y="53162"/>
                <a:pt x="231235" y="52412"/>
              </a:cubicBezTo>
              <a:cubicBezTo>
                <a:pt x="226701" y="49412"/>
                <a:pt x="222167" y="46787"/>
                <a:pt x="217255" y="44162"/>
              </a:cubicBezTo>
              <a:lnTo>
                <a:pt x="227456" y="20162"/>
              </a:lnTo>
              <a:cubicBezTo>
                <a:pt x="232746" y="22787"/>
                <a:pt x="237658" y="25787"/>
                <a:pt x="242570" y="29162"/>
              </a:cubicBezTo>
              <a:lnTo>
                <a:pt x="244459" y="31037"/>
              </a:lnTo>
              <a:close/>
              <a:moveTo>
                <a:pt x="202141" y="14162"/>
              </a:moveTo>
              <a:cubicBezTo>
                <a:pt x="208187" y="14537"/>
                <a:pt x="214610" y="15662"/>
                <a:pt x="220277" y="17537"/>
              </a:cubicBezTo>
              <a:lnTo>
                <a:pt x="210076" y="41537"/>
              </a:lnTo>
              <a:cubicBezTo>
                <a:pt x="203653" y="39287"/>
                <a:pt x="196852" y="37787"/>
                <a:pt x="189673" y="37787"/>
              </a:cubicBezTo>
              <a:lnTo>
                <a:pt x="199497" y="14162"/>
              </a:lnTo>
              <a:lnTo>
                <a:pt x="202141" y="14162"/>
              </a:lnTo>
              <a:close/>
              <a:moveTo>
                <a:pt x="163602" y="100412"/>
              </a:moveTo>
              <a:lnTo>
                <a:pt x="173426" y="76787"/>
              </a:lnTo>
              <a:lnTo>
                <a:pt x="173426" y="76787"/>
              </a:lnTo>
              <a:lnTo>
                <a:pt x="173426" y="76787"/>
              </a:lnTo>
              <a:lnTo>
                <a:pt x="176827" y="76787"/>
              </a:lnTo>
              <a:cubicBezTo>
                <a:pt x="182494" y="76787"/>
                <a:pt x="188162" y="77912"/>
                <a:pt x="193451" y="79787"/>
              </a:cubicBezTo>
              <a:lnTo>
                <a:pt x="183250" y="103787"/>
              </a:lnTo>
              <a:cubicBezTo>
                <a:pt x="177204" y="101912"/>
                <a:pt x="170781" y="100787"/>
                <a:pt x="164358" y="100412"/>
              </a:cubicBezTo>
              <a:lnTo>
                <a:pt x="163602" y="100412"/>
              </a:lnTo>
              <a:close/>
              <a:moveTo>
                <a:pt x="201008" y="82412"/>
              </a:moveTo>
              <a:cubicBezTo>
                <a:pt x="206675" y="85412"/>
                <a:pt x="211965" y="88412"/>
                <a:pt x="217255" y="92162"/>
              </a:cubicBezTo>
              <a:lnTo>
                <a:pt x="218010" y="92537"/>
              </a:lnTo>
              <a:lnTo>
                <a:pt x="207809" y="116162"/>
              </a:lnTo>
              <a:cubicBezTo>
                <a:pt x="202519" y="112412"/>
                <a:pt x="196474" y="109037"/>
                <a:pt x="190429" y="106037"/>
              </a:cubicBezTo>
              <a:lnTo>
                <a:pt x="201008" y="82412"/>
              </a:lnTo>
              <a:close/>
              <a:moveTo>
                <a:pt x="259950" y="134912"/>
              </a:moveTo>
              <a:lnTo>
                <a:pt x="257305" y="134912"/>
              </a:lnTo>
              <a:cubicBezTo>
                <a:pt x="251260" y="134537"/>
                <a:pt x="245215" y="133787"/>
                <a:pt x="239169" y="132287"/>
              </a:cubicBezTo>
              <a:lnTo>
                <a:pt x="249371" y="108287"/>
              </a:lnTo>
              <a:cubicBezTo>
                <a:pt x="255794" y="110162"/>
                <a:pt x="262595" y="110912"/>
                <a:pt x="269396" y="111287"/>
              </a:cubicBezTo>
              <a:lnTo>
                <a:pt x="259950" y="134912"/>
              </a:ln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10</xdr:col>
      <xdr:colOff>141710</xdr:colOff>
      <xdr:row>16</xdr:row>
      <xdr:rowOff>131505</xdr:rowOff>
    </xdr:from>
    <xdr:to>
      <xdr:col>10</xdr:col>
      <xdr:colOff>451271</xdr:colOff>
      <xdr:row>16</xdr:row>
      <xdr:rowOff>439993</xdr:rowOff>
    </xdr:to>
    <xdr:grpSp>
      <xdr:nvGrpSpPr>
        <xdr:cNvPr id="182" name="rocket" descr="Rocket outline">
          <a:extLst>
            <a:ext uri="{FF2B5EF4-FFF2-40B4-BE49-F238E27FC236}">
              <a16:creationId xmlns:a16="http://schemas.microsoft.com/office/drawing/2014/main" id="{1E1BFE22-0696-43C6-AF2E-6C9F39AB6790}"/>
            </a:ext>
          </a:extLst>
        </xdr:cNvPr>
        <xdr:cNvGrpSpPr>
          <a:grpSpLocks noChangeAspect="1"/>
        </xdr:cNvGrpSpPr>
      </xdr:nvGrpSpPr>
      <xdr:grpSpPr>
        <a:xfrm>
          <a:off x="9152360" y="8056305"/>
          <a:ext cx="309561" cy="308488"/>
          <a:chOff x="9846585" y="8987398"/>
          <a:chExt cx="309561" cy="308488"/>
        </a:xfrm>
        <a:solidFill>
          <a:srgbClr val="1F4E78"/>
        </a:solidFill>
      </xdr:grpSpPr>
      <xdr:sp macro="" textlink="">
        <xdr:nvSpPr>
          <xdr:cNvPr id="183" name="Freeform: Shape 182">
            <a:extLst>
              <a:ext uri="{FF2B5EF4-FFF2-40B4-BE49-F238E27FC236}">
                <a16:creationId xmlns:a16="http://schemas.microsoft.com/office/drawing/2014/main" id="{B9DB2E4C-B8A7-47C1-A8BB-D473D8952B67}"/>
              </a:ext>
            </a:extLst>
          </xdr:cNvPr>
          <xdr:cNvSpPr/>
        </xdr:nvSpPr>
        <xdr:spPr>
          <a:xfrm>
            <a:off x="9846585" y="9090447"/>
            <a:ext cx="100327" cy="94990"/>
          </a:xfrm>
          <a:custGeom>
            <a:avLst/>
            <a:gdLst>
              <a:gd name="connsiteX0" fmla="*/ 75739 w 100327"/>
              <a:gd name="connsiteY0" fmla="*/ 74579 h 94990"/>
              <a:gd name="connsiteX1" fmla="*/ 19815 w 100327"/>
              <a:gd name="connsiteY1" fmla="*/ 87231 h 94990"/>
              <a:gd name="connsiteX2" fmla="*/ 8888 w 100327"/>
              <a:gd name="connsiteY2" fmla="*/ 82176 h 94990"/>
              <a:gd name="connsiteX3" fmla="*/ 10530 w 100327"/>
              <a:gd name="connsiteY3" fmla="*/ 69918 h 94990"/>
              <a:gd name="connsiteX4" fmla="*/ 70028 w 100327"/>
              <a:gd name="connsiteY4" fmla="*/ 10416 h 94990"/>
              <a:gd name="connsiteX5" fmla="*/ 81116 w 100327"/>
              <a:gd name="connsiteY5" fmla="*/ 8125 h 94990"/>
              <a:gd name="connsiteX6" fmla="*/ 96754 w 100327"/>
              <a:gd name="connsiteY6" fmla="*/ 14346 h 94990"/>
              <a:gd name="connsiteX7" fmla="*/ 100328 w 100327"/>
              <a:gd name="connsiteY7" fmla="*/ 7694 h 94990"/>
              <a:gd name="connsiteX8" fmla="*/ 83764 w 100327"/>
              <a:gd name="connsiteY8" fmla="*/ 1109 h 94990"/>
              <a:gd name="connsiteX9" fmla="*/ 64864 w 100327"/>
              <a:gd name="connsiteY9" fmla="*/ 4990 h 94990"/>
              <a:gd name="connsiteX10" fmla="*/ 5239 w 100327"/>
              <a:gd name="connsiteY10" fmla="*/ 64615 h 94990"/>
              <a:gd name="connsiteX11" fmla="*/ 2325 w 100327"/>
              <a:gd name="connsiteY11" fmla="*/ 85784 h 94990"/>
              <a:gd name="connsiteX12" fmla="*/ 17516 w 100327"/>
              <a:gd name="connsiteY12" fmla="*/ 94990 h 94990"/>
              <a:gd name="connsiteX13" fmla="*/ 21469 w 100327"/>
              <a:gd name="connsiteY13" fmla="*/ 94551 h 94990"/>
              <a:gd name="connsiteX14" fmla="*/ 74228 w 100327"/>
              <a:gd name="connsiteY14" fmla="*/ 82615 h 94990"/>
              <a:gd name="connsiteX15" fmla="*/ 75739 w 100327"/>
              <a:gd name="connsiteY15" fmla="*/ 74579 h 9499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100327" h="94990">
                <a:moveTo>
                  <a:pt x="75739" y="74579"/>
                </a:moveTo>
                <a:lnTo>
                  <a:pt x="19815" y="87231"/>
                </a:lnTo>
                <a:cubicBezTo>
                  <a:pt x="15443" y="88265"/>
                  <a:pt x="10930" y="86178"/>
                  <a:pt x="8888" y="82176"/>
                </a:cubicBezTo>
                <a:cubicBezTo>
                  <a:pt x="6586" y="78192"/>
                  <a:pt x="7260" y="73156"/>
                  <a:pt x="10530" y="69918"/>
                </a:cubicBezTo>
                <a:lnTo>
                  <a:pt x="70028" y="10416"/>
                </a:lnTo>
                <a:cubicBezTo>
                  <a:pt x="73008" y="7645"/>
                  <a:pt x="77282" y="6762"/>
                  <a:pt x="81116" y="8125"/>
                </a:cubicBezTo>
                <a:lnTo>
                  <a:pt x="96754" y="14346"/>
                </a:lnTo>
                <a:cubicBezTo>
                  <a:pt x="97879" y="12138"/>
                  <a:pt x="99105" y="9914"/>
                  <a:pt x="100328" y="7694"/>
                </a:cubicBezTo>
                <a:lnTo>
                  <a:pt x="83764" y="1109"/>
                </a:lnTo>
                <a:cubicBezTo>
                  <a:pt x="77236" y="-1264"/>
                  <a:pt x="69928" y="236"/>
                  <a:pt x="64864" y="4990"/>
                </a:cubicBezTo>
                <a:lnTo>
                  <a:pt x="5239" y="64615"/>
                </a:lnTo>
                <a:cubicBezTo>
                  <a:pt x="-444" y="70183"/>
                  <a:pt x="-1642" y="78888"/>
                  <a:pt x="2325" y="85784"/>
                </a:cubicBezTo>
                <a:cubicBezTo>
                  <a:pt x="5288" y="91434"/>
                  <a:pt x="11136" y="94978"/>
                  <a:pt x="17516" y="94990"/>
                </a:cubicBezTo>
                <a:cubicBezTo>
                  <a:pt x="18846" y="94987"/>
                  <a:pt x="20171" y="94840"/>
                  <a:pt x="21469" y="94551"/>
                </a:cubicBezTo>
                <a:lnTo>
                  <a:pt x="74228" y="82615"/>
                </a:lnTo>
                <a:cubicBezTo>
                  <a:pt x="74663" y="80039"/>
                  <a:pt x="75161" y="77391"/>
                  <a:pt x="75739" y="74579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84" name="Freeform: Shape 183">
            <a:extLst>
              <a:ext uri="{FF2B5EF4-FFF2-40B4-BE49-F238E27FC236}">
                <a16:creationId xmlns:a16="http://schemas.microsoft.com/office/drawing/2014/main" id="{AE7824A5-28B7-4F1F-B207-7DC12C26C89C}"/>
              </a:ext>
            </a:extLst>
          </xdr:cNvPr>
          <xdr:cNvSpPr/>
        </xdr:nvSpPr>
        <xdr:spPr>
          <a:xfrm>
            <a:off x="9956831" y="9192408"/>
            <a:ext cx="95178" cy="103478"/>
          </a:xfrm>
          <a:custGeom>
            <a:avLst/>
            <a:gdLst>
              <a:gd name="connsiteX0" fmla="*/ 86343 w 95178"/>
              <a:gd name="connsiteY0" fmla="*/ 0 h 103478"/>
              <a:gd name="connsiteX1" fmla="*/ 79687 w 95178"/>
              <a:gd name="connsiteY1" fmla="*/ 3585 h 103478"/>
              <a:gd name="connsiteX2" fmla="*/ 86936 w 95178"/>
              <a:gd name="connsiteY2" fmla="*/ 22283 h 103478"/>
              <a:gd name="connsiteX3" fmla="*/ 84731 w 95178"/>
              <a:gd name="connsiteY3" fmla="*/ 33157 h 103478"/>
              <a:gd name="connsiteX4" fmla="*/ 25106 w 95178"/>
              <a:gd name="connsiteY4" fmla="*/ 92783 h 103478"/>
              <a:gd name="connsiteX5" fmla="*/ 10673 w 95178"/>
              <a:gd name="connsiteY5" fmla="*/ 93039 h 103478"/>
              <a:gd name="connsiteX6" fmla="*/ 7796 w 95178"/>
              <a:gd name="connsiteY6" fmla="*/ 83483 h 103478"/>
              <a:gd name="connsiteX7" fmla="*/ 20673 w 95178"/>
              <a:gd name="connsiteY7" fmla="*/ 24431 h 103478"/>
              <a:gd name="connsiteX8" fmla="*/ 12652 w 95178"/>
              <a:gd name="connsiteY8" fmla="*/ 26010 h 103478"/>
              <a:gd name="connsiteX9" fmla="*/ 472 w 95178"/>
              <a:gd name="connsiteY9" fmla="*/ 81885 h 103478"/>
              <a:gd name="connsiteX10" fmla="*/ 9240 w 95178"/>
              <a:gd name="connsiteY10" fmla="*/ 101231 h 103478"/>
              <a:gd name="connsiteX11" fmla="*/ 30408 w 95178"/>
              <a:gd name="connsiteY11" fmla="*/ 98100 h 103478"/>
              <a:gd name="connsiteX12" fmla="*/ 90033 w 95178"/>
              <a:gd name="connsiteY12" fmla="*/ 38475 h 103478"/>
              <a:gd name="connsiteX13" fmla="*/ 93881 w 95178"/>
              <a:gd name="connsiteY13" fmla="*/ 19470 h 10347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95178" h="103478">
                <a:moveTo>
                  <a:pt x="86343" y="0"/>
                </a:moveTo>
                <a:cubicBezTo>
                  <a:pt x="84123" y="1234"/>
                  <a:pt x="81907" y="2449"/>
                  <a:pt x="79687" y="3585"/>
                </a:cubicBezTo>
                <a:lnTo>
                  <a:pt x="86936" y="22283"/>
                </a:lnTo>
                <a:cubicBezTo>
                  <a:pt x="88469" y="26020"/>
                  <a:pt x="87599" y="30312"/>
                  <a:pt x="84731" y="33157"/>
                </a:cubicBezTo>
                <a:lnTo>
                  <a:pt x="25106" y="92783"/>
                </a:lnTo>
                <a:cubicBezTo>
                  <a:pt x="21191" y="96839"/>
                  <a:pt x="14729" y="96954"/>
                  <a:pt x="10673" y="93039"/>
                </a:cubicBezTo>
                <a:cubicBezTo>
                  <a:pt x="8116" y="90572"/>
                  <a:pt x="7026" y="86952"/>
                  <a:pt x="7796" y="83483"/>
                </a:cubicBezTo>
                <a:lnTo>
                  <a:pt x="20673" y="24431"/>
                </a:lnTo>
                <a:cubicBezTo>
                  <a:pt x="17951" y="25014"/>
                  <a:pt x="15277" y="25540"/>
                  <a:pt x="12652" y="26010"/>
                </a:cubicBezTo>
                <a:lnTo>
                  <a:pt x="472" y="81885"/>
                </a:lnTo>
                <a:cubicBezTo>
                  <a:pt x="-1357" y="89579"/>
                  <a:pt x="2249" y="97536"/>
                  <a:pt x="9240" y="101231"/>
                </a:cubicBezTo>
                <a:cubicBezTo>
                  <a:pt x="16184" y="105142"/>
                  <a:pt x="24894" y="103854"/>
                  <a:pt x="30408" y="98100"/>
                </a:cubicBezTo>
                <a:lnTo>
                  <a:pt x="90033" y="38475"/>
                </a:lnTo>
                <a:cubicBezTo>
                  <a:pt x="95030" y="33495"/>
                  <a:pt x="96547" y="26001"/>
                  <a:pt x="93881" y="1947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85" name="Freeform: Shape 184">
            <a:extLst>
              <a:ext uri="{FF2B5EF4-FFF2-40B4-BE49-F238E27FC236}">
                <a16:creationId xmlns:a16="http://schemas.microsoft.com/office/drawing/2014/main" id="{A77E7C7D-0E25-48CD-A9F4-7E8D5F5DCFC3}"/>
              </a:ext>
            </a:extLst>
          </xdr:cNvPr>
          <xdr:cNvSpPr/>
        </xdr:nvSpPr>
        <xdr:spPr>
          <a:xfrm>
            <a:off x="9926268" y="8987398"/>
            <a:ext cx="229877" cy="226010"/>
          </a:xfrm>
          <a:custGeom>
            <a:avLst/>
            <a:gdLst>
              <a:gd name="connsiteX0" fmla="*/ 227096 w 229877"/>
              <a:gd name="connsiteY0" fmla="*/ 3040 h 226010"/>
              <a:gd name="connsiteX1" fmla="*/ 170651 w 229877"/>
              <a:gd name="connsiteY1" fmla="*/ 6752 h 226010"/>
              <a:gd name="connsiteX2" fmla="*/ 145729 w 229877"/>
              <a:gd name="connsiteY2" fmla="*/ 13851 h 226010"/>
              <a:gd name="connsiteX3" fmla="*/ 135656 w 229877"/>
              <a:gd name="connsiteY3" fmla="*/ 17226 h 226010"/>
              <a:gd name="connsiteX4" fmla="*/ 62805 w 229877"/>
              <a:gd name="connsiteY4" fmla="*/ 66790 h 226010"/>
              <a:gd name="connsiteX5" fmla="*/ 221 w 229877"/>
              <a:gd name="connsiteY5" fmla="*/ 198362 h 226010"/>
              <a:gd name="connsiteX6" fmla="*/ 0 w 229877"/>
              <a:gd name="connsiteY6" fmla="*/ 200177 h 226010"/>
              <a:gd name="connsiteX7" fmla="*/ 25834 w 229877"/>
              <a:gd name="connsiteY7" fmla="*/ 226011 h 226010"/>
              <a:gd name="connsiteX8" fmla="*/ 27649 w 229877"/>
              <a:gd name="connsiteY8" fmla="*/ 225790 h 226010"/>
              <a:gd name="connsiteX9" fmla="*/ 159596 w 229877"/>
              <a:gd name="connsiteY9" fmla="*/ 163592 h 226010"/>
              <a:gd name="connsiteX10" fmla="*/ 209224 w 229877"/>
              <a:gd name="connsiteY10" fmla="*/ 90955 h 226010"/>
              <a:gd name="connsiteX11" fmla="*/ 213390 w 229877"/>
              <a:gd name="connsiteY11" fmla="*/ 79330 h 226010"/>
              <a:gd name="connsiteX12" fmla="*/ 218535 w 229877"/>
              <a:gd name="connsiteY12" fmla="*/ 62882 h 226010"/>
              <a:gd name="connsiteX13" fmla="*/ 220691 w 229877"/>
              <a:gd name="connsiteY13" fmla="*/ 54921 h 226010"/>
              <a:gd name="connsiteX14" fmla="*/ 227096 w 229877"/>
              <a:gd name="connsiteY14" fmla="*/ 3040 h 226010"/>
              <a:gd name="connsiteX15" fmla="*/ 202219 w 229877"/>
              <a:gd name="connsiteY15" fmla="*/ 88277 h 226010"/>
              <a:gd name="connsiteX16" fmla="*/ 154305 w 229877"/>
              <a:gd name="connsiteY16" fmla="*/ 158290 h 226010"/>
              <a:gd name="connsiteX17" fmla="*/ 28560 w 229877"/>
              <a:gd name="connsiteY17" fmla="*/ 218117 h 226010"/>
              <a:gd name="connsiteX18" fmla="*/ 7909 w 229877"/>
              <a:gd name="connsiteY18" fmla="*/ 197462 h 226010"/>
              <a:gd name="connsiteX19" fmla="*/ 68107 w 229877"/>
              <a:gd name="connsiteY19" fmla="*/ 72092 h 226010"/>
              <a:gd name="connsiteX20" fmla="*/ 138255 w 229877"/>
              <a:gd name="connsiteY20" fmla="*/ 24250 h 226010"/>
              <a:gd name="connsiteX21" fmla="*/ 148103 w 229877"/>
              <a:gd name="connsiteY21" fmla="*/ 20968 h 226010"/>
              <a:gd name="connsiteX22" fmla="*/ 157545 w 229877"/>
              <a:gd name="connsiteY22" fmla="*/ 18006 h 226010"/>
              <a:gd name="connsiteX23" fmla="*/ 185918 w 229877"/>
              <a:gd name="connsiteY23" fmla="*/ 39613 h 226010"/>
              <a:gd name="connsiteX24" fmla="*/ 208680 w 229877"/>
              <a:gd name="connsiteY24" fmla="*/ 69745 h 226010"/>
              <a:gd name="connsiteX25" fmla="*/ 206318 w 229877"/>
              <a:gd name="connsiteY25" fmla="*/ 76802 h 226010"/>
              <a:gd name="connsiteX26" fmla="*/ 213469 w 229877"/>
              <a:gd name="connsiteY26" fmla="*/ 52956 h 226010"/>
              <a:gd name="connsiteX27" fmla="*/ 211594 w 229877"/>
              <a:gd name="connsiteY27" fmla="*/ 59863 h 226010"/>
              <a:gd name="connsiteX28" fmla="*/ 191231 w 229877"/>
              <a:gd name="connsiteY28" fmla="*/ 34311 h 226010"/>
              <a:gd name="connsiteX29" fmla="*/ 167542 w 229877"/>
              <a:gd name="connsiteY29" fmla="*/ 15242 h 226010"/>
              <a:gd name="connsiteX30" fmla="*/ 172358 w 229877"/>
              <a:gd name="connsiteY30" fmla="*/ 14057 h 226010"/>
              <a:gd name="connsiteX31" fmla="*/ 221839 w 229877"/>
              <a:gd name="connsiteY31" fmla="*/ 8383 h 226010"/>
              <a:gd name="connsiteX32" fmla="*/ 213454 w 229877"/>
              <a:gd name="connsiteY32" fmla="*/ 52941 h 2260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</a:cxnLst>
            <a:rect l="l" t="t" r="r" b="b"/>
            <a:pathLst>
              <a:path w="229877" h="226010">
                <a:moveTo>
                  <a:pt x="227096" y="3040"/>
                </a:moveTo>
                <a:cubicBezTo>
                  <a:pt x="222041" y="-2012"/>
                  <a:pt x="203048" y="-763"/>
                  <a:pt x="170651" y="6752"/>
                </a:cubicBezTo>
                <a:cubicBezTo>
                  <a:pt x="162619" y="8627"/>
                  <a:pt x="154466" y="10941"/>
                  <a:pt x="145729" y="13851"/>
                </a:cubicBezTo>
                <a:lnTo>
                  <a:pt x="135656" y="17226"/>
                </a:lnTo>
                <a:cubicBezTo>
                  <a:pt x="108340" y="28779"/>
                  <a:pt x="83581" y="45624"/>
                  <a:pt x="62805" y="66790"/>
                </a:cubicBezTo>
                <a:cubicBezTo>
                  <a:pt x="16680" y="112892"/>
                  <a:pt x="3802" y="169011"/>
                  <a:pt x="221" y="198362"/>
                </a:cubicBezTo>
                <a:lnTo>
                  <a:pt x="0" y="200177"/>
                </a:lnTo>
                <a:lnTo>
                  <a:pt x="25834" y="226011"/>
                </a:lnTo>
                <a:lnTo>
                  <a:pt x="27649" y="225790"/>
                </a:lnTo>
                <a:cubicBezTo>
                  <a:pt x="63889" y="221368"/>
                  <a:pt x="116198" y="206991"/>
                  <a:pt x="159596" y="163592"/>
                </a:cubicBezTo>
                <a:cubicBezTo>
                  <a:pt x="180835" y="142947"/>
                  <a:pt x="197711" y="118246"/>
                  <a:pt x="209224" y="90955"/>
                </a:cubicBezTo>
                <a:lnTo>
                  <a:pt x="213390" y="79330"/>
                </a:lnTo>
                <a:cubicBezTo>
                  <a:pt x="215302" y="73997"/>
                  <a:pt x="217031" y="68455"/>
                  <a:pt x="218535" y="62882"/>
                </a:cubicBezTo>
                <a:lnTo>
                  <a:pt x="220691" y="54921"/>
                </a:lnTo>
                <a:cubicBezTo>
                  <a:pt x="228930" y="24602"/>
                  <a:pt x="232969" y="8518"/>
                  <a:pt x="227096" y="3040"/>
                </a:cubicBezTo>
                <a:close/>
                <a:moveTo>
                  <a:pt x="202219" y="88277"/>
                </a:moveTo>
                <a:cubicBezTo>
                  <a:pt x="191086" y="114582"/>
                  <a:pt x="174794" y="138388"/>
                  <a:pt x="154305" y="158290"/>
                </a:cubicBezTo>
                <a:cubicBezTo>
                  <a:pt x="113130" y="199465"/>
                  <a:pt x="63555" y="213583"/>
                  <a:pt x="28560" y="218117"/>
                </a:cubicBezTo>
                <a:lnTo>
                  <a:pt x="7909" y="197462"/>
                </a:lnTo>
                <a:cubicBezTo>
                  <a:pt x="11659" y="168625"/>
                  <a:pt x="24521" y="115678"/>
                  <a:pt x="68107" y="72092"/>
                </a:cubicBezTo>
                <a:cubicBezTo>
                  <a:pt x="88114" y="51684"/>
                  <a:pt x="111953" y="35426"/>
                  <a:pt x="138255" y="24250"/>
                </a:cubicBezTo>
                <a:lnTo>
                  <a:pt x="148103" y="20968"/>
                </a:lnTo>
                <a:cubicBezTo>
                  <a:pt x="151331" y="19892"/>
                  <a:pt x="154478" y="18921"/>
                  <a:pt x="157545" y="18006"/>
                </a:cubicBezTo>
                <a:cubicBezTo>
                  <a:pt x="167900" y="23947"/>
                  <a:pt x="177438" y="31210"/>
                  <a:pt x="185918" y="39613"/>
                </a:cubicBezTo>
                <a:cubicBezTo>
                  <a:pt x="194835" y="48580"/>
                  <a:pt x="202493" y="58716"/>
                  <a:pt x="208680" y="69745"/>
                </a:cubicBezTo>
                <a:cubicBezTo>
                  <a:pt x="207930" y="72126"/>
                  <a:pt x="207146" y="74488"/>
                  <a:pt x="206318" y="76802"/>
                </a:cubicBezTo>
                <a:close/>
                <a:moveTo>
                  <a:pt x="213469" y="52956"/>
                </a:moveTo>
                <a:lnTo>
                  <a:pt x="211594" y="59863"/>
                </a:lnTo>
                <a:cubicBezTo>
                  <a:pt x="205718" y="50658"/>
                  <a:pt x="198893" y="42093"/>
                  <a:pt x="191231" y="34311"/>
                </a:cubicBezTo>
                <a:cubicBezTo>
                  <a:pt x="183981" y="27191"/>
                  <a:pt x="176047" y="20804"/>
                  <a:pt x="167542" y="15242"/>
                </a:cubicBezTo>
                <a:cubicBezTo>
                  <a:pt x="169151" y="14833"/>
                  <a:pt x="170760" y="14428"/>
                  <a:pt x="172358" y="14057"/>
                </a:cubicBezTo>
                <a:cubicBezTo>
                  <a:pt x="204094" y="6692"/>
                  <a:pt x="219555" y="6666"/>
                  <a:pt x="221839" y="8383"/>
                </a:cubicBezTo>
                <a:cubicBezTo>
                  <a:pt x="224580" y="12066"/>
                  <a:pt x="218149" y="35691"/>
                  <a:pt x="213454" y="52941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86" name="Freeform: Shape 185">
            <a:extLst>
              <a:ext uri="{FF2B5EF4-FFF2-40B4-BE49-F238E27FC236}">
                <a16:creationId xmlns:a16="http://schemas.microsoft.com/office/drawing/2014/main" id="{30EABAC6-A578-4DE1-9AEA-FCA76A491EE0}"/>
              </a:ext>
            </a:extLst>
          </xdr:cNvPr>
          <xdr:cNvSpPr/>
        </xdr:nvSpPr>
        <xdr:spPr>
          <a:xfrm>
            <a:off x="9882409" y="9196483"/>
            <a:ext cx="60798" cy="61029"/>
          </a:xfrm>
          <a:custGeom>
            <a:avLst/>
            <a:gdLst>
              <a:gd name="connsiteX0" fmla="*/ 54127 w 60798"/>
              <a:gd name="connsiteY0" fmla="*/ 13424 h 61029"/>
              <a:gd name="connsiteX1" fmla="*/ 50040 w 60798"/>
              <a:gd name="connsiteY1" fmla="*/ 10660 h 61029"/>
              <a:gd name="connsiteX2" fmla="*/ 47013 w 60798"/>
              <a:gd name="connsiteY2" fmla="*/ 6426 h 61029"/>
              <a:gd name="connsiteX3" fmla="*/ 39622 w 60798"/>
              <a:gd name="connsiteY3" fmla="*/ 51 h 61029"/>
              <a:gd name="connsiteX4" fmla="*/ 27153 w 60798"/>
              <a:gd name="connsiteY4" fmla="*/ 6966 h 61029"/>
              <a:gd name="connsiteX5" fmla="*/ 2028 w 60798"/>
              <a:gd name="connsiteY5" fmla="*/ 58768 h 61029"/>
              <a:gd name="connsiteX6" fmla="*/ 8088 w 60798"/>
              <a:gd name="connsiteY6" fmla="*/ 61019 h 61029"/>
              <a:gd name="connsiteX7" fmla="*/ 27438 w 60798"/>
              <a:gd name="connsiteY7" fmla="*/ 53695 h 61029"/>
              <a:gd name="connsiteX8" fmla="*/ 53868 w 60798"/>
              <a:gd name="connsiteY8" fmla="*/ 33606 h 61029"/>
              <a:gd name="connsiteX9" fmla="*/ 60727 w 60798"/>
              <a:gd name="connsiteY9" fmla="*/ 20777 h 61029"/>
              <a:gd name="connsiteX10" fmla="*/ 54127 w 60798"/>
              <a:gd name="connsiteY10" fmla="*/ 13424 h 61029"/>
              <a:gd name="connsiteX11" fmla="*/ 48540 w 60798"/>
              <a:gd name="connsiteY11" fmla="*/ 28330 h 61029"/>
              <a:gd name="connsiteX12" fmla="*/ 7500 w 60798"/>
              <a:gd name="connsiteY12" fmla="*/ 53642 h 61029"/>
              <a:gd name="connsiteX13" fmla="*/ 32467 w 60798"/>
              <a:gd name="connsiteY13" fmla="*/ 12257 h 61029"/>
              <a:gd name="connsiteX14" fmla="*/ 38576 w 60798"/>
              <a:gd name="connsiteY14" fmla="*/ 7442 h 61029"/>
              <a:gd name="connsiteX15" fmla="*/ 40605 w 60798"/>
              <a:gd name="connsiteY15" fmla="*/ 10304 h 61029"/>
              <a:gd name="connsiteX16" fmla="*/ 44790 w 60798"/>
              <a:gd name="connsiteY16" fmla="*/ 16007 h 61029"/>
              <a:gd name="connsiteX17" fmla="*/ 44876 w 60798"/>
              <a:gd name="connsiteY17" fmla="*/ 16093 h 61029"/>
              <a:gd name="connsiteX18" fmla="*/ 50403 w 60798"/>
              <a:gd name="connsiteY18" fmla="*/ 19926 h 61029"/>
              <a:gd name="connsiteX19" fmla="*/ 53310 w 60798"/>
              <a:gd name="connsiteY19" fmla="*/ 21775 h 61029"/>
              <a:gd name="connsiteX20" fmla="*/ 48540 w 60798"/>
              <a:gd name="connsiteY20" fmla="*/ 28330 h 6102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</a:cxnLst>
            <a:rect l="l" t="t" r="r" b="b"/>
            <a:pathLst>
              <a:path w="60798" h="61029">
                <a:moveTo>
                  <a:pt x="54127" y="13424"/>
                </a:moveTo>
                <a:cubicBezTo>
                  <a:pt x="52667" y="12657"/>
                  <a:pt x="51296" y="11730"/>
                  <a:pt x="50040" y="10660"/>
                </a:cubicBezTo>
                <a:cubicBezTo>
                  <a:pt x="48868" y="9372"/>
                  <a:pt x="47853" y="7951"/>
                  <a:pt x="47013" y="6426"/>
                </a:cubicBezTo>
                <a:cubicBezTo>
                  <a:pt x="45337" y="3651"/>
                  <a:pt x="43436" y="505"/>
                  <a:pt x="39622" y="51"/>
                </a:cubicBezTo>
                <a:cubicBezTo>
                  <a:pt x="36120" y="-354"/>
                  <a:pt x="32497" y="1626"/>
                  <a:pt x="27153" y="6966"/>
                </a:cubicBezTo>
                <a:cubicBezTo>
                  <a:pt x="19413" y="14706"/>
                  <a:pt x="-7538" y="48568"/>
                  <a:pt x="2028" y="58768"/>
                </a:cubicBezTo>
                <a:cubicBezTo>
                  <a:pt x="3653" y="60320"/>
                  <a:pt x="5845" y="61134"/>
                  <a:pt x="8088" y="61019"/>
                </a:cubicBezTo>
                <a:cubicBezTo>
                  <a:pt x="12712" y="61019"/>
                  <a:pt x="19121" y="58585"/>
                  <a:pt x="27438" y="53695"/>
                </a:cubicBezTo>
                <a:cubicBezTo>
                  <a:pt x="36996" y="48044"/>
                  <a:pt x="45866" y="41302"/>
                  <a:pt x="53868" y="33606"/>
                </a:cubicBezTo>
                <a:cubicBezTo>
                  <a:pt x="59171" y="28146"/>
                  <a:pt x="61222" y="24310"/>
                  <a:pt x="60727" y="20777"/>
                </a:cubicBezTo>
                <a:cubicBezTo>
                  <a:pt x="60187" y="16907"/>
                  <a:pt x="56970" y="15058"/>
                  <a:pt x="54127" y="13424"/>
                </a:cubicBezTo>
                <a:close/>
                <a:moveTo>
                  <a:pt x="48540" y="28330"/>
                </a:moveTo>
                <a:cubicBezTo>
                  <a:pt x="34620" y="42250"/>
                  <a:pt x="11351" y="55540"/>
                  <a:pt x="7500" y="53642"/>
                </a:cubicBezTo>
                <a:cubicBezTo>
                  <a:pt x="5471" y="49431"/>
                  <a:pt x="19091" y="25633"/>
                  <a:pt x="32467" y="12257"/>
                </a:cubicBezTo>
                <a:cubicBezTo>
                  <a:pt x="34140" y="10239"/>
                  <a:pt x="36222" y="8598"/>
                  <a:pt x="38576" y="7442"/>
                </a:cubicBezTo>
                <a:cubicBezTo>
                  <a:pt x="39377" y="8301"/>
                  <a:pt x="40059" y="9264"/>
                  <a:pt x="40605" y="10304"/>
                </a:cubicBezTo>
                <a:cubicBezTo>
                  <a:pt x="41758" y="12371"/>
                  <a:pt x="43164" y="14287"/>
                  <a:pt x="44790" y="16007"/>
                </a:cubicBezTo>
                <a:lnTo>
                  <a:pt x="44876" y="16093"/>
                </a:lnTo>
                <a:cubicBezTo>
                  <a:pt x="46560" y="17586"/>
                  <a:pt x="48416" y="18872"/>
                  <a:pt x="50403" y="19926"/>
                </a:cubicBezTo>
                <a:cubicBezTo>
                  <a:pt x="51424" y="20457"/>
                  <a:pt x="52396" y="21076"/>
                  <a:pt x="53310" y="21775"/>
                </a:cubicBezTo>
                <a:cubicBezTo>
                  <a:pt x="53298" y="21842"/>
                  <a:pt x="53253" y="23458"/>
                  <a:pt x="48540" y="2833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87" name="Freeform: Shape 186">
            <a:extLst>
              <a:ext uri="{FF2B5EF4-FFF2-40B4-BE49-F238E27FC236}">
                <a16:creationId xmlns:a16="http://schemas.microsoft.com/office/drawing/2014/main" id="{FDCCA951-4A00-4D3B-9309-7CBFDB41A3AA}"/>
              </a:ext>
            </a:extLst>
          </xdr:cNvPr>
          <xdr:cNvSpPr/>
        </xdr:nvSpPr>
        <xdr:spPr>
          <a:xfrm>
            <a:off x="10040169" y="9046887"/>
            <a:ext cx="52618" cy="52396"/>
          </a:xfrm>
          <a:custGeom>
            <a:avLst/>
            <a:gdLst>
              <a:gd name="connsiteX0" fmla="*/ 7712 w 52618"/>
              <a:gd name="connsiteY0" fmla="*/ 7731 h 52396"/>
              <a:gd name="connsiteX1" fmla="*/ 7595 w 52618"/>
              <a:gd name="connsiteY1" fmla="*/ 44684 h 52396"/>
              <a:gd name="connsiteX2" fmla="*/ 26496 w 52618"/>
              <a:gd name="connsiteY2" fmla="*/ 52394 h 52396"/>
              <a:gd name="connsiteX3" fmla="*/ 44946 w 52618"/>
              <a:gd name="connsiteY3" fmla="*/ 44852 h 52396"/>
              <a:gd name="connsiteX4" fmla="*/ 44891 w 52618"/>
              <a:gd name="connsiteY4" fmla="*/ 7673 h 52396"/>
              <a:gd name="connsiteX5" fmla="*/ 7712 w 52618"/>
              <a:gd name="connsiteY5" fmla="*/ 7727 h 52396"/>
              <a:gd name="connsiteX6" fmla="*/ 39654 w 52618"/>
              <a:gd name="connsiteY6" fmla="*/ 39550 h 52396"/>
              <a:gd name="connsiteX7" fmla="*/ 13082 w 52618"/>
              <a:gd name="connsiteY7" fmla="*/ 39903 h 52396"/>
              <a:gd name="connsiteX8" fmla="*/ 12729 w 52618"/>
              <a:gd name="connsiteY8" fmla="*/ 13330 h 52396"/>
              <a:gd name="connsiteX9" fmla="*/ 13082 w 52618"/>
              <a:gd name="connsiteY9" fmla="*/ 12977 h 52396"/>
              <a:gd name="connsiteX10" fmla="*/ 26271 w 52618"/>
              <a:gd name="connsiteY10" fmla="*/ 7604 h 52396"/>
              <a:gd name="connsiteX11" fmla="*/ 45212 w 52618"/>
              <a:gd name="connsiteY11" fmla="*/ 25978 h 52396"/>
              <a:gd name="connsiteX12" fmla="*/ 39654 w 52618"/>
              <a:gd name="connsiteY12" fmla="*/ 39550 h 523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52618" h="52396">
                <a:moveTo>
                  <a:pt x="7712" y="7731"/>
                </a:moveTo>
                <a:cubicBezTo>
                  <a:pt x="-2525" y="17903"/>
                  <a:pt x="-2577" y="34448"/>
                  <a:pt x="7595" y="44684"/>
                </a:cubicBezTo>
                <a:cubicBezTo>
                  <a:pt x="12589" y="49710"/>
                  <a:pt x="19411" y="52493"/>
                  <a:pt x="26496" y="52394"/>
                </a:cubicBezTo>
                <a:cubicBezTo>
                  <a:pt x="33403" y="52432"/>
                  <a:pt x="40042" y="49719"/>
                  <a:pt x="44946" y="44852"/>
                </a:cubicBezTo>
                <a:cubicBezTo>
                  <a:pt x="55197" y="34571"/>
                  <a:pt x="55173" y="17925"/>
                  <a:pt x="44891" y="7673"/>
                </a:cubicBezTo>
                <a:cubicBezTo>
                  <a:pt x="34610" y="-2579"/>
                  <a:pt x="17964" y="-2554"/>
                  <a:pt x="7712" y="7727"/>
                </a:cubicBezTo>
                <a:close/>
                <a:moveTo>
                  <a:pt x="39654" y="39550"/>
                </a:moveTo>
                <a:cubicBezTo>
                  <a:pt x="32414" y="46985"/>
                  <a:pt x="20517" y="47143"/>
                  <a:pt x="13082" y="39903"/>
                </a:cubicBezTo>
                <a:cubicBezTo>
                  <a:pt x="5647" y="32662"/>
                  <a:pt x="5489" y="20765"/>
                  <a:pt x="12729" y="13330"/>
                </a:cubicBezTo>
                <a:cubicBezTo>
                  <a:pt x="12845" y="13211"/>
                  <a:pt x="12963" y="13093"/>
                  <a:pt x="13082" y="12977"/>
                </a:cubicBezTo>
                <a:cubicBezTo>
                  <a:pt x="16589" y="9504"/>
                  <a:pt x="21335" y="7570"/>
                  <a:pt x="26271" y="7604"/>
                </a:cubicBezTo>
                <a:cubicBezTo>
                  <a:pt x="36575" y="7447"/>
                  <a:pt x="45055" y="15673"/>
                  <a:pt x="45212" y="25978"/>
                </a:cubicBezTo>
                <a:cubicBezTo>
                  <a:pt x="45290" y="31071"/>
                  <a:pt x="43282" y="35974"/>
                  <a:pt x="39654" y="3955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130970</xdr:colOff>
      <xdr:row>9</xdr:row>
      <xdr:rowOff>181677</xdr:rowOff>
    </xdr:from>
    <xdr:to>
      <xdr:col>4</xdr:col>
      <xdr:colOff>448350</xdr:colOff>
      <xdr:row>9</xdr:row>
      <xdr:rowOff>385759</xdr:rowOff>
    </xdr:to>
    <xdr:grpSp>
      <xdr:nvGrpSpPr>
        <xdr:cNvPr id="201" name="departure" descr="Take Off outline">
          <a:extLst>
            <a:ext uri="{FF2B5EF4-FFF2-40B4-BE49-F238E27FC236}">
              <a16:creationId xmlns:a16="http://schemas.microsoft.com/office/drawing/2014/main" id="{A94EB700-7FD6-4F70-91CB-BA5649EECD71}"/>
            </a:ext>
          </a:extLst>
        </xdr:cNvPr>
        <xdr:cNvGrpSpPr>
          <a:grpSpLocks noChangeAspect="1"/>
        </xdr:cNvGrpSpPr>
      </xdr:nvGrpSpPr>
      <xdr:grpSpPr>
        <a:xfrm>
          <a:off x="3455195" y="3705927"/>
          <a:ext cx="317380" cy="204082"/>
          <a:chOff x="11121100" y="8457806"/>
          <a:chExt cx="317380" cy="204082"/>
        </a:xfrm>
        <a:solidFill>
          <a:srgbClr val="1F4E78"/>
        </a:solidFill>
      </xdr:grpSpPr>
      <xdr:sp macro="" textlink="">
        <xdr:nvSpPr>
          <xdr:cNvPr id="202" name="Freeform: Shape 201">
            <a:extLst>
              <a:ext uri="{FF2B5EF4-FFF2-40B4-BE49-F238E27FC236}">
                <a16:creationId xmlns:a16="http://schemas.microsoft.com/office/drawing/2014/main" id="{1363A432-28C3-4097-9B0F-542A79E661A5}"/>
              </a:ext>
            </a:extLst>
          </xdr:cNvPr>
          <xdr:cNvSpPr/>
        </xdr:nvSpPr>
        <xdr:spPr>
          <a:xfrm>
            <a:off x="11121100" y="8654389"/>
            <a:ext cx="317380" cy="7500"/>
          </a:xfrm>
          <a:custGeom>
            <a:avLst/>
            <a:gdLst>
              <a:gd name="connsiteX0" fmla="*/ 0 w 317380"/>
              <a:gd name="connsiteY0" fmla="*/ 0 h 7500"/>
              <a:gd name="connsiteX1" fmla="*/ 317381 w 317380"/>
              <a:gd name="connsiteY1" fmla="*/ 0 h 7500"/>
              <a:gd name="connsiteX2" fmla="*/ 317381 w 317380"/>
              <a:gd name="connsiteY2" fmla="*/ 7500 h 7500"/>
              <a:gd name="connsiteX3" fmla="*/ 0 w 317380"/>
              <a:gd name="connsiteY3" fmla="*/ 7500 h 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317380" h="7500">
                <a:moveTo>
                  <a:pt x="0" y="0"/>
                </a:moveTo>
                <a:lnTo>
                  <a:pt x="317381" y="0"/>
                </a:lnTo>
                <a:lnTo>
                  <a:pt x="317381" y="7500"/>
                </a:lnTo>
                <a:lnTo>
                  <a:pt x="0" y="750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03" name="Freeform: Shape 202">
            <a:extLst>
              <a:ext uri="{FF2B5EF4-FFF2-40B4-BE49-F238E27FC236}">
                <a16:creationId xmlns:a16="http://schemas.microsoft.com/office/drawing/2014/main" id="{27E35610-D362-4FA5-AF30-BA1DDDFCC4C9}"/>
              </a:ext>
            </a:extLst>
          </xdr:cNvPr>
          <xdr:cNvSpPr/>
        </xdr:nvSpPr>
        <xdr:spPr>
          <a:xfrm>
            <a:off x="11124874" y="8457806"/>
            <a:ext cx="308086" cy="99277"/>
          </a:xfrm>
          <a:custGeom>
            <a:avLst/>
            <a:gdLst>
              <a:gd name="connsiteX0" fmla="*/ 24647 w 308086"/>
              <a:gd name="connsiteY0" fmla="*/ 90686 h 99277"/>
              <a:gd name="connsiteX1" fmla="*/ 33715 w 308086"/>
              <a:gd name="connsiteY1" fmla="*/ 96311 h 99277"/>
              <a:gd name="connsiteX2" fmla="*/ 62683 w 308086"/>
              <a:gd name="connsiteY2" fmla="*/ 98528 h 99277"/>
              <a:gd name="connsiteX3" fmla="*/ 82678 w 308086"/>
              <a:gd name="connsiteY3" fmla="*/ 99278 h 99277"/>
              <a:gd name="connsiteX4" fmla="*/ 136100 w 308086"/>
              <a:gd name="connsiteY4" fmla="*/ 93773 h 99277"/>
              <a:gd name="connsiteX5" fmla="*/ 282553 w 308086"/>
              <a:gd name="connsiteY5" fmla="*/ 63270 h 99277"/>
              <a:gd name="connsiteX6" fmla="*/ 307868 w 308086"/>
              <a:gd name="connsiteY6" fmla="*/ 43343 h 99277"/>
              <a:gd name="connsiteX7" fmla="*/ 268327 w 308086"/>
              <a:gd name="connsiteY7" fmla="*/ 28718 h 99277"/>
              <a:gd name="connsiteX8" fmla="*/ 263517 w 308086"/>
              <a:gd name="connsiteY8" fmla="*/ 29130 h 99277"/>
              <a:gd name="connsiteX9" fmla="*/ 175848 w 308086"/>
              <a:gd name="connsiteY9" fmla="*/ 47415 h 99277"/>
              <a:gd name="connsiteX10" fmla="*/ 71691 w 308086"/>
              <a:gd name="connsiteY10" fmla="*/ 1005 h 99277"/>
              <a:gd name="connsiteX11" fmla="*/ 66953 w 308086"/>
              <a:gd name="connsiteY11" fmla="*/ 0 h 99277"/>
              <a:gd name="connsiteX12" fmla="*/ 64580 w 308086"/>
              <a:gd name="connsiteY12" fmla="*/ 244 h 99277"/>
              <a:gd name="connsiteX13" fmla="*/ 51477 w 308086"/>
              <a:gd name="connsiteY13" fmla="*/ 2974 h 99277"/>
              <a:gd name="connsiteX14" fmla="*/ 49239 w 308086"/>
              <a:gd name="connsiteY14" fmla="*/ 6363 h 99277"/>
              <a:gd name="connsiteX15" fmla="*/ 50222 w 308086"/>
              <a:gd name="connsiteY15" fmla="*/ 7984 h 99277"/>
              <a:gd name="connsiteX16" fmla="*/ 113619 w 308086"/>
              <a:gd name="connsiteY16" fmla="*/ 60375 h 99277"/>
              <a:gd name="connsiteX17" fmla="*/ 51390 w 308086"/>
              <a:gd name="connsiteY17" fmla="*/ 73335 h 99277"/>
              <a:gd name="connsiteX18" fmla="*/ 18632 w 308086"/>
              <a:gd name="connsiteY18" fmla="*/ 45488 h 99277"/>
              <a:gd name="connsiteX19" fmla="*/ 11211 w 308086"/>
              <a:gd name="connsiteY19" fmla="*/ 43613 h 99277"/>
              <a:gd name="connsiteX20" fmla="*/ 2271 w 308086"/>
              <a:gd name="connsiteY20" fmla="*/ 45458 h 99277"/>
              <a:gd name="connsiteX21" fmla="*/ 67 w 308086"/>
              <a:gd name="connsiteY21" fmla="*/ 48868 h 99277"/>
              <a:gd name="connsiteX22" fmla="*/ 382 w 308086"/>
              <a:gd name="connsiteY22" fmla="*/ 49680 h 99277"/>
              <a:gd name="connsiteX23" fmla="*/ 118455 w 308086"/>
              <a:gd name="connsiteY23" fmla="*/ 54611 h 99277"/>
              <a:gd name="connsiteX24" fmla="*/ 62536 w 308086"/>
              <a:gd name="connsiteY24" fmla="*/ 8396 h 99277"/>
              <a:gd name="connsiteX25" fmla="*/ 62536 w 308086"/>
              <a:gd name="connsiteY25" fmla="*/ 8333 h 99277"/>
              <a:gd name="connsiteX26" fmla="*/ 66122 w 308086"/>
              <a:gd name="connsiteY26" fmla="*/ 7583 h 99277"/>
              <a:gd name="connsiteX27" fmla="*/ 68581 w 308086"/>
              <a:gd name="connsiteY27" fmla="*/ 7845 h 99277"/>
              <a:gd name="connsiteX28" fmla="*/ 172754 w 308086"/>
              <a:gd name="connsiteY28" fmla="*/ 54255 h 99277"/>
              <a:gd name="connsiteX29" fmla="*/ 174995 w 308086"/>
              <a:gd name="connsiteY29" fmla="*/ 55253 h 99277"/>
              <a:gd name="connsiteX30" fmla="*/ 177401 w 308086"/>
              <a:gd name="connsiteY30" fmla="*/ 54754 h 99277"/>
              <a:gd name="connsiteX31" fmla="*/ 265085 w 308086"/>
              <a:gd name="connsiteY31" fmla="*/ 36491 h 99277"/>
              <a:gd name="connsiteX32" fmla="*/ 268342 w 308086"/>
              <a:gd name="connsiteY32" fmla="*/ 36236 h 99277"/>
              <a:gd name="connsiteX33" fmla="*/ 300519 w 308086"/>
              <a:gd name="connsiteY33" fmla="*/ 45443 h 99277"/>
              <a:gd name="connsiteX34" fmla="*/ 281011 w 308086"/>
              <a:gd name="connsiteY34" fmla="*/ 55942 h 99277"/>
              <a:gd name="connsiteX35" fmla="*/ 134559 w 308086"/>
              <a:gd name="connsiteY35" fmla="*/ 86453 h 99277"/>
              <a:gd name="connsiteX36" fmla="*/ 82690 w 308086"/>
              <a:gd name="connsiteY36" fmla="*/ 91796 h 99277"/>
              <a:gd name="connsiteX37" fmla="*/ 63276 w 308086"/>
              <a:gd name="connsiteY37" fmla="*/ 91046 h 99277"/>
              <a:gd name="connsiteX38" fmla="*/ 34304 w 308086"/>
              <a:gd name="connsiteY38" fmla="*/ 88830 h 99277"/>
              <a:gd name="connsiteX39" fmla="*/ 31161 w 308086"/>
              <a:gd name="connsiteY39" fmla="*/ 86880 h 99277"/>
              <a:gd name="connsiteX40" fmla="*/ 10206 w 308086"/>
              <a:gd name="connsiteY40" fmla="*/ 51476 h 99277"/>
              <a:gd name="connsiteX41" fmla="*/ 12779 w 308086"/>
              <a:gd name="connsiteY41" fmla="*/ 50940 h 99277"/>
              <a:gd name="connsiteX42" fmla="*/ 13006 w 308086"/>
              <a:gd name="connsiteY42" fmla="*/ 50917 h 99277"/>
              <a:gd name="connsiteX43" fmla="*/ 13731 w 308086"/>
              <a:gd name="connsiteY43" fmla="*/ 51184 h 99277"/>
              <a:gd name="connsiteX44" fmla="*/ 46489 w 308086"/>
              <a:gd name="connsiteY44" fmla="*/ 79031 h 99277"/>
              <a:gd name="connsiteX45" fmla="*/ 49315 w 308086"/>
              <a:gd name="connsiteY45" fmla="*/ 81435 h 99277"/>
              <a:gd name="connsiteX46" fmla="*/ 52958 w 308086"/>
              <a:gd name="connsiteY46" fmla="*/ 80685 h 99277"/>
              <a:gd name="connsiteX47" fmla="*/ 115187 w 308086"/>
              <a:gd name="connsiteY47" fmla="*/ 67725 h 99277"/>
              <a:gd name="connsiteX48" fmla="*/ 120813 w 308086"/>
              <a:gd name="connsiteY48" fmla="*/ 66551 h 99277"/>
              <a:gd name="connsiteX49" fmla="*/ 127769 w 308086"/>
              <a:gd name="connsiteY49" fmla="*/ 72221 h 99277"/>
              <a:gd name="connsiteX50" fmla="*/ 133087 w 308086"/>
              <a:gd name="connsiteY50" fmla="*/ 71702 h 99277"/>
              <a:gd name="connsiteX51" fmla="*/ 132564 w 308086"/>
              <a:gd name="connsiteY51" fmla="*/ 66424 h 9927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</a:cxnLst>
            <a:rect l="l" t="t" r="r" b="b"/>
            <a:pathLst>
              <a:path w="308086" h="99277">
                <a:moveTo>
                  <a:pt x="24647" y="90686"/>
                </a:moveTo>
                <a:cubicBezTo>
                  <a:pt x="26560" y="93921"/>
                  <a:pt x="29947" y="96021"/>
                  <a:pt x="33715" y="96311"/>
                </a:cubicBezTo>
                <a:lnTo>
                  <a:pt x="62683" y="98528"/>
                </a:lnTo>
                <a:cubicBezTo>
                  <a:pt x="69346" y="99027"/>
                  <a:pt x="76011" y="99278"/>
                  <a:pt x="82678" y="99278"/>
                </a:cubicBezTo>
                <a:cubicBezTo>
                  <a:pt x="100629" y="99278"/>
                  <a:pt x="118532" y="97433"/>
                  <a:pt x="136100" y="93773"/>
                </a:cubicBezTo>
                <a:lnTo>
                  <a:pt x="282553" y="63270"/>
                </a:lnTo>
                <a:cubicBezTo>
                  <a:pt x="282553" y="63270"/>
                  <a:pt x="310837" y="57379"/>
                  <a:pt x="307868" y="43343"/>
                </a:cubicBezTo>
                <a:cubicBezTo>
                  <a:pt x="306296" y="35925"/>
                  <a:pt x="281857" y="28718"/>
                  <a:pt x="268327" y="28718"/>
                </a:cubicBezTo>
                <a:cubicBezTo>
                  <a:pt x="266714" y="28695"/>
                  <a:pt x="265103" y="28834"/>
                  <a:pt x="263517" y="29130"/>
                </a:cubicBezTo>
                <a:lnTo>
                  <a:pt x="175848" y="47415"/>
                </a:lnTo>
                <a:lnTo>
                  <a:pt x="71691" y="1005"/>
                </a:lnTo>
                <a:cubicBezTo>
                  <a:pt x="70201" y="342"/>
                  <a:pt x="68586" y="0"/>
                  <a:pt x="66953" y="0"/>
                </a:cubicBezTo>
                <a:cubicBezTo>
                  <a:pt x="66156" y="1"/>
                  <a:pt x="65361" y="83"/>
                  <a:pt x="64580" y="244"/>
                </a:cubicBezTo>
                <a:lnTo>
                  <a:pt x="51477" y="2974"/>
                </a:lnTo>
                <a:cubicBezTo>
                  <a:pt x="49916" y="3296"/>
                  <a:pt x="48914" y="4814"/>
                  <a:pt x="49239" y="6363"/>
                </a:cubicBezTo>
                <a:cubicBezTo>
                  <a:pt x="49373" y="6998"/>
                  <a:pt x="49719" y="7569"/>
                  <a:pt x="50222" y="7984"/>
                </a:cubicBezTo>
                <a:lnTo>
                  <a:pt x="113619" y="60375"/>
                </a:lnTo>
                <a:lnTo>
                  <a:pt x="51390" y="73335"/>
                </a:lnTo>
                <a:lnTo>
                  <a:pt x="18632" y="45488"/>
                </a:lnTo>
                <a:cubicBezTo>
                  <a:pt x="16585" y="43753"/>
                  <a:pt x="13844" y="43061"/>
                  <a:pt x="11211" y="43613"/>
                </a:cubicBezTo>
                <a:lnTo>
                  <a:pt x="2271" y="45458"/>
                </a:lnTo>
                <a:cubicBezTo>
                  <a:pt x="714" y="45795"/>
                  <a:pt x="-273" y="47322"/>
                  <a:pt x="67" y="48868"/>
                </a:cubicBezTo>
                <a:cubicBezTo>
                  <a:pt x="130" y="49153"/>
                  <a:pt x="236" y="49427"/>
                  <a:pt x="382" y="49680"/>
                </a:cubicBezTo>
                <a:close/>
                <a:moveTo>
                  <a:pt x="118455" y="54611"/>
                </a:moveTo>
                <a:lnTo>
                  <a:pt x="62536" y="8396"/>
                </a:lnTo>
                <a:cubicBezTo>
                  <a:pt x="62502" y="8370"/>
                  <a:pt x="62509" y="8340"/>
                  <a:pt x="62536" y="8333"/>
                </a:cubicBezTo>
                <a:lnTo>
                  <a:pt x="66122" y="7583"/>
                </a:lnTo>
                <a:cubicBezTo>
                  <a:pt x="66949" y="7408"/>
                  <a:pt x="67810" y="7500"/>
                  <a:pt x="68581" y="7845"/>
                </a:cubicBezTo>
                <a:lnTo>
                  <a:pt x="172754" y="54255"/>
                </a:lnTo>
                <a:lnTo>
                  <a:pt x="174995" y="55253"/>
                </a:lnTo>
                <a:lnTo>
                  <a:pt x="177401" y="54754"/>
                </a:lnTo>
                <a:lnTo>
                  <a:pt x="265085" y="36491"/>
                </a:lnTo>
                <a:cubicBezTo>
                  <a:pt x="266160" y="36297"/>
                  <a:pt x="267251" y="36212"/>
                  <a:pt x="268342" y="36236"/>
                </a:cubicBezTo>
                <a:cubicBezTo>
                  <a:pt x="280286" y="36236"/>
                  <a:pt x="297145" y="42030"/>
                  <a:pt x="300519" y="45443"/>
                </a:cubicBezTo>
                <a:cubicBezTo>
                  <a:pt x="300231" y="49088"/>
                  <a:pt x="290011" y="54067"/>
                  <a:pt x="281011" y="55942"/>
                </a:cubicBezTo>
                <a:lnTo>
                  <a:pt x="134559" y="86453"/>
                </a:lnTo>
                <a:cubicBezTo>
                  <a:pt x="117501" y="90001"/>
                  <a:pt x="100119" y="91792"/>
                  <a:pt x="82690" y="91796"/>
                </a:cubicBezTo>
                <a:cubicBezTo>
                  <a:pt x="76240" y="91796"/>
                  <a:pt x="69707" y="91545"/>
                  <a:pt x="63276" y="91046"/>
                </a:cubicBezTo>
                <a:lnTo>
                  <a:pt x="34304" y="88830"/>
                </a:lnTo>
                <a:cubicBezTo>
                  <a:pt x="32998" y="88728"/>
                  <a:pt x="31825" y="88000"/>
                  <a:pt x="31161" y="86880"/>
                </a:cubicBezTo>
                <a:lnTo>
                  <a:pt x="10206" y="51476"/>
                </a:lnTo>
                <a:lnTo>
                  <a:pt x="12779" y="50940"/>
                </a:lnTo>
                <a:cubicBezTo>
                  <a:pt x="12854" y="50925"/>
                  <a:pt x="12930" y="50917"/>
                  <a:pt x="13006" y="50917"/>
                </a:cubicBezTo>
                <a:cubicBezTo>
                  <a:pt x="13272" y="50916"/>
                  <a:pt x="13530" y="51011"/>
                  <a:pt x="13731" y="51184"/>
                </a:cubicBezTo>
                <a:lnTo>
                  <a:pt x="46489" y="79031"/>
                </a:lnTo>
                <a:lnTo>
                  <a:pt x="49315" y="81435"/>
                </a:lnTo>
                <a:lnTo>
                  <a:pt x="52958" y="80685"/>
                </a:lnTo>
                <a:lnTo>
                  <a:pt x="115187" y="67725"/>
                </a:lnTo>
                <a:lnTo>
                  <a:pt x="120813" y="66551"/>
                </a:lnTo>
                <a:lnTo>
                  <a:pt x="127769" y="72221"/>
                </a:lnTo>
                <a:cubicBezTo>
                  <a:pt x="129382" y="73535"/>
                  <a:pt x="131763" y="73303"/>
                  <a:pt x="133087" y="71702"/>
                </a:cubicBezTo>
                <a:cubicBezTo>
                  <a:pt x="134411" y="70101"/>
                  <a:pt x="134177" y="67738"/>
                  <a:pt x="132564" y="6642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138588</xdr:colOff>
      <xdr:row>5</xdr:row>
      <xdr:rowOff>140978</xdr:rowOff>
    </xdr:from>
    <xdr:to>
      <xdr:col>4</xdr:col>
      <xdr:colOff>440732</xdr:colOff>
      <xdr:row>5</xdr:row>
      <xdr:rowOff>443733</xdr:rowOff>
    </xdr:to>
    <xdr:grpSp>
      <xdr:nvGrpSpPr>
        <xdr:cNvPr id="204" name="cough" descr="Cough outline">
          <a:extLst>
            <a:ext uri="{FF2B5EF4-FFF2-40B4-BE49-F238E27FC236}">
              <a16:creationId xmlns:a16="http://schemas.microsoft.com/office/drawing/2014/main" id="{B2C1D616-62B0-4A82-BC47-3EDD3D4C192B}"/>
            </a:ext>
          </a:extLst>
        </xdr:cNvPr>
        <xdr:cNvGrpSpPr>
          <a:grpSpLocks noChangeAspect="1"/>
        </xdr:cNvGrpSpPr>
      </xdr:nvGrpSpPr>
      <xdr:grpSpPr>
        <a:xfrm>
          <a:off x="3462813" y="1150628"/>
          <a:ext cx="302144" cy="302755"/>
          <a:chOff x="3131929" y="840118"/>
          <a:chExt cx="302144" cy="302755"/>
        </a:xfrm>
        <a:solidFill>
          <a:srgbClr val="1F4E78"/>
        </a:solidFill>
      </xdr:grpSpPr>
      <xdr:sp macro="" textlink="">
        <xdr:nvSpPr>
          <xdr:cNvPr id="205" name="Freeform: Shape 204">
            <a:extLst>
              <a:ext uri="{FF2B5EF4-FFF2-40B4-BE49-F238E27FC236}">
                <a16:creationId xmlns:a16="http://schemas.microsoft.com/office/drawing/2014/main" id="{AF757B91-EDA3-486F-8F8A-A0C321B0FE03}"/>
              </a:ext>
            </a:extLst>
          </xdr:cNvPr>
          <xdr:cNvSpPr/>
        </xdr:nvSpPr>
        <xdr:spPr>
          <a:xfrm>
            <a:off x="3376237" y="1049301"/>
            <a:ext cx="12325" cy="12187"/>
          </a:xfrm>
          <a:custGeom>
            <a:avLst/>
            <a:gdLst>
              <a:gd name="connsiteX0" fmla="*/ 12326 w 12325"/>
              <a:gd name="connsiteY0" fmla="*/ 6094 h 12187"/>
              <a:gd name="connsiteX1" fmla="*/ 6163 w 12325"/>
              <a:gd name="connsiteY1" fmla="*/ 12187 h 12187"/>
              <a:gd name="connsiteX2" fmla="*/ 0 w 12325"/>
              <a:gd name="connsiteY2" fmla="*/ 6094 h 12187"/>
              <a:gd name="connsiteX3" fmla="*/ 6163 w 12325"/>
              <a:gd name="connsiteY3" fmla="*/ 0 h 12187"/>
              <a:gd name="connsiteX4" fmla="*/ 12326 w 12325"/>
              <a:gd name="connsiteY4" fmla="*/ 6094 h 121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325" h="12187">
                <a:moveTo>
                  <a:pt x="12326" y="6094"/>
                </a:moveTo>
                <a:cubicBezTo>
                  <a:pt x="12326" y="9459"/>
                  <a:pt x="9566" y="12187"/>
                  <a:pt x="6163" y="12187"/>
                </a:cubicBezTo>
                <a:cubicBezTo>
                  <a:pt x="2759" y="12187"/>
                  <a:pt x="0" y="9459"/>
                  <a:pt x="0" y="6094"/>
                </a:cubicBezTo>
                <a:cubicBezTo>
                  <a:pt x="0" y="2728"/>
                  <a:pt x="2759" y="0"/>
                  <a:pt x="6163" y="0"/>
                </a:cubicBezTo>
                <a:cubicBezTo>
                  <a:pt x="9566" y="0"/>
                  <a:pt x="12326" y="2728"/>
                  <a:pt x="12326" y="609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06" name="Freeform: Shape 205">
            <a:extLst>
              <a:ext uri="{FF2B5EF4-FFF2-40B4-BE49-F238E27FC236}">
                <a16:creationId xmlns:a16="http://schemas.microsoft.com/office/drawing/2014/main" id="{79B4519C-658F-46BF-8E0A-42B0D4E07852}"/>
              </a:ext>
            </a:extLst>
          </xdr:cNvPr>
          <xdr:cNvSpPr/>
        </xdr:nvSpPr>
        <xdr:spPr>
          <a:xfrm>
            <a:off x="3421748" y="1019301"/>
            <a:ext cx="12325" cy="12187"/>
          </a:xfrm>
          <a:custGeom>
            <a:avLst/>
            <a:gdLst>
              <a:gd name="connsiteX0" fmla="*/ 12326 w 12325"/>
              <a:gd name="connsiteY0" fmla="*/ 6094 h 12187"/>
              <a:gd name="connsiteX1" fmla="*/ 6163 w 12325"/>
              <a:gd name="connsiteY1" fmla="*/ 12188 h 12187"/>
              <a:gd name="connsiteX2" fmla="*/ 0 w 12325"/>
              <a:gd name="connsiteY2" fmla="*/ 6094 h 12187"/>
              <a:gd name="connsiteX3" fmla="*/ 6163 w 12325"/>
              <a:gd name="connsiteY3" fmla="*/ 0 h 12187"/>
              <a:gd name="connsiteX4" fmla="*/ 12326 w 12325"/>
              <a:gd name="connsiteY4" fmla="*/ 6094 h 121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325" h="12187">
                <a:moveTo>
                  <a:pt x="12326" y="6094"/>
                </a:moveTo>
                <a:cubicBezTo>
                  <a:pt x="12326" y="9459"/>
                  <a:pt x="9566" y="12188"/>
                  <a:pt x="6163" y="12188"/>
                </a:cubicBezTo>
                <a:cubicBezTo>
                  <a:pt x="2759" y="12188"/>
                  <a:pt x="0" y="9459"/>
                  <a:pt x="0" y="6094"/>
                </a:cubicBezTo>
                <a:cubicBezTo>
                  <a:pt x="0" y="2728"/>
                  <a:pt x="2759" y="0"/>
                  <a:pt x="6163" y="0"/>
                </a:cubicBezTo>
                <a:cubicBezTo>
                  <a:pt x="9566" y="0"/>
                  <a:pt x="12326" y="2728"/>
                  <a:pt x="12326" y="609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07" name="Freeform: Shape 206">
            <a:extLst>
              <a:ext uri="{FF2B5EF4-FFF2-40B4-BE49-F238E27FC236}">
                <a16:creationId xmlns:a16="http://schemas.microsoft.com/office/drawing/2014/main" id="{7C8FC6D3-7A56-48C2-8A26-5058F6DB08FF}"/>
              </a:ext>
            </a:extLst>
          </xdr:cNvPr>
          <xdr:cNvSpPr/>
        </xdr:nvSpPr>
        <xdr:spPr>
          <a:xfrm>
            <a:off x="3421748" y="1049301"/>
            <a:ext cx="12325" cy="12187"/>
          </a:xfrm>
          <a:custGeom>
            <a:avLst/>
            <a:gdLst>
              <a:gd name="connsiteX0" fmla="*/ 12326 w 12325"/>
              <a:gd name="connsiteY0" fmla="*/ 6094 h 12187"/>
              <a:gd name="connsiteX1" fmla="*/ 6163 w 12325"/>
              <a:gd name="connsiteY1" fmla="*/ 12187 h 12187"/>
              <a:gd name="connsiteX2" fmla="*/ 0 w 12325"/>
              <a:gd name="connsiteY2" fmla="*/ 6094 h 12187"/>
              <a:gd name="connsiteX3" fmla="*/ 6163 w 12325"/>
              <a:gd name="connsiteY3" fmla="*/ 0 h 12187"/>
              <a:gd name="connsiteX4" fmla="*/ 12326 w 12325"/>
              <a:gd name="connsiteY4" fmla="*/ 6094 h 121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325" h="12187">
                <a:moveTo>
                  <a:pt x="12326" y="6094"/>
                </a:moveTo>
                <a:cubicBezTo>
                  <a:pt x="12326" y="9459"/>
                  <a:pt x="9566" y="12187"/>
                  <a:pt x="6163" y="12187"/>
                </a:cubicBezTo>
                <a:cubicBezTo>
                  <a:pt x="2759" y="12187"/>
                  <a:pt x="0" y="9459"/>
                  <a:pt x="0" y="6094"/>
                </a:cubicBezTo>
                <a:cubicBezTo>
                  <a:pt x="0" y="2728"/>
                  <a:pt x="2759" y="0"/>
                  <a:pt x="6163" y="0"/>
                </a:cubicBezTo>
                <a:cubicBezTo>
                  <a:pt x="9566" y="0"/>
                  <a:pt x="12326" y="2728"/>
                  <a:pt x="12326" y="609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08" name="Freeform: Shape 207">
            <a:extLst>
              <a:ext uri="{FF2B5EF4-FFF2-40B4-BE49-F238E27FC236}">
                <a16:creationId xmlns:a16="http://schemas.microsoft.com/office/drawing/2014/main" id="{DA3793EB-2847-421E-859A-01757E789FD9}"/>
              </a:ext>
            </a:extLst>
          </xdr:cNvPr>
          <xdr:cNvSpPr/>
        </xdr:nvSpPr>
        <xdr:spPr>
          <a:xfrm>
            <a:off x="3398992" y="1034301"/>
            <a:ext cx="12325" cy="12187"/>
          </a:xfrm>
          <a:custGeom>
            <a:avLst/>
            <a:gdLst>
              <a:gd name="connsiteX0" fmla="*/ 12326 w 12325"/>
              <a:gd name="connsiteY0" fmla="*/ 6094 h 12187"/>
              <a:gd name="connsiteX1" fmla="*/ 6163 w 12325"/>
              <a:gd name="connsiteY1" fmla="*/ 12188 h 12187"/>
              <a:gd name="connsiteX2" fmla="*/ 0 w 12325"/>
              <a:gd name="connsiteY2" fmla="*/ 6094 h 12187"/>
              <a:gd name="connsiteX3" fmla="*/ 6163 w 12325"/>
              <a:gd name="connsiteY3" fmla="*/ 0 h 12187"/>
              <a:gd name="connsiteX4" fmla="*/ 12326 w 12325"/>
              <a:gd name="connsiteY4" fmla="*/ 6094 h 121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325" h="12187">
                <a:moveTo>
                  <a:pt x="12326" y="6094"/>
                </a:moveTo>
                <a:cubicBezTo>
                  <a:pt x="12326" y="9459"/>
                  <a:pt x="9566" y="12188"/>
                  <a:pt x="6163" y="12188"/>
                </a:cubicBezTo>
                <a:cubicBezTo>
                  <a:pt x="2759" y="12188"/>
                  <a:pt x="0" y="9459"/>
                  <a:pt x="0" y="6094"/>
                </a:cubicBezTo>
                <a:cubicBezTo>
                  <a:pt x="0" y="2728"/>
                  <a:pt x="2759" y="0"/>
                  <a:pt x="6163" y="0"/>
                </a:cubicBezTo>
                <a:cubicBezTo>
                  <a:pt x="9566" y="0"/>
                  <a:pt x="12326" y="2728"/>
                  <a:pt x="12326" y="609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09" name="Freeform: Shape 208">
            <a:extLst>
              <a:ext uri="{FF2B5EF4-FFF2-40B4-BE49-F238E27FC236}">
                <a16:creationId xmlns:a16="http://schemas.microsoft.com/office/drawing/2014/main" id="{8A01E744-6FC4-4C05-A731-7C53C0F0A108}"/>
              </a:ext>
            </a:extLst>
          </xdr:cNvPr>
          <xdr:cNvSpPr/>
        </xdr:nvSpPr>
        <xdr:spPr>
          <a:xfrm>
            <a:off x="3398992" y="1064301"/>
            <a:ext cx="12325" cy="12187"/>
          </a:xfrm>
          <a:custGeom>
            <a:avLst/>
            <a:gdLst>
              <a:gd name="connsiteX0" fmla="*/ 12326 w 12325"/>
              <a:gd name="connsiteY0" fmla="*/ 6094 h 12187"/>
              <a:gd name="connsiteX1" fmla="*/ 6163 w 12325"/>
              <a:gd name="connsiteY1" fmla="*/ 12187 h 12187"/>
              <a:gd name="connsiteX2" fmla="*/ 0 w 12325"/>
              <a:gd name="connsiteY2" fmla="*/ 6094 h 12187"/>
              <a:gd name="connsiteX3" fmla="*/ 6163 w 12325"/>
              <a:gd name="connsiteY3" fmla="*/ 0 h 12187"/>
              <a:gd name="connsiteX4" fmla="*/ 12326 w 12325"/>
              <a:gd name="connsiteY4" fmla="*/ 6094 h 121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325" h="12187">
                <a:moveTo>
                  <a:pt x="12326" y="6094"/>
                </a:moveTo>
                <a:cubicBezTo>
                  <a:pt x="12326" y="9459"/>
                  <a:pt x="9566" y="12187"/>
                  <a:pt x="6163" y="12187"/>
                </a:cubicBezTo>
                <a:cubicBezTo>
                  <a:pt x="2759" y="12187"/>
                  <a:pt x="0" y="9459"/>
                  <a:pt x="0" y="6094"/>
                </a:cubicBezTo>
                <a:cubicBezTo>
                  <a:pt x="0" y="2728"/>
                  <a:pt x="2759" y="0"/>
                  <a:pt x="6163" y="0"/>
                </a:cubicBezTo>
                <a:cubicBezTo>
                  <a:pt x="9566" y="0"/>
                  <a:pt x="12326" y="2728"/>
                  <a:pt x="12326" y="609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10" name="Freeform: Shape 209">
            <a:extLst>
              <a:ext uri="{FF2B5EF4-FFF2-40B4-BE49-F238E27FC236}">
                <a16:creationId xmlns:a16="http://schemas.microsoft.com/office/drawing/2014/main" id="{C9485E26-9A1A-465C-B10E-E960CF1FE97D}"/>
              </a:ext>
            </a:extLst>
          </xdr:cNvPr>
          <xdr:cNvSpPr/>
        </xdr:nvSpPr>
        <xdr:spPr>
          <a:xfrm>
            <a:off x="3421748" y="1079301"/>
            <a:ext cx="12325" cy="12187"/>
          </a:xfrm>
          <a:custGeom>
            <a:avLst/>
            <a:gdLst>
              <a:gd name="connsiteX0" fmla="*/ 12326 w 12325"/>
              <a:gd name="connsiteY0" fmla="*/ 6094 h 12187"/>
              <a:gd name="connsiteX1" fmla="*/ 6163 w 12325"/>
              <a:gd name="connsiteY1" fmla="*/ 12187 h 12187"/>
              <a:gd name="connsiteX2" fmla="*/ 0 w 12325"/>
              <a:gd name="connsiteY2" fmla="*/ 6094 h 12187"/>
              <a:gd name="connsiteX3" fmla="*/ 6163 w 12325"/>
              <a:gd name="connsiteY3" fmla="*/ 0 h 12187"/>
              <a:gd name="connsiteX4" fmla="*/ 12326 w 12325"/>
              <a:gd name="connsiteY4" fmla="*/ 6094 h 121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325" h="12187">
                <a:moveTo>
                  <a:pt x="12326" y="6094"/>
                </a:moveTo>
                <a:cubicBezTo>
                  <a:pt x="12326" y="9459"/>
                  <a:pt x="9566" y="12187"/>
                  <a:pt x="6163" y="12187"/>
                </a:cubicBezTo>
                <a:cubicBezTo>
                  <a:pt x="2759" y="12187"/>
                  <a:pt x="0" y="9459"/>
                  <a:pt x="0" y="6094"/>
                </a:cubicBezTo>
                <a:cubicBezTo>
                  <a:pt x="0" y="2728"/>
                  <a:pt x="2759" y="0"/>
                  <a:pt x="6163" y="0"/>
                </a:cubicBezTo>
                <a:cubicBezTo>
                  <a:pt x="9566" y="0"/>
                  <a:pt x="12326" y="2728"/>
                  <a:pt x="12326" y="609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11" name="Freeform: Shape 210">
            <a:extLst>
              <a:ext uri="{FF2B5EF4-FFF2-40B4-BE49-F238E27FC236}">
                <a16:creationId xmlns:a16="http://schemas.microsoft.com/office/drawing/2014/main" id="{04315DC1-8C16-4ABC-9A88-1F7B6259EC7A}"/>
              </a:ext>
            </a:extLst>
          </xdr:cNvPr>
          <xdr:cNvSpPr/>
        </xdr:nvSpPr>
        <xdr:spPr>
          <a:xfrm>
            <a:off x="3131929" y="840118"/>
            <a:ext cx="258024" cy="302755"/>
          </a:xfrm>
          <a:custGeom>
            <a:avLst/>
            <a:gdLst>
              <a:gd name="connsiteX0" fmla="*/ 228025 w 258024"/>
              <a:gd name="connsiteY0" fmla="*/ 118954 h 302755"/>
              <a:gd name="connsiteX1" fmla="*/ 228025 w 258024"/>
              <a:gd name="connsiteY1" fmla="*/ 117079 h 302755"/>
              <a:gd name="connsiteX2" fmla="*/ 118405 w 258024"/>
              <a:gd name="connsiteY2" fmla="*/ 84 h 302755"/>
              <a:gd name="connsiteX3" fmla="*/ 83 w 258024"/>
              <a:gd name="connsiteY3" fmla="*/ 108474 h 302755"/>
              <a:gd name="connsiteX4" fmla="*/ 83 w 258024"/>
              <a:gd name="connsiteY4" fmla="*/ 117079 h 302755"/>
              <a:gd name="connsiteX5" fmla="*/ 44837 w 258024"/>
              <a:gd name="connsiteY5" fmla="*/ 207854 h 302755"/>
              <a:gd name="connsiteX6" fmla="*/ 44837 w 258024"/>
              <a:gd name="connsiteY6" fmla="*/ 302755 h 302755"/>
              <a:gd name="connsiteX7" fmla="*/ 164686 w 258024"/>
              <a:gd name="connsiteY7" fmla="*/ 302755 h 302755"/>
              <a:gd name="connsiteX8" fmla="*/ 164686 w 258024"/>
              <a:gd name="connsiteY8" fmla="*/ 257743 h 302755"/>
              <a:gd name="connsiteX9" fmla="*/ 183271 w 258024"/>
              <a:gd name="connsiteY9" fmla="*/ 257743 h 302755"/>
              <a:gd name="connsiteX10" fmla="*/ 215129 w 258024"/>
              <a:gd name="connsiteY10" fmla="*/ 244614 h 302755"/>
              <a:gd name="connsiteX11" fmla="*/ 228025 w 258024"/>
              <a:gd name="connsiteY11" fmla="*/ 212730 h 302755"/>
              <a:gd name="connsiteX12" fmla="*/ 228025 w 258024"/>
              <a:gd name="connsiteY12" fmla="*/ 190224 h 302755"/>
              <a:gd name="connsiteX13" fmla="*/ 244712 w 258024"/>
              <a:gd name="connsiteY13" fmla="*/ 190224 h 302755"/>
              <a:gd name="connsiteX14" fmla="*/ 254194 w 258024"/>
              <a:gd name="connsiteY14" fmla="*/ 163966 h 302755"/>
              <a:gd name="connsiteX15" fmla="*/ 249748 w 258024"/>
              <a:gd name="connsiteY15" fmla="*/ 178588 h 302755"/>
              <a:gd name="connsiteX16" fmla="*/ 244196 w 258024"/>
              <a:gd name="connsiteY16" fmla="*/ 182724 h 302755"/>
              <a:gd name="connsiteX17" fmla="*/ 220440 w 258024"/>
              <a:gd name="connsiteY17" fmla="*/ 182724 h 302755"/>
              <a:gd name="connsiteX18" fmla="*/ 220440 w 258024"/>
              <a:gd name="connsiteY18" fmla="*/ 212730 h 302755"/>
              <a:gd name="connsiteX19" fmla="*/ 209765 w 258024"/>
              <a:gd name="connsiteY19" fmla="*/ 239311 h 302755"/>
              <a:gd name="connsiteX20" fmla="*/ 183271 w 258024"/>
              <a:gd name="connsiteY20" fmla="*/ 250243 h 302755"/>
              <a:gd name="connsiteX21" fmla="*/ 157101 w 258024"/>
              <a:gd name="connsiteY21" fmla="*/ 250243 h 302755"/>
              <a:gd name="connsiteX22" fmla="*/ 157101 w 258024"/>
              <a:gd name="connsiteY22" fmla="*/ 295255 h 302755"/>
              <a:gd name="connsiteX23" fmla="*/ 52422 w 258024"/>
              <a:gd name="connsiteY23" fmla="*/ 295255 h 302755"/>
              <a:gd name="connsiteX24" fmla="*/ 52422 w 258024"/>
              <a:gd name="connsiteY24" fmla="*/ 204174 h 302755"/>
              <a:gd name="connsiteX25" fmla="*/ 49478 w 258024"/>
              <a:gd name="connsiteY25" fmla="*/ 201922 h 302755"/>
              <a:gd name="connsiteX26" fmla="*/ 7668 w 258024"/>
              <a:gd name="connsiteY26" fmla="*/ 117079 h 302755"/>
              <a:gd name="connsiteX27" fmla="*/ 7668 w 258024"/>
              <a:gd name="connsiteY27" fmla="*/ 116942 h 302755"/>
              <a:gd name="connsiteX28" fmla="*/ 7663 w 258024"/>
              <a:gd name="connsiteY28" fmla="*/ 116806 h 302755"/>
              <a:gd name="connsiteX29" fmla="*/ 109978 w 258024"/>
              <a:gd name="connsiteY29" fmla="*/ 7579 h 302755"/>
              <a:gd name="connsiteX30" fmla="*/ 220444 w 258024"/>
              <a:gd name="connsiteY30" fmla="*/ 108747 h 302755"/>
              <a:gd name="connsiteX31" fmla="*/ 220444 w 258024"/>
              <a:gd name="connsiteY31" fmla="*/ 116806 h 302755"/>
              <a:gd name="connsiteX32" fmla="*/ 220440 w 258024"/>
              <a:gd name="connsiteY32" fmla="*/ 116942 h 302755"/>
              <a:gd name="connsiteX33" fmla="*/ 220440 w 258024"/>
              <a:gd name="connsiteY33" fmla="*/ 120957 h 302755"/>
              <a:gd name="connsiteX34" fmla="*/ 221449 w 258024"/>
              <a:gd name="connsiteY34" fmla="*/ 122692 h 302755"/>
              <a:gd name="connsiteX35" fmla="*/ 247618 w 258024"/>
              <a:gd name="connsiteY35" fmla="*/ 167705 h 302755"/>
              <a:gd name="connsiteX36" fmla="*/ 247719 w 258024"/>
              <a:gd name="connsiteY36" fmla="*/ 167879 h 302755"/>
              <a:gd name="connsiteX37" fmla="*/ 247830 w 258024"/>
              <a:gd name="connsiteY37" fmla="*/ 168048 h 302755"/>
              <a:gd name="connsiteX38" fmla="*/ 249748 w 258024"/>
              <a:gd name="connsiteY38" fmla="*/ 178588 h 30275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</a:cxnLst>
            <a:rect l="l" t="t" r="r" b="b"/>
            <a:pathLst>
              <a:path w="258024" h="302755">
                <a:moveTo>
                  <a:pt x="228025" y="118954"/>
                </a:moveTo>
                <a:lnTo>
                  <a:pt x="228025" y="117079"/>
                </a:lnTo>
                <a:cubicBezTo>
                  <a:pt x="230428" y="54840"/>
                  <a:pt x="181349" y="2460"/>
                  <a:pt x="118405" y="84"/>
                </a:cubicBezTo>
                <a:cubicBezTo>
                  <a:pt x="55460" y="-2292"/>
                  <a:pt x="2486" y="46236"/>
                  <a:pt x="83" y="108474"/>
                </a:cubicBezTo>
                <a:cubicBezTo>
                  <a:pt x="-28" y="111342"/>
                  <a:pt x="-28" y="114212"/>
                  <a:pt x="83" y="117079"/>
                </a:cubicBezTo>
                <a:cubicBezTo>
                  <a:pt x="-64" y="152567"/>
                  <a:pt x="16472" y="186109"/>
                  <a:pt x="44837" y="207854"/>
                </a:cubicBezTo>
                <a:lnTo>
                  <a:pt x="44837" y="302755"/>
                </a:lnTo>
                <a:lnTo>
                  <a:pt x="164686" y="302755"/>
                </a:lnTo>
                <a:lnTo>
                  <a:pt x="164686" y="257743"/>
                </a:lnTo>
                <a:lnTo>
                  <a:pt x="183271" y="257743"/>
                </a:lnTo>
                <a:cubicBezTo>
                  <a:pt x="195232" y="257722"/>
                  <a:pt x="206693" y="252999"/>
                  <a:pt x="215129" y="244614"/>
                </a:cubicBezTo>
                <a:cubicBezTo>
                  <a:pt x="223450" y="236044"/>
                  <a:pt x="228074" y="224610"/>
                  <a:pt x="228025" y="212730"/>
                </a:cubicBezTo>
                <a:lnTo>
                  <a:pt x="228025" y="190224"/>
                </a:lnTo>
                <a:lnTo>
                  <a:pt x="244712" y="190224"/>
                </a:lnTo>
                <a:cubicBezTo>
                  <a:pt x="254574" y="189099"/>
                  <a:pt x="263297" y="177846"/>
                  <a:pt x="254194" y="163966"/>
                </a:cubicBezTo>
                <a:close/>
                <a:moveTo>
                  <a:pt x="249748" y="178588"/>
                </a:moveTo>
                <a:cubicBezTo>
                  <a:pt x="248676" y="180768"/>
                  <a:pt x="246611" y="182306"/>
                  <a:pt x="244196" y="182724"/>
                </a:cubicBezTo>
                <a:lnTo>
                  <a:pt x="220440" y="182724"/>
                </a:lnTo>
                <a:lnTo>
                  <a:pt x="220440" y="212730"/>
                </a:lnTo>
                <a:cubicBezTo>
                  <a:pt x="220480" y="222620"/>
                  <a:pt x="216656" y="232143"/>
                  <a:pt x="209765" y="239311"/>
                </a:cubicBezTo>
                <a:cubicBezTo>
                  <a:pt x="202765" y="246308"/>
                  <a:pt x="193224" y="250245"/>
                  <a:pt x="183271" y="250243"/>
                </a:cubicBezTo>
                <a:lnTo>
                  <a:pt x="157101" y="250243"/>
                </a:lnTo>
                <a:lnTo>
                  <a:pt x="157101" y="295255"/>
                </a:lnTo>
                <a:lnTo>
                  <a:pt x="52422" y="295255"/>
                </a:lnTo>
                <a:lnTo>
                  <a:pt x="52422" y="204174"/>
                </a:lnTo>
                <a:lnTo>
                  <a:pt x="49478" y="201922"/>
                </a:lnTo>
                <a:cubicBezTo>
                  <a:pt x="22924" y="181634"/>
                  <a:pt x="7463" y="150259"/>
                  <a:pt x="7668" y="117079"/>
                </a:cubicBezTo>
                <a:lnTo>
                  <a:pt x="7668" y="116942"/>
                </a:lnTo>
                <a:lnTo>
                  <a:pt x="7663" y="116806"/>
                </a:lnTo>
                <a:cubicBezTo>
                  <a:pt x="5412" y="58707"/>
                  <a:pt x="51220" y="9804"/>
                  <a:pt x="109978" y="7579"/>
                </a:cubicBezTo>
                <a:cubicBezTo>
                  <a:pt x="168736" y="5353"/>
                  <a:pt x="218194" y="50647"/>
                  <a:pt x="220444" y="108747"/>
                </a:cubicBezTo>
                <a:cubicBezTo>
                  <a:pt x="220549" y="111432"/>
                  <a:pt x="220549" y="114121"/>
                  <a:pt x="220444" y="116806"/>
                </a:cubicBezTo>
                <a:lnTo>
                  <a:pt x="220440" y="116942"/>
                </a:lnTo>
                <a:lnTo>
                  <a:pt x="220440" y="120957"/>
                </a:lnTo>
                <a:lnTo>
                  <a:pt x="221449" y="122692"/>
                </a:lnTo>
                <a:lnTo>
                  <a:pt x="247618" y="167705"/>
                </a:lnTo>
                <a:lnTo>
                  <a:pt x="247719" y="167879"/>
                </a:lnTo>
                <a:lnTo>
                  <a:pt x="247830" y="168048"/>
                </a:lnTo>
                <a:cubicBezTo>
                  <a:pt x="250294" y="170986"/>
                  <a:pt x="251022" y="174985"/>
                  <a:pt x="249748" y="17858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12" name="Freeform: Shape 211">
            <a:extLst>
              <a:ext uri="{FF2B5EF4-FFF2-40B4-BE49-F238E27FC236}">
                <a16:creationId xmlns:a16="http://schemas.microsoft.com/office/drawing/2014/main" id="{C63E3E5A-8898-465E-AFBE-5C866985E358}"/>
              </a:ext>
            </a:extLst>
          </xdr:cNvPr>
          <xdr:cNvSpPr/>
        </xdr:nvSpPr>
        <xdr:spPr>
          <a:xfrm>
            <a:off x="3311807" y="946913"/>
            <a:ext cx="30341" cy="30000"/>
          </a:xfrm>
          <a:custGeom>
            <a:avLst/>
            <a:gdLst>
              <a:gd name="connsiteX0" fmla="*/ 15170 w 30341"/>
              <a:gd name="connsiteY0" fmla="*/ 1 h 30000"/>
              <a:gd name="connsiteX1" fmla="*/ 0 w 30341"/>
              <a:gd name="connsiteY1" fmla="*/ 15001 h 30000"/>
              <a:gd name="connsiteX2" fmla="*/ 15170 w 30341"/>
              <a:gd name="connsiteY2" fmla="*/ 30001 h 30000"/>
              <a:gd name="connsiteX3" fmla="*/ 30340 w 30341"/>
              <a:gd name="connsiteY3" fmla="*/ 15001 h 30000"/>
              <a:gd name="connsiteX4" fmla="*/ 15496 w 30341"/>
              <a:gd name="connsiteY4" fmla="*/ 1 h 30000"/>
              <a:gd name="connsiteX5" fmla="*/ 15170 w 30341"/>
              <a:gd name="connsiteY5" fmla="*/ 1 h 30000"/>
              <a:gd name="connsiteX6" fmla="*/ 15170 w 30341"/>
              <a:gd name="connsiteY6" fmla="*/ 22501 h 30000"/>
              <a:gd name="connsiteX7" fmla="*/ 7585 w 30341"/>
              <a:gd name="connsiteY7" fmla="*/ 15001 h 30000"/>
              <a:gd name="connsiteX8" fmla="*/ 15170 w 30341"/>
              <a:gd name="connsiteY8" fmla="*/ 7501 h 30000"/>
              <a:gd name="connsiteX9" fmla="*/ 22755 w 30341"/>
              <a:gd name="connsiteY9" fmla="*/ 15001 h 30000"/>
              <a:gd name="connsiteX10" fmla="*/ 15506 w 30341"/>
              <a:gd name="connsiteY10" fmla="*/ 22501 h 30000"/>
              <a:gd name="connsiteX11" fmla="*/ 15170 w 30341"/>
              <a:gd name="connsiteY11" fmla="*/ 22501 h 3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30341" h="30000">
                <a:moveTo>
                  <a:pt x="15170" y="1"/>
                </a:moveTo>
                <a:cubicBezTo>
                  <a:pt x="6792" y="1"/>
                  <a:pt x="0" y="6716"/>
                  <a:pt x="0" y="15001"/>
                </a:cubicBezTo>
                <a:cubicBezTo>
                  <a:pt x="0" y="23285"/>
                  <a:pt x="6792" y="30001"/>
                  <a:pt x="15170" y="30001"/>
                </a:cubicBezTo>
                <a:cubicBezTo>
                  <a:pt x="23548" y="30001"/>
                  <a:pt x="30340" y="23285"/>
                  <a:pt x="30340" y="15001"/>
                </a:cubicBezTo>
                <a:cubicBezTo>
                  <a:pt x="30430" y="6806"/>
                  <a:pt x="23784" y="90"/>
                  <a:pt x="15496" y="1"/>
                </a:cubicBezTo>
                <a:cubicBezTo>
                  <a:pt x="15387" y="0"/>
                  <a:pt x="15279" y="0"/>
                  <a:pt x="15170" y="1"/>
                </a:cubicBezTo>
                <a:close/>
                <a:moveTo>
                  <a:pt x="15170" y="22501"/>
                </a:moveTo>
                <a:cubicBezTo>
                  <a:pt x="10981" y="22501"/>
                  <a:pt x="7585" y="19143"/>
                  <a:pt x="7585" y="15001"/>
                </a:cubicBezTo>
                <a:cubicBezTo>
                  <a:pt x="7585" y="10859"/>
                  <a:pt x="10981" y="7501"/>
                  <a:pt x="15170" y="7501"/>
                </a:cubicBezTo>
                <a:cubicBezTo>
                  <a:pt x="19359" y="7501"/>
                  <a:pt x="22755" y="10859"/>
                  <a:pt x="22755" y="15001"/>
                </a:cubicBezTo>
                <a:cubicBezTo>
                  <a:pt x="22848" y="19051"/>
                  <a:pt x="19602" y="22409"/>
                  <a:pt x="15506" y="22501"/>
                </a:cubicBezTo>
                <a:cubicBezTo>
                  <a:pt x="15394" y="22503"/>
                  <a:pt x="15282" y="22503"/>
                  <a:pt x="15170" y="2250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214093</xdr:colOff>
      <xdr:row>14</xdr:row>
      <xdr:rowOff>100088</xdr:rowOff>
    </xdr:from>
    <xdr:to>
      <xdr:col>4</xdr:col>
      <xdr:colOff>365227</xdr:colOff>
      <xdr:row>14</xdr:row>
      <xdr:rowOff>430088</xdr:rowOff>
    </xdr:to>
    <xdr:sp macro="" textlink="">
      <xdr:nvSpPr>
        <xdr:cNvPr id="213" name="DNA" descr="DNA outline">
          <a:extLst>
            <a:ext uri="{FF2B5EF4-FFF2-40B4-BE49-F238E27FC236}">
              <a16:creationId xmlns:a16="http://schemas.microsoft.com/office/drawing/2014/main" id="{CA3A7EFC-1A0E-4C57-8ADD-1796A85F0B15}"/>
            </a:ext>
          </a:extLst>
        </xdr:cNvPr>
        <xdr:cNvSpPr>
          <a:spLocks noChangeAspect="1"/>
        </xdr:cNvSpPr>
      </xdr:nvSpPr>
      <xdr:spPr>
        <a:xfrm>
          <a:off x="3271618" y="6253238"/>
          <a:ext cx="151134" cy="330000"/>
        </a:xfrm>
        <a:custGeom>
          <a:avLst/>
          <a:gdLst>
            <a:gd name="connsiteX0" fmla="*/ 151134 w 151134"/>
            <a:gd name="connsiteY0" fmla="*/ 165000 h 330000"/>
            <a:gd name="connsiteX1" fmla="*/ 83660 w 151134"/>
            <a:gd name="connsiteY1" fmla="*/ 82500 h 330000"/>
            <a:gd name="connsiteX2" fmla="*/ 151134 w 151134"/>
            <a:gd name="connsiteY2" fmla="*/ 0 h 330000"/>
            <a:gd name="connsiteX3" fmla="*/ 143577 w 151134"/>
            <a:gd name="connsiteY3" fmla="*/ 0 h 330000"/>
            <a:gd name="connsiteX4" fmla="*/ 138333 w 151134"/>
            <a:gd name="connsiteY4" fmla="*/ 26250 h 330000"/>
            <a:gd name="connsiteX5" fmla="*/ 12801 w 151134"/>
            <a:gd name="connsiteY5" fmla="*/ 26250 h 330000"/>
            <a:gd name="connsiteX6" fmla="*/ 7557 w 151134"/>
            <a:gd name="connsiteY6" fmla="*/ 0 h 330000"/>
            <a:gd name="connsiteX7" fmla="*/ 0 w 151134"/>
            <a:gd name="connsiteY7" fmla="*/ 0 h 330000"/>
            <a:gd name="connsiteX8" fmla="*/ 67474 w 151134"/>
            <a:gd name="connsiteY8" fmla="*/ 82500 h 330000"/>
            <a:gd name="connsiteX9" fmla="*/ 0 w 151134"/>
            <a:gd name="connsiteY9" fmla="*/ 165000 h 330000"/>
            <a:gd name="connsiteX10" fmla="*/ 67474 w 151134"/>
            <a:gd name="connsiteY10" fmla="*/ 247500 h 330000"/>
            <a:gd name="connsiteX11" fmla="*/ 0 w 151134"/>
            <a:gd name="connsiteY11" fmla="*/ 330000 h 330000"/>
            <a:gd name="connsiteX12" fmla="*/ 7557 w 151134"/>
            <a:gd name="connsiteY12" fmla="*/ 330000 h 330000"/>
            <a:gd name="connsiteX13" fmla="*/ 12801 w 151134"/>
            <a:gd name="connsiteY13" fmla="*/ 303750 h 330000"/>
            <a:gd name="connsiteX14" fmla="*/ 138333 w 151134"/>
            <a:gd name="connsiteY14" fmla="*/ 303750 h 330000"/>
            <a:gd name="connsiteX15" fmla="*/ 143577 w 151134"/>
            <a:gd name="connsiteY15" fmla="*/ 330000 h 330000"/>
            <a:gd name="connsiteX16" fmla="*/ 151134 w 151134"/>
            <a:gd name="connsiteY16" fmla="*/ 330000 h 330000"/>
            <a:gd name="connsiteX17" fmla="*/ 83660 w 151134"/>
            <a:gd name="connsiteY17" fmla="*/ 247500 h 330000"/>
            <a:gd name="connsiteX18" fmla="*/ 151134 w 151134"/>
            <a:gd name="connsiteY18" fmla="*/ 165000 h 330000"/>
            <a:gd name="connsiteX19" fmla="*/ 16663 w 151134"/>
            <a:gd name="connsiteY19" fmla="*/ 33750 h 330000"/>
            <a:gd name="connsiteX20" fmla="*/ 134472 w 151134"/>
            <a:gd name="connsiteY20" fmla="*/ 33750 h 330000"/>
            <a:gd name="connsiteX21" fmla="*/ 75567 w 151134"/>
            <a:gd name="connsiteY21" fmla="*/ 78259 h 330000"/>
            <a:gd name="connsiteX22" fmla="*/ 16663 w 151134"/>
            <a:gd name="connsiteY22" fmla="*/ 33750 h 330000"/>
            <a:gd name="connsiteX23" fmla="*/ 75567 w 151134"/>
            <a:gd name="connsiteY23" fmla="*/ 86741 h 330000"/>
            <a:gd name="connsiteX24" fmla="*/ 134472 w 151134"/>
            <a:gd name="connsiteY24" fmla="*/ 131250 h 330000"/>
            <a:gd name="connsiteX25" fmla="*/ 16663 w 151134"/>
            <a:gd name="connsiteY25" fmla="*/ 131250 h 330000"/>
            <a:gd name="connsiteX26" fmla="*/ 75567 w 151134"/>
            <a:gd name="connsiteY26" fmla="*/ 86741 h 330000"/>
            <a:gd name="connsiteX27" fmla="*/ 12801 w 151134"/>
            <a:gd name="connsiteY27" fmla="*/ 138750 h 330000"/>
            <a:gd name="connsiteX28" fmla="*/ 138333 w 151134"/>
            <a:gd name="connsiteY28" fmla="*/ 138750 h 330000"/>
            <a:gd name="connsiteX29" fmla="*/ 138333 w 151134"/>
            <a:gd name="connsiteY29" fmla="*/ 191250 h 330000"/>
            <a:gd name="connsiteX30" fmla="*/ 12801 w 151134"/>
            <a:gd name="connsiteY30" fmla="*/ 191250 h 330000"/>
            <a:gd name="connsiteX31" fmla="*/ 12801 w 151134"/>
            <a:gd name="connsiteY31" fmla="*/ 138750 h 330000"/>
            <a:gd name="connsiteX32" fmla="*/ 134464 w 151134"/>
            <a:gd name="connsiteY32" fmla="*/ 296250 h 330000"/>
            <a:gd name="connsiteX33" fmla="*/ 16663 w 151134"/>
            <a:gd name="connsiteY33" fmla="*/ 296250 h 330000"/>
            <a:gd name="connsiteX34" fmla="*/ 75567 w 151134"/>
            <a:gd name="connsiteY34" fmla="*/ 251741 h 330000"/>
            <a:gd name="connsiteX35" fmla="*/ 134472 w 151134"/>
            <a:gd name="connsiteY35" fmla="*/ 296250 h 330000"/>
            <a:gd name="connsiteX36" fmla="*/ 75567 w 151134"/>
            <a:gd name="connsiteY36" fmla="*/ 243259 h 330000"/>
            <a:gd name="connsiteX37" fmla="*/ 16663 w 151134"/>
            <a:gd name="connsiteY37" fmla="*/ 198750 h 330000"/>
            <a:gd name="connsiteX38" fmla="*/ 134472 w 151134"/>
            <a:gd name="connsiteY38" fmla="*/ 198750 h 330000"/>
            <a:gd name="connsiteX39" fmla="*/ 75567 w 151134"/>
            <a:gd name="connsiteY39" fmla="*/ 243259 h 33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151134" h="330000">
              <a:moveTo>
                <a:pt x="151134" y="165000"/>
              </a:moveTo>
              <a:cubicBezTo>
                <a:pt x="151134" y="120484"/>
                <a:pt x="117847" y="100500"/>
                <a:pt x="83660" y="82500"/>
              </a:cubicBezTo>
              <a:cubicBezTo>
                <a:pt x="117847" y="64500"/>
                <a:pt x="151134" y="44516"/>
                <a:pt x="151134" y="0"/>
              </a:cubicBezTo>
              <a:lnTo>
                <a:pt x="143577" y="0"/>
              </a:lnTo>
              <a:cubicBezTo>
                <a:pt x="143681" y="9016"/>
                <a:pt x="141895" y="17955"/>
                <a:pt x="138333" y="26250"/>
              </a:cubicBezTo>
              <a:lnTo>
                <a:pt x="12801" y="26250"/>
              </a:lnTo>
              <a:cubicBezTo>
                <a:pt x="9239" y="17955"/>
                <a:pt x="7453" y="9016"/>
                <a:pt x="7557" y="0"/>
              </a:cubicBezTo>
              <a:lnTo>
                <a:pt x="0" y="0"/>
              </a:lnTo>
              <a:cubicBezTo>
                <a:pt x="0" y="44516"/>
                <a:pt x="33287" y="64500"/>
                <a:pt x="67474" y="82500"/>
              </a:cubicBezTo>
              <a:cubicBezTo>
                <a:pt x="33287" y="100500"/>
                <a:pt x="0" y="120484"/>
                <a:pt x="0" y="165000"/>
              </a:cubicBezTo>
              <a:cubicBezTo>
                <a:pt x="0" y="209516"/>
                <a:pt x="33287" y="229500"/>
                <a:pt x="67474" y="247500"/>
              </a:cubicBezTo>
              <a:cubicBezTo>
                <a:pt x="33287" y="265500"/>
                <a:pt x="0" y="285484"/>
                <a:pt x="0" y="330000"/>
              </a:cubicBezTo>
              <a:lnTo>
                <a:pt x="7557" y="330000"/>
              </a:lnTo>
              <a:cubicBezTo>
                <a:pt x="7453" y="320984"/>
                <a:pt x="9239" y="312045"/>
                <a:pt x="12801" y="303750"/>
              </a:cubicBezTo>
              <a:lnTo>
                <a:pt x="138333" y="303750"/>
              </a:lnTo>
              <a:cubicBezTo>
                <a:pt x="141895" y="312045"/>
                <a:pt x="143681" y="320984"/>
                <a:pt x="143577" y="330000"/>
              </a:cubicBezTo>
              <a:lnTo>
                <a:pt x="151134" y="330000"/>
              </a:lnTo>
              <a:cubicBezTo>
                <a:pt x="151134" y="285484"/>
                <a:pt x="117847" y="265500"/>
                <a:pt x="83660" y="247500"/>
              </a:cubicBezTo>
              <a:cubicBezTo>
                <a:pt x="117847" y="229500"/>
                <a:pt x="151134" y="209516"/>
                <a:pt x="151134" y="165000"/>
              </a:cubicBezTo>
              <a:close/>
              <a:moveTo>
                <a:pt x="16663" y="33750"/>
              </a:moveTo>
              <a:lnTo>
                <a:pt x="134472" y="33750"/>
              </a:lnTo>
              <a:cubicBezTo>
                <a:pt x="122309" y="53505"/>
                <a:pt x="99503" y="65749"/>
                <a:pt x="75567" y="78259"/>
              </a:cubicBezTo>
              <a:cubicBezTo>
                <a:pt x="51631" y="65749"/>
                <a:pt x="28825" y="53505"/>
                <a:pt x="16663" y="33750"/>
              </a:cubicBezTo>
              <a:close/>
              <a:moveTo>
                <a:pt x="75567" y="86741"/>
              </a:moveTo>
              <a:cubicBezTo>
                <a:pt x="99503" y="99251"/>
                <a:pt x="122309" y="111491"/>
                <a:pt x="134472" y="131250"/>
              </a:cubicBezTo>
              <a:lnTo>
                <a:pt x="16663" y="131250"/>
              </a:lnTo>
              <a:cubicBezTo>
                <a:pt x="28825" y="111495"/>
                <a:pt x="51631" y="99251"/>
                <a:pt x="75567" y="86741"/>
              </a:cubicBezTo>
              <a:close/>
              <a:moveTo>
                <a:pt x="12801" y="138750"/>
              </a:moveTo>
              <a:lnTo>
                <a:pt x="138333" y="138750"/>
              </a:lnTo>
              <a:cubicBezTo>
                <a:pt x="145326" y="155562"/>
                <a:pt x="145326" y="174438"/>
                <a:pt x="138333" y="191250"/>
              </a:cubicBezTo>
              <a:lnTo>
                <a:pt x="12801" y="191250"/>
              </a:lnTo>
              <a:cubicBezTo>
                <a:pt x="5808" y="174438"/>
                <a:pt x="5808" y="155562"/>
                <a:pt x="12801" y="138750"/>
              </a:cubicBezTo>
              <a:close/>
              <a:moveTo>
                <a:pt x="134464" y="296250"/>
              </a:moveTo>
              <a:lnTo>
                <a:pt x="16663" y="296250"/>
              </a:lnTo>
              <a:cubicBezTo>
                <a:pt x="28825" y="276495"/>
                <a:pt x="51631" y="264251"/>
                <a:pt x="75567" y="251741"/>
              </a:cubicBezTo>
              <a:cubicBezTo>
                <a:pt x="99503" y="264251"/>
                <a:pt x="122309" y="276495"/>
                <a:pt x="134472" y="296250"/>
              </a:cubicBezTo>
              <a:close/>
              <a:moveTo>
                <a:pt x="75567" y="243259"/>
              </a:moveTo>
              <a:cubicBezTo>
                <a:pt x="51631" y="230749"/>
                <a:pt x="28825" y="218505"/>
                <a:pt x="16663" y="198750"/>
              </a:cubicBezTo>
              <a:lnTo>
                <a:pt x="134472" y="198750"/>
              </a:lnTo>
              <a:cubicBezTo>
                <a:pt x="122309" y="218505"/>
                <a:pt x="99503" y="230749"/>
                <a:pt x="75567" y="243259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2</xdr:col>
      <xdr:colOff>131178</xdr:colOff>
      <xdr:row>8</xdr:row>
      <xdr:rowOff>130740</xdr:rowOff>
    </xdr:from>
    <xdr:to>
      <xdr:col>2</xdr:col>
      <xdr:colOff>437625</xdr:colOff>
      <xdr:row>8</xdr:row>
      <xdr:rowOff>434502</xdr:rowOff>
    </xdr:to>
    <xdr:grpSp>
      <xdr:nvGrpSpPr>
        <xdr:cNvPr id="217" name="bacteria" descr="Germ outline">
          <a:extLst>
            <a:ext uri="{FF2B5EF4-FFF2-40B4-BE49-F238E27FC236}">
              <a16:creationId xmlns:a16="http://schemas.microsoft.com/office/drawing/2014/main" id="{3CEA11B6-B4DB-4906-9C11-EE6C90924360}"/>
            </a:ext>
          </a:extLst>
        </xdr:cNvPr>
        <xdr:cNvGrpSpPr>
          <a:grpSpLocks noChangeAspect="1"/>
        </xdr:cNvGrpSpPr>
      </xdr:nvGrpSpPr>
      <xdr:grpSpPr>
        <a:xfrm>
          <a:off x="1559928" y="3026340"/>
          <a:ext cx="306447" cy="303762"/>
          <a:chOff x="1710546" y="2131260"/>
          <a:chExt cx="306447" cy="303762"/>
        </a:xfrm>
        <a:solidFill>
          <a:srgbClr val="1F4E78"/>
        </a:solidFill>
      </xdr:grpSpPr>
      <xdr:sp macro="" textlink="">
        <xdr:nvSpPr>
          <xdr:cNvPr id="218" name="Freeform: Shape 217">
            <a:extLst>
              <a:ext uri="{FF2B5EF4-FFF2-40B4-BE49-F238E27FC236}">
                <a16:creationId xmlns:a16="http://schemas.microsoft.com/office/drawing/2014/main" id="{7BFDBEB5-EF7D-4739-9269-F2E7468DFF3E}"/>
              </a:ext>
            </a:extLst>
          </xdr:cNvPr>
          <xdr:cNvSpPr/>
        </xdr:nvSpPr>
        <xdr:spPr>
          <a:xfrm>
            <a:off x="1710546" y="2131260"/>
            <a:ext cx="306447" cy="303762"/>
          </a:xfrm>
          <a:custGeom>
            <a:avLst/>
            <a:gdLst>
              <a:gd name="connsiteX0" fmla="*/ 303184 w 306447"/>
              <a:gd name="connsiteY0" fmla="*/ 90207 h 303762"/>
              <a:gd name="connsiteX1" fmla="*/ 272720 w 306447"/>
              <a:gd name="connsiteY1" fmla="*/ 92803 h 303762"/>
              <a:gd name="connsiteX2" fmla="*/ 257934 w 306447"/>
              <a:gd name="connsiteY2" fmla="*/ 57189 h 303762"/>
              <a:gd name="connsiteX3" fmla="*/ 282066 w 306447"/>
              <a:gd name="connsiteY3" fmla="*/ 41347 h 303762"/>
              <a:gd name="connsiteX4" fmla="*/ 284587 w 306447"/>
              <a:gd name="connsiteY4" fmla="*/ 36667 h 303762"/>
              <a:gd name="connsiteX5" fmla="*/ 279854 w 306447"/>
              <a:gd name="connsiteY5" fmla="*/ 34175 h 303762"/>
              <a:gd name="connsiteX6" fmla="*/ 279837 w 306447"/>
              <a:gd name="connsiteY6" fmla="*/ 34180 h 303762"/>
              <a:gd name="connsiteX7" fmla="*/ 252685 w 306447"/>
              <a:gd name="connsiteY7" fmla="*/ 51708 h 303762"/>
              <a:gd name="connsiteX8" fmla="*/ 212061 w 306447"/>
              <a:gd name="connsiteY8" fmla="*/ 34173 h 303762"/>
              <a:gd name="connsiteX9" fmla="*/ 224034 w 306447"/>
              <a:gd name="connsiteY9" fmla="*/ 6117 h 303762"/>
              <a:gd name="connsiteX10" fmla="*/ 223488 w 306447"/>
              <a:gd name="connsiteY10" fmla="*/ 842 h 303762"/>
              <a:gd name="connsiteX11" fmla="*/ 218152 w 306447"/>
              <a:gd name="connsiteY11" fmla="*/ 1382 h 303762"/>
              <a:gd name="connsiteX12" fmla="*/ 204399 w 306447"/>
              <a:gd name="connsiteY12" fmla="*/ 34142 h 303762"/>
              <a:gd name="connsiteX13" fmla="*/ 170739 w 306447"/>
              <a:gd name="connsiteY13" fmla="*/ 45540 h 303762"/>
              <a:gd name="connsiteX14" fmla="*/ 157098 w 306447"/>
              <a:gd name="connsiteY14" fmla="*/ 21544 h 303762"/>
              <a:gd name="connsiteX15" fmla="*/ 152801 w 306447"/>
              <a:gd name="connsiteY15" fmla="*/ 18371 h 303762"/>
              <a:gd name="connsiteX16" fmla="*/ 149592 w 306447"/>
              <a:gd name="connsiteY16" fmla="*/ 22620 h 303762"/>
              <a:gd name="connsiteX17" fmla="*/ 149595 w 306447"/>
              <a:gd name="connsiteY17" fmla="*/ 22635 h 303762"/>
              <a:gd name="connsiteX18" fmla="*/ 164711 w 306447"/>
              <a:gd name="connsiteY18" fmla="*/ 50287 h 303762"/>
              <a:gd name="connsiteX19" fmla="*/ 161883 w 306447"/>
              <a:gd name="connsiteY19" fmla="*/ 52824 h 303762"/>
              <a:gd name="connsiteX20" fmla="*/ 143029 w 306447"/>
              <a:gd name="connsiteY20" fmla="*/ 94019 h 303762"/>
              <a:gd name="connsiteX21" fmla="*/ 116277 w 306447"/>
              <a:gd name="connsiteY21" fmla="*/ 77783 h 303762"/>
              <a:gd name="connsiteX22" fmla="*/ 111036 w 306447"/>
              <a:gd name="connsiteY22" fmla="*/ 76661 h 303762"/>
              <a:gd name="connsiteX23" fmla="*/ 109901 w 306447"/>
              <a:gd name="connsiteY23" fmla="*/ 81843 h 303762"/>
              <a:gd name="connsiteX24" fmla="*/ 109914 w 306447"/>
              <a:gd name="connsiteY24" fmla="*/ 81863 h 303762"/>
              <a:gd name="connsiteX25" fmla="*/ 142656 w 306447"/>
              <a:gd name="connsiteY25" fmla="*/ 101594 h 303762"/>
              <a:gd name="connsiteX26" fmla="*/ 114307 w 306447"/>
              <a:gd name="connsiteY26" fmla="*/ 138378 h 303762"/>
              <a:gd name="connsiteX27" fmla="*/ 72692 w 306447"/>
              <a:gd name="connsiteY27" fmla="*/ 114336 h 303762"/>
              <a:gd name="connsiteX28" fmla="*/ 67501 w 306447"/>
              <a:gd name="connsiteY28" fmla="*/ 112997 h 303762"/>
              <a:gd name="connsiteX29" fmla="*/ 66144 w 306447"/>
              <a:gd name="connsiteY29" fmla="*/ 118127 h 303762"/>
              <a:gd name="connsiteX30" fmla="*/ 93305 w 306447"/>
              <a:gd name="connsiteY30" fmla="*/ 141237 h 303762"/>
              <a:gd name="connsiteX31" fmla="*/ 54669 w 306447"/>
              <a:gd name="connsiteY31" fmla="*/ 158922 h 303762"/>
              <a:gd name="connsiteX32" fmla="*/ 21189 w 306447"/>
              <a:gd name="connsiteY32" fmla="*/ 150760 h 303762"/>
              <a:gd name="connsiteX33" fmla="*/ 15846 w 306447"/>
              <a:gd name="connsiteY33" fmla="*/ 151221 h 303762"/>
              <a:gd name="connsiteX34" fmla="*/ 16312 w 306447"/>
              <a:gd name="connsiteY34" fmla="*/ 156505 h 303762"/>
              <a:gd name="connsiteX35" fmla="*/ 16349 w 306447"/>
              <a:gd name="connsiteY35" fmla="*/ 156535 h 303762"/>
              <a:gd name="connsiteX36" fmla="*/ 47537 w 306447"/>
              <a:gd name="connsiteY36" fmla="*/ 166950 h 303762"/>
              <a:gd name="connsiteX37" fmla="*/ 47540 w 306447"/>
              <a:gd name="connsiteY37" fmla="*/ 166950 h 303762"/>
              <a:gd name="connsiteX38" fmla="*/ 34751 w 306447"/>
              <a:gd name="connsiteY38" fmla="*/ 203262 h 303762"/>
              <a:gd name="connsiteX39" fmla="*/ 4571 w 306447"/>
              <a:gd name="connsiteY39" fmla="*/ 213523 h 303762"/>
              <a:gd name="connsiteX40" fmla="*/ 3867 w 306447"/>
              <a:gd name="connsiteY40" fmla="*/ 213515 h 303762"/>
              <a:gd name="connsiteX41" fmla="*/ 1 w 306447"/>
              <a:gd name="connsiteY41" fmla="*/ 217190 h 303762"/>
              <a:gd name="connsiteX42" fmla="*/ 3719 w 306447"/>
              <a:gd name="connsiteY42" fmla="*/ 221015 h 303762"/>
              <a:gd name="connsiteX43" fmla="*/ 4571 w 306447"/>
              <a:gd name="connsiteY43" fmla="*/ 221023 h 303762"/>
              <a:gd name="connsiteX44" fmla="*/ 35007 w 306447"/>
              <a:gd name="connsiteY44" fmla="*/ 211943 h 303762"/>
              <a:gd name="connsiteX45" fmla="*/ 51495 w 306447"/>
              <a:gd name="connsiteY45" fmla="*/ 248373 h 303762"/>
              <a:gd name="connsiteX46" fmla="*/ 29889 w 306447"/>
              <a:gd name="connsiteY46" fmla="*/ 266970 h 303762"/>
              <a:gd name="connsiteX47" fmla="*/ 28454 w 306447"/>
              <a:gd name="connsiteY47" fmla="*/ 272080 h 303762"/>
              <a:gd name="connsiteX48" fmla="*/ 33622 w 306447"/>
              <a:gd name="connsiteY48" fmla="*/ 273499 h 303762"/>
              <a:gd name="connsiteX49" fmla="*/ 56927 w 306447"/>
              <a:gd name="connsiteY49" fmla="*/ 253674 h 303762"/>
              <a:gd name="connsiteX50" fmla="*/ 89885 w 306447"/>
              <a:gd name="connsiteY50" fmla="*/ 268835 h 303762"/>
              <a:gd name="connsiteX51" fmla="*/ 91366 w 306447"/>
              <a:gd name="connsiteY51" fmla="*/ 298574 h 303762"/>
              <a:gd name="connsiteX52" fmla="*/ 93416 w 306447"/>
              <a:gd name="connsiteY52" fmla="*/ 303475 h 303762"/>
              <a:gd name="connsiteX53" fmla="*/ 98373 w 306447"/>
              <a:gd name="connsiteY53" fmla="*/ 301449 h 303762"/>
              <a:gd name="connsiteX54" fmla="*/ 98064 w 306447"/>
              <a:gd name="connsiteY54" fmla="*/ 269560 h 303762"/>
              <a:gd name="connsiteX55" fmla="*/ 99740 w 306447"/>
              <a:gd name="connsiteY55" fmla="*/ 269641 h 303762"/>
              <a:gd name="connsiteX56" fmla="*/ 137767 w 306447"/>
              <a:gd name="connsiteY56" fmla="*/ 265465 h 303762"/>
              <a:gd name="connsiteX57" fmla="*/ 161435 w 306447"/>
              <a:gd name="connsiteY57" fmla="*/ 290143 h 303762"/>
              <a:gd name="connsiteX58" fmla="*/ 166454 w 306447"/>
              <a:gd name="connsiteY58" fmla="*/ 292007 h 303762"/>
              <a:gd name="connsiteX59" fmla="*/ 168339 w 306447"/>
              <a:gd name="connsiteY59" fmla="*/ 287045 h 303762"/>
              <a:gd name="connsiteX60" fmla="*/ 168331 w 306447"/>
              <a:gd name="connsiteY60" fmla="*/ 287027 h 303762"/>
              <a:gd name="connsiteX61" fmla="*/ 147148 w 306447"/>
              <a:gd name="connsiteY61" fmla="*/ 263102 h 303762"/>
              <a:gd name="connsiteX62" fmla="*/ 148498 w 306447"/>
              <a:gd name="connsiteY62" fmla="*/ 262736 h 303762"/>
              <a:gd name="connsiteX63" fmla="*/ 191908 w 306447"/>
              <a:gd name="connsiteY63" fmla="*/ 243336 h 303762"/>
              <a:gd name="connsiteX64" fmla="*/ 192885 w 306447"/>
              <a:gd name="connsiteY64" fmla="*/ 242689 h 303762"/>
              <a:gd name="connsiteX65" fmla="*/ 220256 w 306447"/>
              <a:gd name="connsiteY65" fmla="*/ 260167 h 303762"/>
              <a:gd name="connsiteX66" fmla="*/ 225613 w 306447"/>
              <a:gd name="connsiteY66" fmla="*/ 260457 h 303762"/>
              <a:gd name="connsiteX67" fmla="*/ 225937 w 306447"/>
              <a:gd name="connsiteY67" fmla="*/ 255194 h 303762"/>
              <a:gd name="connsiteX68" fmla="*/ 200275 w 306447"/>
              <a:gd name="connsiteY68" fmla="*/ 237764 h 303762"/>
              <a:gd name="connsiteX69" fmla="*/ 222189 w 306447"/>
              <a:gd name="connsiteY69" fmla="*/ 219412 h 303762"/>
              <a:gd name="connsiteX70" fmla="*/ 228541 w 306447"/>
              <a:gd name="connsiteY70" fmla="*/ 212792 h 303762"/>
              <a:gd name="connsiteX71" fmla="*/ 233926 w 306447"/>
              <a:gd name="connsiteY71" fmla="*/ 206464 h 303762"/>
              <a:gd name="connsiteX72" fmla="*/ 265737 w 306447"/>
              <a:gd name="connsiteY72" fmla="*/ 217154 h 303762"/>
              <a:gd name="connsiteX73" fmla="*/ 271066 w 306447"/>
              <a:gd name="connsiteY73" fmla="*/ 216557 h 303762"/>
              <a:gd name="connsiteX74" fmla="*/ 270463 w 306447"/>
              <a:gd name="connsiteY74" fmla="*/ 211288 h 303762"/>
              <a:gd name="connsiteX75" fmla="*/ 239246 w 306447"/>
              <a:gd name="connsiteY75" fmla="*/ 199651 h 303762"/>
              <a:gd name="connsiteX76" fmla="*/ 254573 w 306447"/>
              <a:gd name="connsiteY76" fmla="*/ 175163 h 303762"/>
              <a:gd name="connsiteX77" fmla="*/ 262081 w 306447"/>
              <a:gd name="connsiteY77" fmla="*/ 157949 h 303762"/>
              <a:gd name="connsiteX78" fmla="*/ 292454 w 306447"/>
              <a:gd name="connsiteY78" fmla="*/ 160842 h 303762"/>
              <a:gd name="connsiteX79" fmla="*/ 297415 w 306447"/>
              <a:gd name="connsiteY79" fmla="*/ 158822 h 303762"/>
              <a:gd name="connsiteX80" fmla="*/ 295373 w 306447"/>
              <a:gd name="connsiteY80" fmla="*/ 153917 h 303762"/>
              <a:gd name="connsiteX81" fmla="*/ 264754 w 306447"/>
              <a:gd name="connsiteY81" fmla="*/ 150285 h 303762"/>
              <a:gd name="connsiteX82" fmla="*/ 269466 w 306447"/>
              <a:gd name="connsiteY82" fmla="*/ 132810 h 303762"/>
              <a:gd name="connsiteX83" fmla="*/ 272937 w 306447"/>
              <a:gd name="connsiteY83" fmla="*/ 100489 h 303762"/>
              <a:gd name="connsiteX84" fmla="*/ 273933 w 306447"/>
              <a:gd name="connsiteY84" fmla="*/ 100311 h 303762"/>
              <a:gd name="connsiteX85" fmla="*/ 302124 w 306447"/>
              <a:gd name="connsiteY85" fmla="*/ 97634 h 303762"/>
              <a:gd name="connsiteX86" fmla="*/ 306410 w 306447"/>
              <a:gd name="connsiteY86" fmla="*/ 94444 h 303762"/>
              <a:gd name="connsiteX87" fmla="*/ 303184 w 306447"/>
              <a:gd name="connsiteY87" fmla="*/ 90207 h 303762"/>
              <a:gd name="connsiteX88" fmla="*/ 262037 w 306447"/>
              <a:gd name="connsiteY88" fmla="*/ 131303 h 303762"/>
              <a:gd name="connsiteX89" fmla="*/ 247800 w 306447"/>
              <a:gd name="connsiteY89" fmla="*/ 171787 h 303762"/>
              <a:gd name="connsiteX90" fmla="*/ 222904 w 306447"/>
              <a:gd name="connsiteY90" fmla="*/ 207773 h 303762"/>
              <a:gd name="connsiteX91" fmla="*/ 216826 w 306447"/>
              <a:gd name="connsiteY91" fmla="*/ 214107 h 303762"/>
              <a:gd name="connsiteX92" fmla="*/ 187864 w 306447"/>
              <a:gd name="connsiteY92" fmla="*/ 236993 h 303762"/>
              <a:gd name="connsiteX93" fmla="*/ 99740 w 306447"/>
              <a:gd name="connsiteY93" fmla="*/ 262141 h 303762"/>
              <a:gd name="connsiteX94" fmla="*/ 42192 w 306447"/>
              <a:gd name="connsiteY94" fmla="*/ 205330 h 303762"/>
              <a:gd name="connsiteX95" fmla="*/ 99646 w 306447"/>
              <a:gd name="connsiteY95" fmla="*/ 148427 h 303762"/>
              <a:gd name="connsiteX96" fmla="*/ 99740 w 306447"/>
              <a:gd name="connsiteY96" fmla="*/ 148427 h 303762"/>
              <a:gd name="connsiteX97" fmla="*/ 150389 w 306447"/>
              <a:gd name="connsiteY97" fmla="*/ 98590 h 303762"/>
              <a:gd name="connsiteX98" fmla="*/ 150391 w 306447"/>
              <a:gd name="connsiteY98" fmla="*/ 98584 h 303762"/>
              <a:gd name="connsiteX99" fmla="*/ 150390 w 306447"/>
              <a:gd name="connsiteY99" fmla="*/ 98576 h 303762"/>
              <a:gd name="connsiteX100" fmla="*/ 150402 w 306447"/>
              <a:gd name="connsiteY100" fmla="*/ 98329 h 303762"/>
              <a:gd name="connsiteX101" fmla="*/ 207905 w 306447"/>
              <a:gd name="connsiteY101" fmla="*/ 41471 h 303762"/>
              <a:gd name="connsiteX102" fmla="*/ 265407 w 306447"/>
              <a:gd name="connsiteY102" fmla="*/ 98329 h 303762"/>
              <a:gd name="connsiteX103" fmla="*/ 262037 w 306447"/>
              <a:gd name="connsiteY103" fmla="*/ 131303 h 3037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</a:cxnLst>
            <a:rect l="l" t="t" r="r" b="b"/>
            <a:pathLst>
              <a:path w="306447" h="303762">
                <a:moveTo>
                  <a:pt x="303184" y="90207"/>
                </a:moveTo>
                <a:cubicBezTo>
                  <a:pt x="292959" y="88903"/>
                  <a:pt x="282569" y="89788"/>
                  <a:pt x="272720" y="92803"/>
                </a:cubicBezTo>
                <a:cubicBezTo>
                  <a:pt x="271623" y="79708"/>
                  <a:pt x="266459" y="67268"/>
                  <a:pt x="257934" y="57189"/>
                </a:cubicBezTo>
                <a:cubicBezTo>
                  <a:pt x="264347" y="49809"/>
                  <a:pt x="272699" y="44327"/>
                  <a:pt x="282066" y="41347"/>
                </a:cubicBezTo>
                <a:cubicBezTo>
                  <a:pt x="284069" y="40743"/>
                  <a:pt x="285197" y="38648"/>
                  <a:pt x="284587" y="36667"/>
                </a:cubicBezTo>
                <a:cubicBezTo>
                  <a:pt x="283976" y="34687"/>
                  <a:pt x="281857" y="33571"/>
                  <a:pt x="279854" y="34175"/>
                </a:cubicBezTo>
                <a:cubicBezTo>
                  <a:pt x="279848" y="34177"/>
                  <a:pt x="279842" y="34178"/>
                  <a:pt x="279837" y="34180"/>
                </a:cubicBezTo>
                <a:cubicBezTo>
                  <a:pt x="269340" y="37468"/>
                  <a:pt x="259952" y="43529"/>
                  <a:pt x="252685" y="51708"/>
                </a:cubicBezTo>
                <a:cubicBezTo>
                  <a:pt x="241664" y="41300"/>
                  <a:pt x="227272" y="35088"/>
                  <a:pt x="212061" y="34173"/>
                </a:cubicBezTo>
                <a:cubicBezTo>
                  <a:pt x="213450" y="23933"/>
                  <a:pt x="217583" y="14246"/>
                  <a:pt x="224034" y="6117"/>
                </a:cubicBezTo>
                <a:cubicBezTo>
                  <a:pt x="225356" y="4511"/>
                  <a:pt x="225112" y="2150"/>
                  <a:pt x="223488" y="842"/>
                </a:cubicBezTo>
                <a:cubicBezTo>
                  <a:pt x="221863" y="-465"/>
                  <a:pt x="219475" y="-224"/>
                  <a:pt x="218152" y="1382"/>
                </a:cubicBezTo>
                <a:cubicBezTo>
                  <a:pt x="210590" y="10833"/>
                  <a:pt x="205829" y="22174"/>
                  <a:pt x="204399" y="34142"/>
                </a:cubicBezTo>
                <a:cubicBezTo>
                  <a:pt x="192320" y="34742"/>
                  <a:pt x="180655" y="38692"/>
                  <a:pt x="170739" y="45540"/>
                </a:cubicBezTo>
                <a:cubicBezTo>
                  <a:pt x="163454" y="39397"/>
                  <a:pt x="158618" y="30891"/>
                  <a:pt x="157098" y="21544"/>
                </a:cubicBezTo>
                <a:cubicBezTo>
                  <a:pt x="156798" y="19495"/>
                  <a:pt x="154874" y="18074"/>
                  <a:pt x="152801" y="18371"/>
                </a:cubicBezTo>
                <a:cubicBezTo>
                  <a:pt x="150729" y="18668"/>
                  <a:pt x="149292" y="20570"/>
                  <a:pt x="149592" y="22620"/>
                </a:cubicBezTo>
                <a:cubicBezTo>
                  <a:pt x="149593" y="22625"/>
                  <a:pt x="149594" y="22630"/>
                  <a:pt x="149595" y="22635"/>
                </a:cubicBezTo>
                <a:cubicBezTo>
                  <a:pt x="151294" y="33288"/>
                  <a:pt x="156628" y="43046"/>
                  <a:pt x="164711" y="50287"/>
                </a:cubicBezTo>
                <a:cubicBezTo>
                  <a:pt x="163762" y="51124"/>
                  <a:pt x="162790" y="51928"/>
                  <a:pt x="161883" y="52824"/>
                </a:cubicBezTo>
                <a:cubicBezTo>
                  <a:pt x="150724" y="63820"/>
                  <a:pt x="144019" y="78472"/>
                  <a:pt x="143029" y="94019"/>
                </a:cubicBezTo>
                <a:cubicBezTo>
                  <a:pt x="136599" y="92782"/>
                  <a:pt x="123616" y="88981"/>
                  <a:pt x="116277" y="77783"/>
                </a:cubicBezTo>
                <a:cubicBezTo>
                  <a:pt x="115143" y="76042"/>
                  <a:pt x="112796" y="75540"/>
                  <a:pt x="111036" y="76661"/>
                </a:cubicBezTo>
                <a:cubicBezTo>
                  <a:pt x="109275" y="77782"/>
                  <a:pt x="108767" y="80102"/>
                  <a:pt x="109901" y="81843"/>
                </a:cubicBezTo>
                <a:cubicBezTo>
                  <a:pt x="109905" y="81850"/>
                  <a:pt x="109909" y="81856"/>
                  <a:pt x="109914" y="81863"/>
                </a:cubicBezTo>
                <a:cubicBezTo>
                  <a:pt x="119274" y="96149"/>
                  <a:pt x="135412" y="100378"/>
                  <a:pt x="142656" y="101594"/>
                </a:cubicBezTo>
                <a:cubicBezTo>
                  <a:pt x="141375" y="118312"/>
                  <a:pt x="130270" y="132722"/>
                  <a:pt x="114307" y="138378"/>
                </a:cubicBezTo>
                <a:cubicBezTo>
                  <a:pt x="110875" y="138253"/>
                  <a:pt x="85859" y="136565"/>
                  <a:pt x="72692" y="114336"/>
                </a:cubicBezTo>
                <a:cubicBezTo>
                  <a:pt x="71633" y="112549"/>
                  <a:pt x="69308" y="111949"/>
                  <a:pt x="67501" y="112997"/>
                </a:cubicBezTo>
                <a:cubicBezTo>
                  <a:pt x="65695" y="114044"/>
                  <a:pt x="65087" y="116339"/>
                  <a:pt x="66144" y="118127"/>
                </a:cubicBezTo>
                <a:cubicBezTo>
                  <a:pt x="72338" y="128609"/>
                  <a:pt x="81898" y="136744"/>
                  <a:pt x="93305" y="141237"/>
                </a:cubicBezTo>
                <a:cubicBezTo>
                  <a:pt x="78773" y="142641"/>
                  <a:pt x="65153" y="148876"/>
                  <a:pt x="54669" y="158922"/>
                </a:cubicBezTo>
                <a:cubicBezTo>
                  <a:pt x="50593" y="159539"/>
                  <a:pt x="33978" y="161246"/>
                  <a:pt x="21189" y="150760"/>
                </a:cubicBezTo>
                <a:cubicBezTo>
                  <a:pt x="19585" y="149428"/>
                  <a:pt x="17193" y="149634"/>
                  <a:pt x="15846" y="151221"/>
                </a:cubicBezTo>
                <a:cubicBezTo>
                  <a:pt x="14499" y="152807"/>
                  <a:pt x="14707" y="155173"/>
                  <a:pt x="16312" y="156505"/>
                </a:cubicBezTo>
                <a:cubicBezTo>
                  <a:pt x="16324" y="156515"/>
                  <a:pt x="16336" y="156525"/>
                  <a:pt x="16349" y="156535"/>
                </a:cubicBezTo>
                <a:cubicBezTo>
                  <a:pt x="25201" y="163492"/>
                  <a:pt x="36232" y="167175"/>
                  <a:pt x="47537" y="166950"/>
                </a:cubicBezTo>
                <a:lnTo>
                  <a:pt x="47540" y="166950"/>
                </a:lnTo>
                <a:cubicBezTo>
                  <a:pt x="39597" y="177463"/>
                  <a:pt x="35131" y="190145"/>
                  <a:pt x="34751" y="203262"/>
                </a:cubicBezTo>
                <a:cubicBezTo>
                  <a:pt x="25836" y="209358"/>
                  <a:pt x="15393" y="212908"/>
                  <a:pt x="4571" y="213523"/>
                </a:cubicBezTo>
                <a:cubicBezTo>
                  <a:pt x="4338" y="213523"/>
                  <a:pt x="4104" y="213521"/>
                  <a:pt x="3867" y="213515"/>
                </a:cubicBezTo>
                <a:cubicBezTo>
                  <a:pt x="1807" y="213557"/>
                  <a:pt x="124" y="215156"/>
                  <a:pt x="1" y="217190"/>
                </a:cubicBezTo>
                <a:cubicBezTo>
                  <a:pt x="-40" y="219262"/>
                  <a:pt x="1624" y="220974"/>
                  <a:pt x="3719" y="221015"/>
                </a:cubicBezTo>
                <a:cubicBezTo>
                  <a:pt x="4004" y="221021"/>
                  <a:pt x="4286" y="221023"/>
                  <a:pt x="4571" y="221023"/>
                </a:cubicBezTo>
                <a:cubicBezTo>
                  <a:pt x="15333" y="220612"/>
                  <a:pt x="25810" y="217486"/>
                  <a:pt x="35007" y="211943"/>
                </a:cubicBezTo>
                <a:cubicBezTo>
                  <a:pt x="36417" y="225518"/>
                  <a:pt x="42196" y="238288"/>
                  <a:pt x="51495" y="248373"/>
                </a:cubicBezTo>
                <a:cubicBezTo>
                  <a:pt x="45533" y="255854"/>
                  <a:pt x="38204" y="262162"/>
                  <a:pt x="29889" y="266970"/>
                </a:cubicBezTo>
                <a:cubicBezTo>
                  <a:pt x="28066" y="267989"/>
                  <a:pt x="27423" y="270277"/>
                  <a:pt x="28454" y="272080"/>
                </a:cubicBezTo>
                <a:cubicBezTo>
                  <a:pt x="29485" y="273883"/>
                  <a:pt x="31799" y="274518"/>
                  <a:pt x="33622" y="273499"/>
                </a:cubicBezTo>
                <a:cubicBezTo>
                  <a:pt x="42558" y="268364"/>
                  <a:pt x="50459" y="261643"/>
                  <a:pt x="56927" y="253674"/>
                </a:cubicBezTo>
                <a:cubicBezTo>
                  <a:pt x="66213" y="261752"/>
                  <a:pt x="77655" y="267015"/>
                  <a:pt x="89885" y="268835"/>
                </a:cubicBezTo>
                <a:cubicBezTo>
                  <a:pt x="91497" y="273530"/>
                  <a:pt x="95788" y="288040"/>
                  <a:pt x="91366" y="298574"/>
                </a:cubicBezTo>
                <a:cubicBezTo>
                  <a:pt x="90563" y="300487"/>
                  <a:pt x="91481" y="302681"/>
                  <a:pt x="93416" y="303475"/>
                </a:cubicBezTo>
                <a:cubicBezTo>
                  <a:pt x="95351" y="304269"/>
                  <a:pt x="97570" y="303362"/>
                  <a:pt x="98373" y="301449"/>
                </a:cubicBezTo>
                <a:cubicBezTo>
                  <a:pt x="103000" y="290425"/>
                  <a:pt x="100183" y="276795"/>
                  <a:pt x="98064" y="269560"/>
                </a:cubicBezTo>
                <a:cubicBezTo>
                  <a:pt x="98625" y="269574"/>
                  <a:pt x="99176" y="269641"/>
                  <a:pt x="99740" y="269641"/>
                </a:cubicBezTo>
                <a:cubicBezTo>
                  <a:pt x="112533" y="269640"/>
                  <a:pt x="125286" y="268240"/>
                  <a:pt x="137767" y="265465"/>
                </a:cubicBezTo>
                <a:cubicBezTo>
                  <a:pt x="142118" y="268568"/>
                  <a:pt x="156444" y="279349"/>
                  <a:pt x="161435" y="290143"/>
                </a:cubicBezTo>
                <a:cubicBezTo>
                  <a:pt x="162300" y="292028"/>
                  <a:pt x="164547" y="292863"/>
                  <a:pt x="166454" y="292007"/>
                </a:cubicBezTo>
                <a:cubicBezTo>
                  <a:pt x="168361" y="291152"/>
                  <a:pt x="169205" y="288930"/>
                  <a:pt x="168339" y="287045"/>
                </a:cubicBezTo>
                <a:cubicBezTo>
                  <a:pt x="168336" y="287039"/>
                  <a:pt x="168334" y="287033"/>
                  <a:pt x="168331" y="287027"/>
                </a:cubicBezTo>
                <a:cubicBezTo>
                  <a:pt x="163913" y="277462"/>
                  <a:pt x="153838" y="268400"/>
                  <a:pt x="147148" y="263102"/>
                </a:cubicBezTo>
                <a:cubicBezTo>
                  <a:pt x="147597" y="262976"/>
                  <a:pt x="148050" y="262866"/>
                  <a:pt x="148498" y="262736"/>
                </a:cubicBezTo>
                <a:cubicBezTo>
                  <a:pt x="163806" y="258286"/>
                  <a:pt x="178415" y="251757"/>
                  <a:pt x="191908" y="243336"/>
                </a:cubicBezTo>
                <a:cubicBezTo>
                  <a:pt x="192240" y="243130"/>
                  <a:pt x="192555" y="242897"/>
                  <a:pt x="192885" y="242689"/>
                </a:cubicBezTo>
                <a:cubicBezTo>
                  <a:pt x="197874" y="244815"/>
                  <a:pt x="212524" y="251536"/>
                  <a:pt x="220256" y="260167"/>
                </a:cubicBezTo>
                <a:cubicBezTo>
                  <a:pt x="221655" y="261710"/>
                  <a:pt x="224053" y="261840"/>
                  <a:pt x="225613" y="260457"/>
                </a:cubicBezTo>
                <a:cubicBezTo>
                  <a:pt x="227160" y="259086"/>
                  <a:pt x="227305" y="256740"/>
                  <a:pt x="225937" y="255194"/>
                </a:cubicBezTo>
                <a:cubicBezTo>
                  <a:pt x="218538" y="247876"/>
                  <a:pt x="209838" y="241968"/>
                  <a:pt x="200275" y="237764"/>
                </a:cubicBezTo>
                <a:cubicBezTo>
                  <a:pt x="208077" y="232253"/>
                  <a:pt x="215407" y="226114"/>
                  <a:pt x="222189" y="219412"/>
                </a:cubicBezTo>
                <a:cubicBezTo>
                  <a:pt x="224363" y="217261"/>
                  <a:pt x="226480" y="215054"/>
                  <a:pt x="228541" y="212792"/>
                </a:cubicBezTo>
                <a:cubicBezTo>
                  <a:pt x="230409" y="210740"/>
                  <a:pt x="232163" y="208598"/>
                  <a:pt x="233926" y="206464"/>
                </a:cubicBezTo>
                <a:cubicBezTo>
                  <a:pt x="239532" y="207172"/>
                  <a:pt x="256454" y="209841"/>
                  <a:pt x="265737" y="217154"/>
                </a:cubicBezTo>
                <a:cubicBezTo>
                  <a:pt x="267375" y="218444"/>
                  <a:pt x="269761" y="218178"/>
                  <a:pt x="271066" y="216557"/>
                </a:cubicBezTo>
                <a:cubicBezTo>
                  <a:pt x="272371" y="214937"/>
                  <a:pt x="272101" y="212578"/>
                  <a:pt x="270463" y="211288"/>
                </a:cubicBezTo>
                <a:cubicBezTo>
                  <a:pt x="261529" y="204248"/>
                  <a:pt x="247461" y="201013"/>
                  <a:pt x="239246" y="199651"/>
                </a:cubicBezTo>
                <a:cubicBezTo>
                  <a:pt x="245040" y="191927"/>
                  <a:pt x="250167" y="183736"/>
                  <a:pt x="254573" y="175163"/>
                </a:cubicBezTo>
                <a:cubicBezTo>
                  <a:pt x="257394" y="169565"/>
                  <a:pt x="259900" y="163819"/>
                  <a:pt x="262081" y="157949"/>
                </a:cubicBezTo>
                <a:cubicBezTo>
                  <a:pt x="267782" y="157565"/>
                  <a:pt x="283077" y="156974"/>
                  <a:pt x="292454" y="160842"/>
                </a:cubicBezTo>
                <a:cubicBezTo>
                  <a:pt x="294388" y="161639"/>
                  <a:pt x="296609" y="160735"/>
                  <a:pt x="297415" y="158822"/>
                </a:cubicBezTo>
                <a:cubicBezTo>
                  <a:pt x="298221" y="156910"/>
                  <a:pt x="297307" y="154714"/>
                  <a:pt x="295373" y="153917"/>
                </a:cubicBezTo>
                <a:cubicBezTo>
                  <a:pt x="285956" y="150038"/>
                  <a:pt x="272368" y="149956"/>
                  <a:pt x="264754" y="150285"/>
                </a:cubicBezTo>
                <a:cubicBezTo>
                  <a:pt x="266637" y="144547"/>
                  <a:pt x="268210" y="138714"/>
                  <a:pt x="269466" y="132810"/>
                </a:cubicBezTo>
                <a:cubicBezTo>
                  <a:pt x="271653" y="122169"/>
                  <a:pt x="272815" y="111347"/>
                  <a:pt x="272937" y="100489"/>
                </a:cubicBezTo>
                <a:cubicBezTo>
                  <a:pt x="273275" y="100474"/>
                  <a:pt x="273610" y="100414"/>
                  <a:pt x="273933" y="100311"/>
                </a:cubicBezTo>
                <a:cubicBezTo>
                  <a:pt x="283014" y="97370"/>
                  <a:pt x="292643" y="96456"/>
                  <a:pt x="302124" y="97634"/>
                </a:cubicBezTo>
                <a:cubicBezTo>
                  <a:pt x="304199" y="97923"/>
                  <a:pt x="306117" y="96495"/>
                  <a:pt x="306410" y="94444"/>
                </a:cubicBezTo>
                <a:cubicBezTo>
                  <a:pt x="306702" y="92393"/>
                  <a:pt x="305258" y="90496"/>
                  <a:pt x="303184" y="90207"/>
                </a:cubicBezTo>
                <a:close/>
                <a:moveTo>
                  <a:pt x="262037" y="131303"/>
                </a:moveTo>
                <a:cubicBezTo>
                  <a:pt x="259116" y="145359"/>
                  <a:pt x="254329" y="158972"/>
                  <a:pt x="247800" y="171787"/>
                </a:cubicBezTo>
                <a:cubicBezTo>
                  <a:pt x="241152" y="184822"/>
                  <a:pt x="232780" y="196923"/>
                  <a:pt x="222904" y="207773"/>
                </a:cubicBezTo>
                <a:cubicBezTo>
                  <a:pt x="220934" y="209938"/>
                  <a:pt x="218908" y="212049"/>
                  <a:pt x="216826" y="214107"/>
                </a:cubicBezTo>
                <a:cubicBezTo>
                  <a:pt x="208062" y="222775"/>
                  <a:pt x="198347" y="230451"/>
                  <a:pt x="187864" y="236993"/>
                </a:cubicBezTo>
                <a:cubicBezTo>
                  <a:pt x="161491" y="253458"/>
                  <a:pt x="130930" y="262179"/>
                  <a:pt x="99740" y="262141"/>
                </a:cubicBezTo>
                <a:cubicBezTo>
                  <a:pt x="67983" y="262167"/>
                  <a:pt x="42217" y="236731"/>
                  <a:pt x="42192" y="205330"/>
                </a:cubicBezTo>
                <a:cubicBezTo>
                  <a:pt x="42166" y="173929"/>
                  <a:pt x="67889" y="148453"/>
                  <a:pt x="99646" y="148427"/>
                </a:cubicBezTo>
                <a:cubicBezTo>
                  <a:pt x="99677" y="148427"/>
                  <a:pt x="99709" y="148427"/>
                  <a:pt x="99740" y="148427"/>
                </a:cubicBezTo>
                <a:cubicBezTo>
                  <a:pt x="127605" y="148400"/>
                  <a:pt x="150226" y="126143"/>
                  <a:pt x="150389" y="98590"/>
                </a:cubicBezTo>
                <a:lnTo>
                  <a:pt x="150391" y="98584"/>
                </a:lnTo>
                <a:lnTo>
                  <a:pt x="150390" y="98576"/>
                </a:lnTo>
                <a:cubicBezTo>
                  <a:pt x="150390" y="98493"/>
                  <a:pt x="150402" y="98412"/>
                  <a:pt x="150402" y="98329"/>
                </a:cubicBezTo>
                <a:cubicBezTo>
                  <a:pt x="150402" y="66928"/>
                  <a:pt x="176147" y="41471"/>
                  <a:pt x="207905" y="41471"/>
                </a:cubicBezTo>
                <a:cubicBezTo>
                  <a:pt x="239662" y="41471"/>
                  <a:pt x="265407" y="66928"/>
                  <a:pt x="265407" y="98329"/>
                </a:cubicBezTo>
                <a:cubicBezTo>
                  <a:pt x="265409" y="109405"/>
                  <a:pt x="264280" y="120452"/>
                  <a:pt x="262037" y="13130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19" name="Freeform: Shape 218">
            <a:extLst>
              <a:ext uri="{FF2B5EF4-FFF2-40B4-BE49-F238E27FC236}">
                <a16:creationId xmlns:a16="http://schemas.microsoft.com/office/drawing/2014/main" id="{D01A6A3A-CA09-4915-B074-D1A362DA28C9}"/>
              </a:ext>
            </a:extLst>
          </xdr:cNvPr>
          <xdr:cNvSpPr/>
        </xdr:nvSpPr>
        <xdr:spPr>
          <a:xfrm>
            <a:off x="1904684" y="2218092"/>
            <a:ext cx="13173" cy="13026"/>
          </a:xfrm>
          <a:custGeom>
            <a:avLst/>
            <a:gdLst>
              <a:gd name="connsiteX0" fmla="*/ 6585 w 13173"/>
              <a:gd name="connsiteY0" fmla="*/ 0 h 13026"/>
              <a:gd name="connsiteX1" fmla="*/ 0 w 13173"/>
              <a:gd name="connsiteY1" fmla="*/ 6515 h 13026"/>
              <a:gd name="connsiteX2" fmla="*/ 6589 w 13173"/>
              <a:gd name="connsiteY2" fmla="*/ 13026 h 13026"/>
              <a:gd name="connsiteX3" fmla="*/ 13174 w 13173"/>
              <a:gd name="connsiteY3" fmla="*/ 6513 h 13026"/>
              <a:gd name="connsiteX4" fmla="*/ 6585 w 13173"/>
              <a:gd name="connsiteY4" fmla="*/ 0 h 1302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3173" h="13026">
                <a:moveTo>
                  <a:pt x="6585" y="0"/>
                </a:moveTo>
                <a:cubicBezTo>
                  <a:pt x="2947" y="1"/>
                  <a:pt x="-1" y="2918"/>
                  <a:pt x="0" y="6515"/>
                </a:cubicBezTo>
                <a:cubicBezTo>
                  <a:pt x="1" y="10112"/>
                  <a:pt x="2951" y="13027"/>
                  <a:pt x="6589" y="13026"/>
                </a:cubicBezTo>
                <a:cubicBezTo>
                  <a:pt x="10226" y="13025"/>
                  <a:pt x="13174" y="10109"/>
                  <a:pt x="13174" y="6513"/>
                </a:cubicBezTo>
                <a:cubicBezTo>
                  <a:pt x="13170" y="2917"/>
                  <a:pt x="10222" y="3"/>
                  <a:pt x="6585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20" name="Freeform: Shape 219">
            <a:extLst>
              <a:ext uri="{FF2B5EF4-FFF2-40B4-BE49-F238E27FC236}">
                <a16:creationId xmlns:a16="http://schemas.microsoft.com/office/drawing/2014/main" id="{8AEFE74B-F4F5-43BB-B462-ED23B1B44219}"/>
              </a:ext>
            </a:extLst>
          </xdr:cNvPr>
          <xdr:cNvSpPr/>
        </xdr:nvSpPr>
        <xdr:spPr>
          <a:xfrm>
            <a:off x="1923445" y="2259833"/>
            <a:ext cx="13171" cy="13024"/>
          </a:xfrm>
          <a:custGeom>
            <a:avLst/>
            <a:gdLst>
              <a:gd name="connsiteX0" fmla="*/ 6587 w 13171"/>
              <a:gd name="connsiteY0" fmla="*/ 0 h 13024"/>
              <a:gd name="connsiteX1" fmla="*/ 0 w 13171"/>
              <a:gd name="connsiteY1" fmla="*/ 6512 h 13024"/>
              <a:gd name="connsiteX2" fmla="*/ 6585 w 13171"/>
              <a:gd name="connsiteY2" fmla="*/ 13025 h 13024"/>
              <a:gd name="connsiteX3" fmla="*/ 13172 w 13171"/>
              <a:gd name="connsiteY3" fmla="*/ 6513 h 13024"/>
              <a:gd name="connsiteX4" fmla="*/ 13172 w 13171"/>
              <a:gd name="connsiteY4" fmla="*/ 6512 h 13024"/>
              <a:gd name="connsiteX5" fmla="*/ 6587 w 13171"/>
              <a:gd name="connsiteY5" fmla="*/ 0 h 130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3171" h="13024">
                <a:moveTo>
                  <a:pt x="6587" y="0"/>
                </a:moveTo>
                <a:cubicBezTo>
                  <a:pt x="2949" y="0"/>
                  <a:pt x="0" y="2915"/>
                  <a:pt x="0" y="6512"/>
                </a:cubicBezTo>
                <a:cubicBezTo>
                  <a:pt x="-1" y="10108"/>
                  <a:pt x="2948" y="13024"/>
                  <a:pt x="6585" y="13025"/>
                </a:cubicBezTo>
                <a:cubicBezTo>
                  <a:pt x="10222" y="13025"/>
                  <a:pt x="13171" y="10110"/>
                  <a:pt x="13172" y="6513"/>
                </a:cubicBezTo>
                <a:cubicBezTo>
                  <a:pt x="13172" y="6513"/>
                  <a:pt x="13172" y="6512"/>
                  <a:pt x="13172" y="6512"/>
                </a:cubicBezTo>
                <a:cubicBezTo>
                  <a:pt x="13167" y="2917"/>
                  <a:pt x="10222" y="5"/>
                  <a:pt x="6587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21" name="Freeform: Shape 220">
            <a:extLst>
              <a:ext uri="{FF2B5EF4-FFF2-40B4-BE49-F238E27FC236}">
                <a16:creationId xmlns:a16="http://schemas.microsoft.com/office/drawing/2014/main" id="{3350CCCC-A6BA-4BE3-A162-045F3AD906F6}"/>
              </a:ext>
            </a:extLst>
          </xdr:cNvPr>
          <xdr:cNvSpPr/>
        </xdr:nvSpPr>
        <xdr:spPr>
          <a:xfrm>
            <a:off x="1881232" y="2273745"/>
            <a:ext cx="13173" cy="13026"/>
          </a:xfrm>
          <a:custGeom>
            <a:avLst/>
            <a:gdLst>
              <a:gd name="connsiteX0" fmla="*/ 6585 w 13173"/>
              <a:gd name="connsiteY0" fmla="*/ 0 h 13026"/>
              <a:gd name="connsiteX1" fmla="*/ 0 w 13173"/>
              <a:gd name="connsiteY1" fmla="*/ 6515 h 13026"/>
              <a:gd name="connsiteX2" fmla="*/ 6589 w 13173"/>
              <a:gd name="connsiteY2" fmla="*/ 13026 h 13026"/>
              <a:gd name="connsiteX3" fmla="*/ 13174 w 13173"/>
              <a:gd name="connsiteY3" fmla="*/ 6513 h 13026"/>
              <a:gd name="connsiteX4" fmla="*/ 6585 w 13173"/>
              <a:gd name="connsiteY4" fmla="*/ 0 h 1302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3173" h="13026">
                <a:moveTo>
                  <a:pt x="6585" y="0"/>
                </a:moveTo>
                <a:cubicBezTo>
                  <a:pt x="2947" y="1"/>
                  <a:pt x="-1" y="2918"/>
                  <a:pt x="0" y="6515"/>
                </a:cubicBezTo>
                <a:cubicBezTo>
                  <a:pt x="1" y="10112"/>
                  <a:pt x="2951" y="13027"/>
                  <a:pt x="6589" y="13026"/>
                </a:cubicBezTo>
                <a:cubicBezTo>
                  <a:pt x="10226" y="13025"/>
                  <a:pt x="13174" y="10109"/>
                  <a:pt x="13174" y="6513"/>
                </a:cubicBezTo>
                <a:cubicBezTo>
                  <a:pt x="13170" y="2917"/>
                  <a:pt x="10222" y="3"/>
                  <a:pt x="6585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22" name="Freeform: Shape 221">
            <a:extLst>
              <a:ext uri="{FF2B5EF4-FFF2-40B4-BE49-F238E27FC236}">
                <a16:creationId xmlns:a16="http://schemas.microsoft.com/office/drawing/2014/main" id="{50BC904C-27B5-473A-BB0A-0C915F934B6C}"/>
              </a:ext>
            </a:extLst>
          </xdr:cNvPr>
          <xdr:cNvSpPr/>
        </xdr:nvSpPr>
        <xdr:spPr>
          <a:xfrm>
            <a:off x="1876543" y="2320123"/>
            <a:ext cx="13171" cy="13024"/>
          </a:xfrm>
          <a:custGeom>
            <a:avLst/>
            <a:gdLst>
              <a:gd name="connsiteX0" fmla="*/ 13172 w 13171"/>
              <a:gd name="connsiteY0" fmla="*/ 6512 h 13024"/>
              <a:gd name="connsiteX1" fmla="*/ 6586 w 13171"/>
              <a:gd name="connsiteY1" fmla="*/ 13024 h 13024"/>
              <a:gd name="connsiteX2" fmla="*/ 0 w 13171"/>
              <a:gd name="connsiteY2" fmla="*/ 6512 h 13024"/>
              <a:gd name="connsiteX3" fmla="*/ 6586 w 13171"/>
              <a:gd name="connsiteY3" fmla="*/ 0 h 13024"/>
              <a:gd name="connsiteX4" fmla="*/ 13172 w 13171"/>
              <a:gd name="connsiteY4" fmla="*/ 6512 h 130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3171" h="13024">
                <a:moveTo>
                  <a:pt x="13172" y="6512"/>
                </a:moveTo>
                <a:cubicBezTo>
                  <a:pt x="13172" y="10109"/>
                  <a:pt x="10223" y="13024"/>
                  <a:pt x="6586" y="13024"/>
                </a:cubicBezTo>
                <a:cubicBezTo>
                  <a:pt x="2949" y="13024"/>
                  <a:pt x="0" y="10109"/>
                  <a:pt x="0" y="6512"/>
                </a:cubicBezTo>
                <a:cubicBezTo>
                  <a:pt x="0" y="2916"/>
                  <a:pt x="2949" y="0"/>
                  <a:pt x="6586" y="0"/>
                </a:cubicBezTo>
                <a:cubicBezTo>
                  <a:pt x="10223" y="0"/>
                  <a:pt x="13172" y="2916"/>
                  <a:pt x="13172" y="651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23" name="Freeform: Shape 222">
            <a:extLst>
              <a:ext uri="{FF2B5EF4-FFF2-40B4-BE49-F238E27FC236}">
                <a16:creationId xmlns:a16="http://schemas.microsoft.com/office/drawing/2014/main" id="{D1716F0B-7D66-4286-ADE2-0451452C1611}"/>
              </a:ext>
            </a:extLst>
          </xdr:cNvPr>
          <xdr:cNvSpPr/>
        </xdr:nvSpPr>
        <xdr:spPr>
          <a:xfrm>
            <a:off x="1829640" y="2310847"/>
            <a:ext cx="13171" cy="13024"/>
          </a:xfrm>
          <a:custGeom>
            <a:avLst/>
            <a:gdLst>
              <a:gd name="connsiteX0" fmla="*/ 13172 w 13171"/>
              <a:gd name="connsiteY0" fmla="*/ 6512 h 13024"/>
              <a:gd name="connsiteX1" fmla="*/ 6586 w 13171"/>
              <a:gd name="connsiteY1" fmla="*/ 13024 h 13024"/>
              <a:gd name="connsiteX2" fmla="*/ 0 w 13171"/>
              <a:gd name="connsiteY2" fmla="*/ 6512 h 13024"/>
              <a:gd name="connsiteX3" fmla="*/ 6586 w 13171"/>
              <a:gd name="connsiteY3" fmla="*/ 0 h 13024"/>
              <a:gd name="connsiteX4" fmla="*/ 13172 w 13171"/>
              <a:gd name="connsiteY4" fmla="*/ 6512 h 130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3171" h="13024">
                <a:moveTo>
                  <a:pt x="13172" y="6512"/>
                </a:moveTo>
                <a:cubicBezTo>
                  <a:pt x="13172" y="10109"/>
                  <a:pt x="10223" y="13024"/>
                  <a:pt x="6586" y="13024"/>
                </a:cubicBezTo>
                <a:cubicBezTo>
                  <a:pt x="2949" y="13024"/>
                  <a:pt x="0" y="10109"/>
                  <a:pt x="0" y="6512"/>
                </a:cubicBezTo>
                <a:cubicBezTo>
                  <a:pt x="0" y="2916"/>
                  <a:pt x="2949" y="0"/>
                  <a:pt x="6586" y="0"/>
                </a:cubicBezTo>
                <a:cubicBezTo>
                  <a:pt x="10223" y="0"/>
                  <a:pt x="13172" y="2916"/>
                  <a:pt x="13172" y="651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24" name="Freeform: Shape 223">
            <a:extLst>
              <a:ext uri="{FF2B5EF4-FFF2-40B4-BE49-F238E27FC236}">
                <a16:creationId xmlns:a16="http://schemas.microsoft.com/office/drawing/2014/main" id="{7F0694E8-A4D1-4295-A8DC-40F46E6A5604}"/>
              </a:ext>
            </a:extLst>
          </xdr:cNvPr>
          <xdr:cNvSpPr/>
        </xdr:nvSpPr>
        <xdr:spPr>
          <a:xfrm>
            <a:off x="1801497" y="2343311"/>
            <a:ext cx="13173" cy="13026"/>
          </a:xfrm>
          <a:custGeom>
            <a:avLst/>
            <a:gdLst>
              <a:gd name="connsiteX0" fmla="*/ 6585 w 13173"/>
              <a:gd name="connsiteY0" fmla="*/ 0 h 13026"/>
              <a:gd name="connsiteX1" fmla="*/ 0 w 13173"/>
              <a:gd name="connsiteY1" fmla="*/ 6515 h 13026"/>
              <a:gd name="connsiteX2" fmla="*/ 6589 w 13173"/>
              <a:gd name="connsiteY2" fmla="*/ 13026 h 13026"/>
              <a:gd name="connsiteX3" fmla="*/ 13174 w 13173"/>
              <a:gd name="connsiteY3" fmla="*/ 6513 h 13026"/>
              <a:gd name="connsiteX4" fmla="*/ 6585 w 13173"/>
              <a:gd name="connsiteY4" fmla="*/ 0 h 1302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3173" h="13026">
                <a:moveTo>
                  <a:pt x="6585" y="0"/>
                </a:moveTo>
                <a:cubicBezTo>
                  <a:pt x="2947" y="1"/>
                  <a:pt x="-1" y="2918"/>
                  <a:pt x="0" y="6515"/>
                </a:cubicBezTo>
                <a:cubicBezTo>
                  <a:pt x="1" y="10112"/>
                  <a:pt x="2951" y="13027"/>
                  <a:pt x="6589" y="13026"/>
                </a:cubicBezTo>
                <a:cubicBezTo>
                  <a:pt x="10226" y="13025"/>
                  <a:pt x="13174" y="10110"/>
                  <a:pt x="13174" y="6513"/>
                </a:cubicBezTo>
                <a:cubicBezTo>
                  <a:pt x="13170" y="2917"/>
                  <a:pt x="10222" y="3"/>
                  <a:pt x="6585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6</xdr:col>
      <xdr:colOff>151028</xdr:colOff>
      <xdr:row>8</xdr:row>
      <xdr:rowOff>148648</xdr:rowOff>
    </xdr:from>
    <xdr:to>
      <xdr:col>6</xdr:col>
      <xdr:colOff>433016</xdr:colOff>
      <xdr:row>8</xdr:row>
      <xdr:rowOff>416594</xdr:rowOff>
    </xdr:to>
    <xdr:grpSp>
      <xdr:nvGrpSpPr>
        <xdr:cNvPr id="225" name="germs" descr="Germ outline">
          <a:extLst>
            <a:ext uri="{FF2B5EF4-FFF2-40B4-BE49-F238E27FC236}">
              <a16:creationId xmlns:a16="http://schemas.microsoft.com/office/drawing/2014/main" id="{62D3A427-0E79-48AB-A59A-F801453DD2F6}"/>
            </a:ext>
          </a:extLst>
        </xdr:cNvPr>
        <xdr:cNvGrpSpPr>
          <a:grpSpLocks noChangeAspect="1"/>
        </xdr:cNvGrpSpPr>
      </xdr:nvGrpSpPr>
      <xdr:grpSpPr>
        <a:xfrm>
          <a:off x="5370728" y="3044248"/>
          <a:ext cx="281988" cy="267946"/>
          <a:chOff x="4561255" y="2164888"/>
          <a:chExt cx="281988" cy="267946"/>
        </a:xfrm>
        <a:solidFill>
          <a:srgbClr val="1F4E78"/>
        </a:solidFill>
      </xdr:grpSpPr>
      <xdr:sp macro="" textlink="">
        <xdr:nvSpPr>
          <xdr:cNvPr id="226" name="Freeform: Shape 225">
            <a:extLst>
              <a:ext uri="{FF2B5EF4-FFF2-40B4-BE49-F238E27FC236}">
                <a16:creationId xmlns:a16="http://schemas.microsoft.com/office/drawing/2014/main" id="{648CADA6-4776-49FB-827E-9CDD4FF88849}"/>
              </a:ext>
            </a:extLst>
          </xdr:cNvPr>
          <xdr:cNvSpPr/>
        </xdr:nvSpPr>
        <xdr:spPr>
          <a:xfrm>
            <a:off x="4641105" y="2256607"/>
            <a:ext cx="77241" cy="86847"/>
          </a:xfrm>
          <a:custGeom>
            <a:avLst/>
            <a:gdLst>
              <a:gd name="connsiteX0" fmla="*/ 73451 w 77241"/>
              <a:gd name="connsiteY0" fmla="*/ 51894 h 86847"/>
              <a:gd name="connsiteX1" fmla="*/ 39767 w 77241"/>
              <a:gd name="connsiteY1" fmla="*/ 7725 h 86847"/>
              <a:gd name="connsiteX2" fmla="*/ 7783 w 77241"/>
              <a:gd name="connsiteY2" fmla="*/ 5531 h 86847"/>
              <a:gd name="connsiteX3" fmla="*/ 5547 w 77241"/>
              <a:gd name="connsiteY3" fmla="*/ 37245 h 86847"/>
              <a:gd name="connsiteX4" fmla="*/ 35686 w 77241"/>
              <a:gd name="connsiteY4" fmla="*/ 76796 h 86847"/>
              <a:gd name="connsiteX5" fmla="*/ 67114 w 77241"/>
              <a:gd name="connsiteY5" fmla="*/ 83086 h 86847"/>
              <a:gd name="connsiteX6" fmla="*/ 73451 w 77241"/>
              <a:gd name="connsiteY6" fmla="*/ 51894 h 86847"/>
              <a:gd name="connsiteX7" fmla="*/ 62932 w 77241"/>
              <a:gd name="connsiteY7" fmla="*/ 76838 h 86847"/>
              <a:gd name="connsiteX8" fmla="*/ 41985 w 77241"/>
              <a:gd name="connsiteY8" fmla="*/ 72654 h 86847"/>
              <a:gd name="connsiteX9" fmla="*/ 41979 w 77241"/>
              <a:gd name="connsiteY9" fmla="*/ 72646 h 86847"/>
              <a:gd name="connsiteX10" fmla="*/ 11251 w 77241"/>
              <a:gd name="connsiteY10" fmla="*/ 32325 h 86847"/>
              <a:gd name="connsiteX11" fmla="*/ 12743 w 77241"/>
              <a:gd name="connsiteY11" fmla="*/ 11164 h 86847"/>
              <a:gd name="connsiteX12" fmla="*/ 34064 w 77241"/>
              <a:gd name="connsiteY12" fmla="*/ 12645 h 86847"/>
              <a:gd name="connsiteX13" fmla="*/ 67157 w 77241"/>
              <a:gd name="connsiteY13" fmla="*/ 56045 h 86847"/>
              <a:gd name="connsiteX14" fmla="*/ 62934 w 77241"/>
              <a:gd name="connsiteY14" fmla="*/ 76837 h 86847"/>
              <a:gd name="connsiteX15" fmla="*/ 62932 w 77241"/>
              <a:gd name="connsiteY15" fmla="*/ 76838 h 8684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77241" h="86847">
                <a:moveTo>
                  <a:pt x="73451" y="51894"/>
                </a:moveTo>
                <a:cubicBezTo>
                  <a:pt x="63187" y="36470"/>
                  <a:pt x="51936" y="21717"/>
                  <a:pt x="39767" y="7725"/>
                </a:cubicBezTo>
                <a:cubicBezTo>
                  <a:pt x="31545" y="-1646"/>
                  <a:pt x="17226" y="-2629"/>
                  <a:pt x="7783" y="5531"/>
                </a:cubicBezTo>
                <a:cubicBezTo>
                  <a:pt x="-1647" y="13681"/>
                  <a:pt x="-2648" y="27871"/>
                  <a:pt x="5547" y="37245"/>
                </a:cubicBezTo>
                <a:cubicBezTo>
                  <a:pt x="16435" y="49775"/>
                  <a:pt x="26503" y="62986"/>
                  <a:pt x="35686" y="76796"/>
                </a:cubicBezTo>
                <a:cubicBezTo>
                  <a:pt x="42615" y="87146"/>
                  <a:pt x="56685" y="89962"/>
                  <a:pt x="67114" y="83086"/>
                </a:cubicBezTo>
                <a:cubicBezTo>
                  <a:pt x="77542" y="76209"/>
                  <a:pt x="80380" y="62244"/>
                  <a:pt x="73451" y="51894"/>
                </a:cubicBezTo>
                <a:close/>
                <a:moveTo>
                  <a:pt x="62932" y="76838"/>
                </a:moveTo>
                <a:cubicBezTo>
                  <a:pt x="55984" y="81424"/>
                  <a:pt x="46605" y="79550"/>
                  <a:pt x="41985" y="72654"/>
                </a:cubicBezTo>
                <a:cubicBezTo>
                  <a:pt x="41984" y="72651"/>
                  <a:pt x="41981" y="72648"/>
                  <a:pt x="41979" y="72646"/>
                </a:cubicBezTo>
                <a:cubicBezTo>
                  <a:pt x="32616" y="58567"/>
                  <a:pt x="22352" y="45099"/>
                  <a:pt x="11251" y="32325"/>
                </a:cubicBezTo>
                <a:cubicBezTo>
                  <a:pt x="5775" y="26073"/>
                  <a:pt x="6443" y="16599"/>
                  <a:pt x="12743" y="11164"/>
                </a:cubicBezTo>
                <a:cubicBezTo>
                  <a:pt x="19043" y="5730"/>
                  <a:pt x="28588" y="6393"/>
                  <a:pt x="34064" y="12645"/>
                </a:cubicBezTo>
                <a:cubicBezTo>
                  <a:pt x="46020" y="26393"/>
                  <a:pt x="57074" y="40890"/>
                  <a:pt x="67157" y="56045"/>
                </a:cubicBezTo>
                <a:cubicBezTo>
                  <a:pt x="71776" y="62944"/>
                  <a:pt x="69885" y="72253"/>
                  <a:pt x="62934" y="76837"/>
                </a:cubicBezTo>
                <a:cubicBezTo>
                  <a:pt x="62933" y="76838"/>
                  <a:pt x="62933" y="76838"/>
                  <a:pt x="62932" y="7683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27" name="Freeform: Shape 226">
            <a:extLst>
              <a:ext uri="{FF2B5EF4-FFF2-40B4-BE49-F238E27FC236}">
                <a16:creationId xmlns:a16="http://schemas.microsoft.com/office/drawing/2014/main" id="{878A94B2-DC45-4926-B70A-709B683ED162}"/>
              </a:ext>
            </a:extLst>
          </xdr:cNvPr>
          <xdr:cNvSpPr/>
        </xdr:nvSpPr>
        <xdr:spPr>
          <a:xfrm>
            <a:off x="4561255" y="2194869"/>
            <a:ext cx="90144" cy="72616"/>
          </a:xfrm>
          <a:custGeom>
            <a:avLst/>
            <a:gdLst>
              <a:gd name="connsiteX0" fmla="*/ 85024 w 90144"/>
              <a:gd name="connsiteY0" fmla="*/ 64360 h 72616"/>
              <a:gd name="connsiteX1" fmla="*/ 81824 w 90144"/>
              <a:gd name="connsiteY1" fmla="*/ 32697 h 72616"/>
              <a:gd name="connsiteX2" fmla="*/ 31625 w 90144"/>
              <a:gd name="connsiteY2" fmla="*/ 1833 h 72616"/>
              <a:gd name="connsiteX3" fmla="*/ 1847 w 90144"/>
              <a:gd name="connsiteY3" fmla="*/ 13623 h 72616"/>
              <a:gd name="connsiteX4" fmla="*/ 13726 w 90144"/>
              <a:gd name="connsiteY4" fmla="*/ 43178 h 72616"/>
              <a:gd name="connsiteX5" fmla="*/ 13762 w 90144"/>
              <a:gd name="connsiteY5" fmla="*/ 43193 h 72616"/>
              <a:gd name="connsiteX6" fmla="*/ 53121 w 90144"/>
              <a:gd name="connsiteY6" fmla="*/ 67535 h 72616"/>
              <a:gd name="connsiteX7" fmla="*/ 85024 w 90144"/>
              <a:gd name="connsiteY7" fmla="*/ 64360 h 72616"/>
              <a:gd name="connsiteX8" fmla="*/ 79174 w 90144"/>
              <a:gd name="connsiteY8" fmla="*/ 59612 h 72616"/>
              <a:gd name="connsiteX9" fmla="*/ 57905 w 90144"/>
              <a:gd name="connsiteY9" fmla="*/ 61729 h 72616"/>
              <a:gd name="connsiteX10" fmla="*/ 16739 w 90144"/>
              <a:gd name="connsiteY10" fmla="*/ 36299 h 72616"/>
              <a:gd name="connsiteX11" fmla="*/ 8779 w 90144"/>
              <a:gd name="connsiteY11" fmla="*/ 16612 h 72616"/>
              <a:gd name="connsiteX12" fmla="*/ 28615 w 90144"/>
              <a:gd name="connsiteY12" fmla="*/ 8713 h 72616"/>
              <a:gd name="connsiteX13" fmla="*/ 28648 w 90144"/>
              <a:gd name="connsiteY13" fmla="*/ 8726 h 72616"/>
              <a:gd name="connsiteX14" fmla="*/ 77041 w 90144"/>
              <a:gd name="connsiteY14" fmla="*/ 38503 h 72616"/>
              <a:gd name="connsiteX15" fmla="*/ 79174 w 90144"/>
              <a:gd name="connsiteY15" fmla="*/ 59612 h 7261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0144" h="72616">
                <a:moveTo>
                  <a:pt x="85024" y="64360"/>
                </a:moveTo>
                <a:cubicBezTo>
                  <a:pt x="92949" y="54739"/>
                  <a:pt x="91516" y="40564"/>
                  <a:pt x="81824" y="32697"/>
                </a:cubicBezTo>
                <a:cubicBezTo>
                  <a:pt x="66625" y="20134"/>
                  <a:pt x="49728" y="9745"/>
                  <a:pt x="31625" y="1833"/>
                </a:cubicBezTo>
                <a:cubicBezTo>
                  <a:pt x="20121" y="-3072"/>
                  <a:pt x="6789" y="2206"/>
                  <a:pt x="1847" y="13623"/>
                </a:cubicBezTo>
                <a:cubicBezTo>
                  <a:pt x="-3096" y="25040"/>
                  <a:pt x="2223" y="38272"/>
                  <a:pt x="13726" y="43178"/>
                </a:cubicBezTo>
                <a:cubicBezTo>
                  <a:pt x="13739" y="43183"/>
                  <a:pt x="13751" y="43188"/>
                  <a:pt x="13762" y="43193"/>
                </a:cubicBezTo>
                <a:cubicBezTo>
                  <a:pt x="27961" y="49447"/>
                  <a:pt x="41209" y="57641"/>
                  <a:pt x="53121" y="67535"/>
                </a:cubicBezTo>
                <a:cubicBezTo>
                  <a:pt x="62815" y="75400"/>
                  <a:pt x="77097" y="73979"/>
                  <a:pt x="85024" y="64360"/>
                </a:cubicBezTo>
                <a:close/>
                <a:moveTo>
                  <a:pt x="79174" y="59612"/>
                </a:moveTo>
                <a:cubicBezTo>
                  <a:pt x="73890" y="66024"/>
                  <a:pt x="64368" y="66972"/>
                  <a:pt x="57905" y="61729"/>
                </a:cubicBezTo>
                <a:cubicBezTo>
                  <a:pt x="45445" y="51389"/>
                  <a:pt x="31588" y="42830"/>
                  <a:pt x="16739" y="36299"/>
                </a:cubicBezTo>
                <a:cubicBezTo>
                  <a:pt x="9063" y="33044"/>
                  <a:pt x="5500" y="24230"/>
                  <a:pt x="8779" y="16612"/>
                </a:cubicBezTo>
                <a:cubicBezTo>
                  <a:pt x="12059" y="8994"/>
                  <a:pt x="20940" y="5458"/>
                  <a:pt x="28615" y="8713"/>
                </a:cubicBezTo>
                <a:cubicBezTo>
                  <a:pt x="28626" y="8717"/>
                  <a:pt x="28637" y="8722"/>
                  <a:pt x="28648" y="8726"/>
                </a:cubicBezTo>
                <a:cubicBezTo>
                  <a:pt x="46100" y="16362"/>
                  <a:pt x="62389" y="26385"/>
                  <a:pt x="77041" y="38503"/>
                </a:cubicBezTo>
                <a:cubicBezTo>
                  <a:pt x="83493" y="43752"/>
                  <a:pt x="84447" y="53195"/>
                  <a:pt x="79174" y="5961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28" name="Freeform: Shape 227">
            <a:extLst>
              <a:ext uri="{FF2B5EF4-FFF2-40B4-BE49-F238E27FC236}">
                <a16:creationId xmlns:a16="http://schemas.microsoft.com/office/drawing/2014/main" id="{7CD011E1-3578-46FD-9296-974A5632F785}"/>
              </a:ext>
            </a:extLst>
          </xdr:cNvPr>
          <xdr:cNvSpPr/>
        </xdr:nvSpPr>
        <xdr:spPr>
          <a:xfrm>
            <a:off x="4698146" y="2340335"/>
            <a:ext cx="68000" cy="92499"/>
          </a:xfrm>
          <a:custGeom>
            <a:avLst/>
            <a:gdLst>
              <a:gd name="connsiteX0" fmla="*/ 42669 w 68000"/>
              <a:gd name="connsiteY0" fmla="*/ 11902 h 92499"/>
              <a:gd name="connsiteX1" fmla="*/ 11992 w 68000"/>
              <a:gd name="connsiteY1" fmla="*/ 2659 h 92499"/>
              <a:gd name="connsiteX2" fmla="*/ 2679 w 68000"/>
              <a:gd name="connsiteY2" fmla="*/ 33105 h 92499"/>
              <a:gd name="connsiteX3" fmla="*/ 24364 w 68000"/>
              <a:gd name="connsiteY3" fmla="*/ 78569 h 92499"/>
              <a:gd name="connsiteX4" fmla="*/ 53964 w 68000"/>
              <a:gd name="connsiteY4" fmla="*/ 90795 h 92499"/>
              <a:gd name="connsiteX5" fmla="*/ 66283 w 68000"/>
              <a:gd name="connsiteY5" fmla="*/ 61416 h 92499"/>
              <a:gd name="connsiteX6" fmla="*/ 66261 w 68000"/>
              <a:gd name="connsiteY6" fmla="*/ 61364 h 92499"/>
              <a:gd name="connsiteX7" fmla="*/ 42669 w 68000"/>
              <a:gd name="connsiteY7" fmla="*/ 11902 h 92499"/>
              <a:gd name="connsiteX8" fmla="*/ 51093 w 68000"/>
              <a:gd name="connsiteY8" fmla="*/ 83827 h 92499"/>
              <a:gd name="connsiteX9" fmla="*/ 31359 w 68000"/>
              <a:gd name="connsiteY9" fmla="*/ 75731 h 92499"/>
              <a:gd name="connsiteX10" fmla="*/ 31347 w 68000"/>
              <a:gd name="connsiteY10" fmla="*/ 75702 h 92499"/>
              <a:gd name="connsiteX11" fmla="*/ 9344 w 68000"/>
              <a:gd name="connsiteY11" fmla="*/ 29571 h 92499"/>
              <a:gd name="connsiteX12" fmla="*/ 15495 w 68000"/>
              <a:gd name="connsiteY12" fmla="*/ 9256 h 92499"/>
              <a:gd name="connsiteX13" fmla="*/ 35964 w 68000"/>
              <a:gd name="connsiteY13" fmla="*/ 15361 h 92499"/>
              <a:gd name="connsiteX14" fmla="*/ 36004 w 68000"/>
              <a:gd name="connsiteY14" fmla="*/ 15437 h 92499"/>
              <a:gd name="connsiteX15" fmla="*/ 59279 w 68000"/>
              <a:gd name="connsiteY15" fmla="*/ 64231 h 92499"/>
              <a:gd name="connsiteX16" fmla="*/ 51093 w 68000"/>
              <a:gd name="connsiteY16" fmla="*/ 83827 h 924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68000" h="92499">
                <a:moveTo>
                  <a:pt x="42669" y="11902"/>
                </a:moveTo>
                <a:cubicBezTo>
                  <a:pt x="36769" y="942"/>
                  <a:pt x="23035" y="-3196"/>
                  <a:pt x="11992" y="2659"/>
                </a:cubicBezTo>
                <a:cubicBezTo>
                  <a:pt x="949" y="8514"/>
                  <a:pt x="-3221" y="22145"/>
                  <a:pt x="2679" y="33105"/>
                </a:cubicBezTo>
                <a:cubicBezTo>
                  <a:pt x="10723" y="48051"/>
                  <a:pt x="18019" y="63345"/>
                  <a:pt x="24364" y="78569"/>
                </a:cubicBezTo>
                <a:cubicBezTo>
                  <a:pt x="29136" y="90058"/>
                  <a:pt x="42389" y="95532"/>
                  <a:pt x="53964" y="90795"/>
                </a:cubicBezTo>
                <a:cubicBezTo>
                  <a:pt x="65540" y="86059"/>
                  <a:pt x="71055" y="72905"/>
                  <a:pt x="66283" y="61416"/>
                </a:cubicBezTo>
                <a:cubicBezTo>
                  <a:pt x="66276" y="61399"/>
                  <a:pt x="66269" y="61382"/>
                  <a:pt x="66261" y="61364"/>
                </a:cubicBezTo>
                <a:cubicBezTo>
                  <a:pt x="59349" y="44784"/>
                  <a:pt x="51412" y="28142"/>
                  <a:pt x="42669" y="11902"/>
                </a:cubicBezTo>
                <a:close/>
                <a:moveTo>
                  <a:pt x="51093" y="83827"/>
                </a:moveTo>
                <a:cubicBezTo>
                  <a:pt x="43391" y="87000"/>
                  <a:pt x="34556" y="83375"/>
                  <a:pt x="31359" y="75731"/>
                </a:cubicBezTo>
                <a:cubicBezTo>
                  <a:pt x="31355" y="75721"/>
                  <a:pt x="31351" y="75711"/>
                  <a:pt x="31347" y="75702"/>
                </a:cubicBezTo>
                <a:cubicBezTo>
                  <a:pt x="24912" y="60263"/>
                  <a:pt x="17510" y="44743"/>
                  <a:pt x="9344" y="29571"/>
                </a:cubicBezTo>
                <a:cubicBezTo>
                  <a:pt x="5390" y="22275"/>
                  <a:pt x="8144" y="13180"/>
                  <a:pt x="15495" y="9256"/>
                </a:cubicBezTo>
                <a:cubicBezTo>
                  <a:pt x="22846" y="5332"/>
                  <a:pt x="32010" y="8066"/>
                  <a:pt x="35964" y="15361"/>
                </a:cubicBezTo>
                <a:cubicBezTo>
                  <a:pt x="35977" y="15386"/>
                  <a:pt x="35991" y="15411"/>
                  <a:pt x="36004" y="15437"/>
                </a:cubicBezTo>
                <a:cubicBezTo>
                  <a:pt x="44625" y="31449"/>
                  <a:pt x="52456" y="47866"/>
                  <a:pt x="59279" y="64231"/>
                </a:cubicBezTo>
                <a:cubicBezTo>
                  <a:pt x="62459" y="71886"/>
                  <a:pt x="58798" y="80651"/>
                  <a:pt x="51093" y="8382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29" name="Freeform: Shape 228">
            <a:extLst>
              <a:ext uri="{FF2B5EF4-FFF2-40B4-BE49-F238E27FC236}">
                <a16:creationId xmlns:a16="http://schemas.microsoft.com/office/drawing/2014/main" id="{5FC4052C-74CD-4055-93E1-C0907DFC4C11}"/>
              </a:ext>
            </a:extLst>
          </xdr:cNvPr>
          <xdr:cNvSpPr/>
        </xdr:nvSpPr>
        <xdr:spPr>
          <a:xfrm>
            <a:off x="4775482" y="2228620"/>
            <a:ext cx="67761" cy="92573"/>
          </a:xfrm>
          <a:custGeom>
            <a:avLst/>
            <a:gdLst>
              <a:gd name="connsiteX0" fmla="*/ 54691 w 67761"/>
              <a:gd name="connsiteY0" fmla="*/ 2130 h 92573"/>
              <a:gd name="connsiteX1" fmla="*/ 24566 w 67761"/>
              <a:gd name="connsiteY1" fmla="*/ 12947 h 92573"/>
              <a:gd name="connsiteX2" fmla="*/ 24550 w 67761"/>
              <a:gd name="connsiteY2" fmla="*/ 12979 h 92573"/>
              <a:gd name="connsiteX3" fmla="*/ 2140 w 67761"/>
              <a:gd name="connsiteY3" fmla="*/ 60536 h 92573"/>
              <a:gd name="connsiteX4" fmla="*/ 13071 w 67761"/>
              <a:gd name="connsiteY4" fmla="*/ 90449 h 92573"/>
              <a:gd name="connsiteX5" fmla="*/ 43212 w 67761"/>
              <a:gd name="connsiteY5" fmla="*/ 79601 h 92573"/>
              <a:gd name="connsiteX6" fmla="*/ 65622 w 67761"/>
              <a:gd name="connsiteY6" fmla="*/ 32044 h 92573"/>
              <a:gd name="connsiteX7" fmla="*/ 54691 w 67761"/>
              <a:gd name="connsiteY7" fmla="*/ 2130 h 92573"/>
              <a:gd name="connsiteX8" fmla="*/ 58777 w 67761"/>
              <a:gd name="connsiteY8" fmla="*/ 28867 h 92573"/>
              <a:gd name="connsiteX9" fmla="*/ 36367 w 67761"/>
              <a:gd name="connsiteY9" fmla="*/ 76423 h 92573"/>
              <a:gd name="connsiteX10" fmla="*/ 22661 w 67761"/>
              <a:gd name="connsiteY10" fmla="*/ 85073 h 92573"/>
              <a:gd name="connsiteX11" fmla="*/ 7565 w 67761"/>
              <a:gd name="connsiteY11" fmla="*/ 70036 h 92573"/>
              <a:gd name="connsiteX12" fmla="*/ 8985 w 67761"/>
              <a:gd name="connsiteY12" fmla="*/ 63713 h 92573"/>
              <a:gd name="connsiteX13" fmla="*/ 31395 w 67761"/>
              <a:gd name="connsiteY13" fmla="*/ 16157 h 92573"/>
              <a:gd name="connsiteX14" fmla="*/ 45098 w 67761"/>
              <a:gd name="connsiteY14" fmla="*/ 7505 h 92573"/>
              <a:gd name="connsiteX15" fmla="*/ 60196 w 67761"/>
              <a:gd name="connsiteY15" fmla="*/ 22544 h 92573"/>
              <a:gd name="connsiteX16" fmla="*/ 58777 w 67761"/>
              <a:gd name="connsiteY16" fmla="*/ 28867 h 925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67761" h="92573">
                <a:moveTo>
                  <a:pt x="54691" y="2130"/>
                </a:moveTo>
                <a:cubicBezTo>
                  <a:pt x="43362" y="-3139"/>
                  <a:pt x="29875" y="1703"/>
                  <a:pt x="24566" y="12947"/>
                </a:cubicBezTo>
                <a:cubicBezTo>
                  <a:pt x="24561" y="12957"/>
                  <a:pt x="24556" y="12968"/>
                  <a:pt x="24550" y="12979"/>
                </a:cubicBezTo>
                <a:lnTo>
                  <a:pt x="2140" y="60536"/>
                </a:lnTo>
                <a:cubicBezTo>
                  <a:pt x="-3164" y="71792"/>
                  <a:pt x="1730" y="85185"/>
                  <a:pt x="13071" y="90449"/>
                </a:cubicBezTo>
                <a:cubicBezTo>
                  <a:pt x="24413" y="95714"/>
                  <a:pt x="37907" y="90857"/>
                  <a:pt x="43212" y="79601"/>
                </a:cubicBezTo>
                <a:lnTo>
                  <a:pt x="65622" y="32044"/>
                </a:lnTo>
                <a:cubicBezTo>
                  <a:pt x="70926" y="20788"/>
                  <a:pt x="66032" y="7395"/>
                  <a:pt x="54691" y="2130"/>
                </a:cubicBezTo>
                <a:close/>
                <a:moveTo>
                  <a:pt x="58777" y="28867"/>
                </a:moveTo>
                <a:lnTo>
                  <a:pt x="36367" y="76423"/>
                </a:lnTo>
                <a:cubicBezTo>
                  <a:pt x="33867" y="81693"/>
                  <a:pt x="28530" y="85061"/>
                  <a:pt x="22661" y="85073"/>
                </a:cubicBezTo>
                <a:cubicBezTo>
                  <a:pt x="14309" y="85058"/>
                  <a:pt x="7550" y="78326"/>
                  <a:pt x="7565" y="70036"/>
                </a:cubicBezTo>
                <a:cubicBezTo>
                  <a:pt x="7569" y="67851"/>
                  <a:pt x="8054" y="65693"/>
                  <a:pt x="8985" y="63713"/>
                </a:cubicBezTo>
                <a:lnTo>
                  <a:pt x="31395" y="16157"/>
                </a:lnTo>
                <a:cubicBezTo>
                  <a:pt x="33895" y="10887"/>
                  <a:pt x="39230" y="7519"/>
                  <a:pt x="45098" y="7505"/>
                </a:cubicBezTo>
                <a:cubicBezTo>
                  <a:pt x="53451" y="7520"/>
                  <a:pt x="60211" y="14253"/>
                  <a:pt x="60196" y="22544"/>
                </a:cubicBezTo>
                <a:cubicBezTo>
                  <a:pt x="60192" y="24729"/>
                  <a:pt x="59707" y="26887"/>
                  <a:pt x="58777" y="2886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30" name="Freeform: Shape 229">
            <a:extLst>
              <a:ext uri="{FF2B5EF4-FFF2-40B4-BE49-F238E27FC236}">
                <a16:creationId xmlns:a16="http://schemas.microsoft.com/office/drawing/2014/main" id="{8F27514B-7AA1-4339-8DB7-95A097696A8C}"/>
              </a:ext>
            </a:extLst>
          </xdr:cNvPr>
          <xdr:cNvSpPr/>
        </xdr:nvSpPr>
        <xdr:spPr>
          <a:xfrm>
            <a:off x="4568831" y="2316123"/>
            <a:ext cx="54899" cy="96668"/>
          </a:xfrm>
          <a:custGeom>
            <a:avLst/>
            <a:gdLst>
              <a:gd name="connsiteX0" fmla="*/ 44971 w 54899"/>
              <a:gd name="connsiteY0" fmla="*/ 18442 h 96668"/>
              <a:gd name="connsiteX1" fmla="*/ 18582 w 54899"/>
              <a:gd name="connsiteY1" fmla="*/ 373 h 96668"/>
              <a:gd name="connsiteX2" fmla="*/ 376 w 54899"/>
              <a:gd name="connsiteY2" fmla="*/ 26565 h 96668"/>
              <a:gd name="connsiteX3" fmla="*/ 9924 w 54899"/>
              <a:gd name="connsiteY3" fmla="*/ 78202 h 96668"/>
              <a:gd name="connsiteX4" fmla="*/ 36293 w 54899"/>
              <a:gd name="connsiteY4" fmla="*/ 96300 h 96668"/>
              <a:gd name="connsiteX5" fmla="*/ 54528 w 54899"/>
              <a:gd name="connsiteY5" fmla="*/ 70128 h 96668"/>
              <a:gd name="connsiteX6" fmla="*/ 54519 w 54899"/>
              <a:gd name="connsiteY6" fmla="*/ 70080 h 96668"/>
              <a:gd name="connsiteX7" fmla="*/ 34946 w 54899"/>
              <a:gd name="connsiteY7" fmla="*/ 88895 h 96668"/>
              <a:gd name="connsiteX8" fmla="*/ 17365 w 54899"/>
              <a:gd name="connsiteY8" fmla="*/ 76893 h 96668"/>
              <a:gd name="connsiteX9" fmla="*/ 17356 w 54899"/>
              <a:gd name="connsiteY9" fmla="*/ 76849 h 96668"/>
              <a:gd name="connsiteX10" fmla="*/ 7809 w 54899"/>
              <a:gd name="connsiteY10" fmla="*/ 25211 h 96668"/>
              <a:gd name="connsiteX11" fmla="*/ 19946 w 54899"/>
              <a:gd name="connsiteY11" fmla="*/ 7750 h 96668"/>
              <a:gd name="connsiteX12" fmla="*/ 37539 w 54899"/>
              <a:gd name="connsiteY12" fmla="*/ 19796 h 96668"/>
              <a:gd name="connsiteX13" fmla="*/ 47086 w 54899"/>
              <a:gd name="connsiteY13" fmla="*/ 71434 h 96668"/>
              <a:gd name="connsiteX14" fmla="*/ 34946 w 54899"/>
              <a:gd name="connsiteY14" fmla="*/ 88895 h 9666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54899" h="96668">
                <a:moveTo>
                  <a:pt x="44971" y="18442"/>
                </a:moveTo>
                <a:cubicBezTo>
                  <a:pt x="42711" y="6220"/>
                  <a:pt x="30896" y="-1869"/>
                  <a:pt x="18582" y="373"/>
                </a:cubicBezTo>
                <a:cubicBezTo>
                  <a:pt x="6268" y="2616"/>
                  <a:pt x="-1884" y="14343"/>
                  <a:pt x="376" y="26565"/>
                </a:cubicBezTo>
                <a:lnTo>
                  <a:pt x="9924" y="78202"/>
                </a:lnTo>
                <a:cubicBezTo>
                  <a:pt x="12170" y="90427"/>
                  <a:pt x="23977" y="98529"/>
                  <a:pt x="36293" y="96300"/>
                </a:cubicBezTo>
                <a:cubicBezTo>
                  <a:pt x="48610" y="94070"/>
                  <a:pt x="56774" y="82352"/>
                  <a:pt x="54528" y="70128"/>
                </a:cubicBezTo>
                <a:cubicBezTo>
                  <a:pt x="54525" y="70112"/>
                  <a:pt x="54522" y="70096"/>
                  <a:pt x="54519" y="70080"/>
                </a:cubicBezTo>
                <a:close/>
                <a:moveTo>
                  <a:pt x="34946" y="88895"/>
                </a:moveTo>
                <a:cubicBezTo>
                  <a:pt x="26751" y="90399"/>
                  <a:pt x="18880" y="85026"/>
                  <a:pt x="17365" y="76893"/>
                </a:cubicBezTo>
                <a:cubicBezTo>
                  <a:pt x="17362" y="76878"/>
                  <a:pt x="17359" y="76863"/>
                  <a:pt x="17356" y="76849"/>
                </a:cubicBezTo>
                <a:lnTo>
                  <a:pt x="7809" y="25211"/>
                </a:lnTo>
                <a:cubicBezTo>
                  <a:pt x="6303" y="17063"/>
                  <a:pt x="11736" y="9246"/>
                  <a:pt x="19946" y="7750"/>
                </a:cubicBezTo>
                <a:cubicBezTo>
                  <a:pt x="28156" y="6255"/>
                  <a:pt x="36032" y="11648"/>
                  <a:pt x="37539" y="19796"/>
                </a:cubicBezTo>
                <a:lnTo>
                  <a:pt x="47086" y="71434"/>
                </a:lnTo>
                <a:cubicBezTo>
                  <a:pt x="48582" y="79581"/>
                  <a:pt x="43151" y="87393"/>
                  <a:pt x="34946" y="8889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31" name="Freeform: Shape 230">
            <a:extLst>
              <a:ext uri="{FF2B5EF4-FFF2-40B4-BE49-F238E27FC236}">
                <a16:creationId xmlns:a16="http://schemas.microsoft.com/office/drawing/2014/main" id="{EF2AB3FF-B4D1-41B2-B6F4-61DD9588132D}"/>
              </a:ext>
            </a:extLst>
          </xdr:cNvPr>
          <xdr:cNvSpPr/>
        </xdr:nvSpPr>
        <xdr:spPr>
          <a:xfrm>
            <a:off x="4674638" y="2164888"/>
            <a:ext cx="87519" cy="76689"/>
          </a:xfrm>
          <a:custGeom>
            <a:avLst/>
            <a:gdLst>
              <a:gd name="connsiteX0" fmla="*/ 8979 w 87519"/>
              <a:gd name="connsiteY0" fmla="*/ 40434 h 76689"/>
              <a:gd name="connsiteX1" fmla="*/ 51155 w 87519"/>
              <a:gd name="connsiteY1" fmla="*/ 72120 h 76689"/>
              <a:gd name="connsiteX2" fmla="*/ 82916 w 87519"/>
              <a:gd name="connsiteY2" fmla="*/ 67778 h 76689"/>
              <a:gd name="connsiteX3" fmla="*/ 78540 w 87519"/>
              <a:gd name="connsiteY3" fmla="*/ 36255 h 76689"/>
              <a:gd name="connsiteX4" fmla="*/ 78519 w 87519"/>
              <a:gd name="connsiteY4" fmla="*/ 36239 h 76689"/>
              <a:gd name="connsiteX5" fmla="*/ 36343 w 87519"/>
              <a:gd name="connsiteY5" fmla="*/ 4553 h 76689"/>
              <a:gd name="connsiteX6" fmla="*/ 4587 w 87519"/>
              <a:gd name="connsiteY6" fmla="*/ 8933 h 76689"/>
              <a:gd name="connsiteX7" fmla="*/ 8979 w 87519"/>
              <a:gd name="connsiteY7" fmla="*/ 40434 h 76689"/>
              <a:gd name="connsiteX8" fmla="*/ 10609 w 87519"/>
              <a:gd name="connsiteY8" fmla="*/ 13441 h 76689"/>
              <a:gd name="connsiteX9" fmla="*/ 31773 w 87519"/>
              <a:gd name="connsiteY9" fmla="*/ 10527 h 76689"/>
              <a:gd name="connsiteX10" fmla="*/ 31781 w 87519"/>
              <a:gd name="connsiteY10" fmla="*/ 10533 h 76689"/>
              <a:gd name="connsiteX11" fmla="*/ 73958 w 87519"/>
              <a:gd name="connsiteY11" fmla="*/ 42219 h 76689"/>
              <a:gd name="connsiteX12" fmla="*/ 76887 w 87519"/>
              <a:gd name="connsiteY12" fmla="*/ 63234 h 76689"/>
              <a:gd name="connsiteX13" fmla="*/ 64820 w 87519"/>
              <a:gd name="connsiteY13" fmla="*/ 69182 h 76689"/>
              <a:gd name="connsiteX14" fmla="*/ 55717 w 87519"/>
              <a:gd name="connsiteY14" fmla="*/ 66140 h 76689"/>
              <a:gd name="connsiteX15" fmla="*/ 13540 w 87519"/>
              <a:gd name="connsiteY15" fmla="*/ 34454 h 76689"/>
              <a:gd name="connsiteX16" fmla="*/ 10609 w 87519"/>
              <a:gd name="connsiteY16" fmla="*/ 13441 h 766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87519" h="76689">
                <a:moveTo>
                  <a:pt x="8979" y="40434"/>
                </a:moveTo>
                <a:lnTo>
                  <a:pt x="51155" y="72120"/>
                </a:lnTo>
                <a:cubicBezTo>
                  <a:pt x="61134" y="79626"/>
                  <a:pt x="75354" y="77682"/>
                  <a:pt x="82916" y="67778"/>
                </a:cubicBezTo>
                <a:cubicBezTo>
                  <a:pt x="90478" y="57874"/>
                  <a:pt x="88519" y="43761"/>
                  <a:pt x="78540" y="36255"/>
                </a:cubicBezTo>
                <a:cubicBezTo>
                  <a:pt x="78533" y="36250"/>
                  <a:pt x="78526" y="36245"/>
                  <a:pt x="78519" y="36239"/>
                </a:cubicBezTo>
                <a:lnTo>
                  <a:pt x="36343" y="4553"/>
                </a:lnTo>
                <a:cubicBezTo>
                  <a:pt x="26355" y="-2941"/>
                  <a:pt x="12137" y="-980"/>
                  <a:pt x="4587" y="8933"/>
                </a:cubicBezTo>
                <a:cubicBezTo>
                  <a:pt x="-2957" y="18837"/>
                  <a:pt x="-991" y="32935"/>
                  <a:pt x="8979" y="40434"/>
                </a:cubicBezTo>
                <a:close/>
                <a:moveTo>
                  <a:pt x="10609" y="13441"/>
                </a:moveTo>
                <a:cubicBezTo>
                  <a:pt x="15643" y="6836"/>
                  <a:pt x="25118" y="5531"/>
                  <a:pt x="31773" y="10527"/>
                </a:cubicBezTo>
                <a:cubicBezTo>
                  <a:pt x="31776" y="10529"/>
                  <a:pt x="31779" y="10531"/>
                  <a:pt x="31781" y="10533"/>
                </a:cubicBezTo>
                <a:lnTo>
                  <a:pt x="73958" y="42219"/>
                </a:lnTo>
                <a:cubicBezTo>
                  <a:pt x="80614" y="47220"/>
                  <a:pt x="81925" y="56628"/>
                  <a:pt x="76887" y="63234"/>
                </a:cubicBezTo>
                <a:cubicBezTo>
                  <a:pt x="74026" y="66984"/>
                  <a:pt x="69559" y="69186"/>
                  <a:pt x="64820" y="69182"/>
                </a:cubicBezTo>
                <a:cubicBezTo>
                  <a:pt x="61531" y="69188"/>
                  <a:pt x="58332" y="68119"/>
                  <a:pt x="55717" y="66140"/>
                </a:cubicBezTo>
                <a:lnTo>
                  <a:pt x="13540" y="34454"/>
                </a:lnTo>
                <a:cubicBezTo>
                  <a:pt x="6893" y="29450"/>
                  <a:pt x="5582" y="20049"/>
                  <a:pt x="10609" y="1344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145924</xdr:colOff>
      <xdr:row>11</xdr:row>
      <xdr:rowOff>134132</xdr:rowOff>
    </xdr:from>
    <xdr:to>
      <xdr:col>4</xdr:col>
      <xdr:colOff>433396</xdr:colOff>
      <xdr:row>11</xdr:row>
      <xdr:rowOff>445415</xdr:rowOff>
    </xdr:to>
    <xdr:grpSp>
      <xdr:nvGrpSpPr>
        <xdr:cNvPr id="232" name="dirty_hands" descr="Germ outline">
          <a:extLst>
            <a:ext uri="{FF2B5EF4-FFF2-40B4-BE49-F238E27FC236}">
              <a16:creationId xmlns:a16="http://schemas.microsoft.com/office/drawing/2014/main" id="{5D684E4D-9A4A-4AA2-8F3E-2BFABBD72D89}"/>
            </a:ext>
          </a:extLst>
        </xdr:cNvPr>
        <xdr:cNvGrpSpPr>
          <a:grpSpLocks noChangeAspect="1"/>
        </xdr:cNvGrpSpPr>
      </xdr:nvGrpSpPr>
      <xdr:grpSpPr>
        <a:xfrm>
          <a:off x="3470149" y="4915682"/>
          <a:ext cx="287472" cy="311283"/>
          <a:chOff x="9227591" y="6075180"/>
          <a:chExt cx="287472" cy="311283"/>
        </a:xfrm>
        <a:solidFill>
          <a:srgbClr val="1F4E78"/>
        </a:solidFill>
      </xdr:grpSpPr>
      <xdr:sp macro="" textlink="">
        <xdr:nvSpPr>
          <xdr:cNvPr id="233" name="Freeform: Shape 232">
            <a:extLst>
              <a:ext uri="{FF2B5EF4-FFF2-40B4-BE49-F238E27FC236}">
                <a16:creationId xmlns:a16="http://schemas.microsoft.com/office/drawing/2014/main" id="{64C7951A-9604-4ABC-9B18-974DB18C7241}"/>
              </a:ext>
            </a:extLst>
          </xdr:cNvPr>
          <xdr:cNvSpPr/>
        </xdr:nvSpPr>
        <xdr:spPr>
          <a:xfrm>
            <a:off x="9227591" y="6075180"/>
            <a:ext cx="287472" cy="231564"/>
          </a:xfrm>
          <a:custGeom>
            <a:avLst/>
            <a:gdLst>
              <a:gd name="connsiteX0" fmla="*/ 286362 w 287472"/>
              <a:gd name="connsiteY0" fmla="*/ 225164 h 231564"/>
              <a:gd name="connsiteX1" fmla="*/ 244811 w 287472"/>
              <a:gd name="connsiteY1" fmla="*/ 184075 h 231564"/>
              <a:gd name="connsiteX2" fmla="*/ 251722 w 287472"/>
              <a:gd name="connsiteY2" fmla="*/ 131897 h 231564"/>
              <a:gd name="connsiteX3" fmla="*/ 248577 w 287472"/>
              <a:gd name="connsiteY3" fmla="*/ 117813 h 231564"/>
              <a:gd name="connsiteX4" fmla="*/ 192751 w 287472"/>
              <a:gd name="connsiteY4" fmla="*/ 30682 h 231564"/>
              <a:gd name="connsiteX5" fmla="*/ 161511 w 287472"/>
              <a:gd name="connsiteY5" fmla="*/ 23777 h 231564"/>
              <a:gd name="connsiteX6" fmla="*/ 159705 w 287472"/>
              <a:gd name="connsiteY6" fmla="*/ 25037 h 231564"/>
              <a:gd name="connsiteX7" fmla="*/ 154916 w 287472"/>
              <a:gd name="connsiteY7" fmla="*/ 55257 h 231564"/>
              <a:gd name="connsiteX8" fmla="*/ 175127 w 287472"/>
              <a:gd name="connsiteY8" fmla="*/ 88650 h 231564"/>
              <a:gd name="connsiteX9" fmla="*/ 92136 w 287472"/>
              <a:gd name="connsiteY9" fmla="*/ 6589 h 231564"/>
              <a:gd name="connsiteX10" fmla="*/ 60251 w 287472"/>
              <a:gd name="connsiteY10" fmla="*/ 6471 h 231564"/>
              <a:gd name="connsiteX11" fmla="*/ 53601 w 287472"/>
              <a:gd name="connsiteY11" fmla="*/ 21501 h 231564"/>
              <a:gd name="connsiteX12" fmla="*/ 49242 w 287472"/>
              <a:gd name="connsiteY12" fmla="*/ 17191 h 231564"/>
              <a:gd name="connsiteX13" fmla="*/ 17228 w 287472"/>
              <a:gd name="connsiteY13" fmla="*/ 17099 h 231564"/>
              <a:gd name="connsiteX14" fmla="*/ 17135 w 287472"/>
              <a:gd name="connsiteY14" fmla="*/ 48754 h 231564"/>
              <a:gd name="connsiteX15" fmla="*/ 17228 w 287472"/>
              <a:gd name="connsiteY15" fmla="*/ 48846 h 231564"/>
              <a:gd name="connsiteX16" fmla="*/ 21450 w 287472"/>
              <a:gd name="connsiteY16" fmla="*/ 53021 h 231564"/>
              <a:gd name="connsiteX17" fmla="*/ 26 w 287472"/>
              <a:gd name="connsiteY17" fmla="*/ 76342 h 231564"/>
              <a:gd name="connsiteX18" fmla="*/ 6671 w 287472"/>
              <a:gd name="connsiteY18" fmla="*/ 91096 h 231564"/>
              <a:gd name="connsiteX19" fmla="*/ 21900 w 287472"/>
              <a:gd name="connsiteY19" fmla="*/ 106155 h 231564"/>
              <a:gd name="connsiteX20" fmla="*/ 21448 w 287472"/>
              <a:gd name="connsiteY20" fmla="*/ 106152 h 231564"/>
              <a:gd name="connsiteX21" fmla="*/ 5036 w 287472"/>
              <a:gd name="connsiteY21" fmla="*/ 114303 h 231564"/>
              <a:gd name="connsiteX22" fmla="*/ 7096 w 287472"/>
              <a:gd name="connsiteY22" fmla="*/ 144896 h 231564"/>
              <a:gd name="connsiteX23" fmla="*/ 20207 w 287472"/>
              <a:gd name="connsiteY23" fmla="*/ 157860 h 231564"/>
              <a:gd name="connsiteX24" fmla="*/ 24553 w 287472"/>
              <a:gd name="connsiteY24" fmla="*/ 151551 h 231564"/>
              <a:gd name="connsiteX25" fmla="*/ 12459 w 287472"/>
              <a:gd name="connsiteY25" fmla="*/ 139593 h 231564"/>
              <a:gd name="connsiteX26" fmla="*/ 10884 w 287472"/>
              <a:gd name="connsiteY26" fmla="*/ 119078 h 231564"/>
              <a:gd name="connsiteX27" fmla="*/ 21807 w 287472"/>
              <a:gd name="connsiteY27" fmla="*/ 113645 h 231564"/>
              <a:gd name="connsiteX28" fmla="*/ 33744 w 287472"/>
              <a:gd name="connsiteY28" fmla="*/ 117780 h 231564"/>
              <a:gd name="connsiteX29" fmla="*/ 34764 w 287472"/>
              <a:gd name="connsiteY29" fmla="*/ 118875 h 231564"/>
              <a:gd name="connsiteX30" fmla="*/ 46051 w 287472"/>
              <a:gd name="connsiteY30" fmla="*/ 130036 h 231564"/>
              <a:gd name="connsiteX31" fmla="*/ 52366 w 287472"/>
              <a:gd name="connsiteY31" fmla="*/ 125675 h 231564"/>
              <a:gd name="connsiteX32" fmla="*/ 12033 w 287472"/>
              <a:gd name="connsiteY32" fmla="*/ 85793 h 231564"/>
              <a:gd name="connsiteX33" fmla="*/ 12033 w 287472"/>
              <a:gd name="connsiteY33" fmla="*/ 64752 h 231564"/>
              <a:gd name="connsiteX34" fmla="*/ 33313 w 287472"/>
              <a:gd name="connsiteY34" fmla="*/ 64752 h 231564"/>
              <a:gd name="connsiteX35" fmla="*/ 33318 w 287472"/>
              <a:gd name="connsiteY35" fmla="*/ 64756 h 231564"/>
              <a:gd name="connsiteX36" fmla="*/ 81707 w 287472"/>
              <a:gd name="connsiteY36" fmla="*/ 112602 h 231564"/>
              <a:gd name="connsiteX37" fmla="*/ 90414 w 287472"/>
              <a:gd name="connsiteY37" fmla="*/ 110607 h 231564"/>
              <a:gd name="connsiteX38" fmla="*/ 22591 w 287472"/>
              <a:gd name="connsiteY38" fmla="*/ 43543 h 231564"/>
              <a:gd name="connsiteX39" fmla="*/ 22610 w 287472"/>
              <a:gd name="connsiteY39" fmla="*/ 22494 h 231564"/>
              <a:gd name="connsiteX40" fmla="*/ 43879 w 287472"/>
              <a:gd name="connsiteY40" fmla="*/ 22494 h 231564"/>
              <a:gd name="connsiteX41" fmla="*/ 133887 w 287472"/>
              <a:gd name="connsiteY41" fmla="*/ 111492 h 231564"/>
              <a:gd name="connsiteX42" fmla="*/ 143912 w 287472"/>
              <a:gd name="connsiteY42" fmla="*/ 114300 h 231564"/>
              <a:gd name="connsiteX43" fmla="*/ 143185 w 287472"/>
              <a:gd name="connsiteY43" fmla="*/ 110080 h 231564"/>
              <a:gd name="connsiteX44" fmla="*/ 66149 w 287472"/>
              <a:gd name="connsiteY44" fmla="*/ 33909 h 231564"/>
              <a:gd name="connsiteX45" fmla="*/ 65494 w 287472"/>
              <a:gd name="connsiteY45" fmla="*/ 32933 h 231564"/>
              <a:gd name="connsiteX46" fmla="*/ 65494 w 287472"/>
              <a:gd name="connsiteY46" fmla="*/ 11892 h 231564"/>
              <a:gd name="connsiteX47" fmla="*/ 86773 w 287472"/>
              <a:gd name="connsiteY47" fmla="*/ 11892 h 231564"/>
              <a:gd name="connsiteX48" fmla="*/ 191447 w 287472"/>
              <a:gd name="connsiteY48" fmla="*/ 115392 h 231564"/>
              <a:gd name="connsiteX49" fmla="*/ 196810 w 287472"/>
              <a:gd name="connsiteY49" fmla="*/ 115393 h 231564"/>
              <a:gd name="connsiteX50" fmla="*/ 197382 w 287472"/>
              <a:gd name="connsiteY50" fmla="*/ 110814 h 231564"/>
              <a:gd name="connsiteX51" fmla="*/ 161371 w 287472"/>
              <a:gd name="connsiteY51" fmla="*/ 51322 h 231564"/>
              <a:gd name="connsiteX52" fmla="*/ 164360 w 287472"/>
              <a:gd name="connsiteY52" fmla="*/ 30959 h 231564"/>
              <a:gd name="connsiteX53" fmla="*/ 185487 w 287472"/>
              <a:gd name="connsiteY53" fmla="*/ 33497 h 231564"/>
              <a:gd name="connsiteX54" fmla="*/ 186345 w 287472"/>
              <a:gd name="connsiteY54" fmla="*/ 34698 h 231564"/>
              <a:gd name="connsiteX55" fmla="*/ 242170 w 287472"/>
              <a:gd name="connsiteY55" fmla="*/ 121826 h 231564"/>
              <a:gd name="connsiteX56" fmla="*/ 244200 w 287472"/>
              <a:gd name="connsiteY56" fmla="*/ 130923 h 231564"/>
              <a:gd name="connsiteX57" fmla="*/ 237046 w 287472"/>
              <a:gd name="connsiteY57" fmla="*/ 184934 h 231564"/>
              <a:gd name="connsiteX58" fmla="*/ 238125 w 287472"/>
              <a:gd name="connsiteY58" fmla="*/ 188072 h 231564"/>
              <a:gd name="connsiteX59" fmla="*/ 280999 w 287472"/>
              <a:gd name="connsiteY59" fmla="*/ 230466 h 231564"/>
              <a:gd name="connsiteX60" fmla="*/ 286362 w 287472"/>
              <a:gd name="connsiteY60" fmla="*/ 230466 h 231564"/>
              <a:gd name="connsiteX61" fmla="*/ 286362 w 287472"/>
              <a:gd name="connsiteY61" fmla="*/ 225164 h 23156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</a:cxnLst>
            <a:rect l="l" t="t" r="r" b="b"/>
            <a:pathLst>
              <a:path w="287472" h="231564">
                <a:moveTo>
                  <a:pt x="286362" y="225164"/>
                </a:moveTo>
                <a:lnTo>
                  <a:pt x="244811" y="184075"/>
                </a:lnTo>
                <a:lnTo>
                  <a:pt x="251722" y="131897"/>
                </a:lnTo>
                <a:cubicBezTo>
                  <a:pt x="252368" y="126984"/>
                  <a:pt x="251256" y="122001"/>
                  <a:pt x="248577" y="117813"/>
                </a:cubicBezTo>
                <a:lnTo>
                  <a:pt x="192751" y="30682"/>
                </a:lnTo>
                <a:cubicBezTo>
                  <a:pt x="186052" y="20246"/>
                  <a:pt x="172066" y="17154"/>
                  <a:pt x="161511" y="23777"/>
                </a:cubicBezTo>
                <a:cubicBezTo>
                  <a:pt x="160889" y="24168"/>
                  <a:pt x="160286" y="24588"/>
                  <a:pt x="159705" y="25037"/>
                </a:cubicBezTo>
                <a:cubicBezTo>
                  <a:pt x="150569" y="32440"/>
                  <a:pt x="148508" y="45445"/>
                  <a:pt x="154916" y="55257"/>
                </a:cubicBezTo>
                <a:lnTo>
                  <a:pt x="175127" y="88650"/>
                </a:lnTo>
                <a:lnTo>
                  <a:pt x="92136" y="6589"/>
                </a:lnTo>
                <a:cubicBezTo>
                  <a:pt x="83364" y="-2150"/>
                  <a:pt x="69088" y="-2203"/>
                  <a:pt x="60251" y="6471"/>
                </a:cubicBezTo>
                <a:cubicBezTo>
                  <a:pt x="56183" y="10463"/>
                  <a:pt x="53805" y="15837"/>
                  <a:pt x="53601" y="21501"/>
                </a:cubicBezTo>
                <a:lnTo>
                  <a:pt x="49242" y="17191"/>
                </a:lnTo>
                <a:cubicBezTo>
                  <a:pt x="40427" y="8424"/>
                  <a:pt x="26094" y="8383"/>
                  <a:pt x="17228" y="17099"/>
                </a:cubicBezTo>
                <a:cubicBezTo>
                  <a:pt x="8362" y="25815"/>
                  <a:pt x="8320" y="39987"/>
                  <a:pt x="17135" y="48754"/>
                </a:cubicBezTo>
                <a:cubicBezTo>
                  <a:pt x="17166" y="48785"/>
                  <a:pt x="17197" y="48815"/>
                  <a:pt x="17228" y="48846"/>
                </a:cubicBezTo>
                <a:lnTo>
                  <a:pt x="21450" y="53021"/>
                </a:lnTo>
                <a:cubicBezTo>
                  <a:pt x="9020" y="53611"/>
                  <a:pt x="-571" y="64052"/>
                  <a:pt x="26" y="76342"/>
                </a:cubicBezTo>
                <a:cubicBezTo>
                  <a:pt x="297" y="81909"/>
                  <a:pt x="2668" y="87173"/>
                  <a:pt x="6671" y="91096"/>
                </a:cubicBezTo>
                <a:lnTo>
                  <a:pt x="21900" y="106155"/>
                </a:lnTo>
                <a:cubicBezTo>
                  <a:pt x="21749" y="106159"/>
                  <a:pt x="21599" y="106145"/>
                  <a:pt x="21448" y="106152"/>
                </a:cubicBezTo>
                <a:cubicBezTo>
                  <a:pt x="15062" y="106467"/>
                  <a:pt x="9105" y="109426"/>
                  <a:pt x="5036" y="114303"/>
                </a:cubicBezTo>
                <a:cubicBezTo>
                  <a:pt x="-2259" y="123531"/>
                  <a:pt x="-1371" y="136706"/>
                  <a:pt x="7096" y="144896"/>
                </a:cubicBezTo>
                <a:lnTo>
                  <a:pt x="20207" y="157860"/>
                </a:lnTo>
                <a:cubicBezTo>
                  <a:pt x="21584" y="155705"/>
                  <a:pt x="23026" y="153596"/>
                  <a:pt x="24553" y="151551"/>
                </a:cubicBezTo>
                <a:lnTo>
                  <a:pt x="12459" y="139593"/>
                </a:lnTo>
                <a:cubicBezTo>
                  <a:pt x="6730" y="134148"/>
                  <a:pt x="6051" y="125316"/>
                  <a:pt x="10884" y="119078"/>
                </a:cubicBezTo>
                <a:cubicBezTo>
                  <a:pt x="13575" y="115810"/>
                  <a:pt x="17549" y="113834"/>
                  <a:pt x="21807" y="113645"/>
                </a:cubicBezTo>
                <a:cubicBezTo>
                  <a:pt x="26188" y="113367"/>
                  <a:pt x="30496" y="114860"/>
                  <a:pt x="33744" y="117780"/>
                </a:cubicBezTo>
                <a:lnTo>
                  <a:pt x="34764" y="118875"/>
                </a:lnTo>
                <a:lnTo>
                  <a:pt x="46051" y="130036"/>
                </a:lnTo>
                <a:cubicBezTo>
                  <a:pt x="48097" y="128505"/>
                  <a:pt x="50209" y="127059"/>
                  <a:pt x="52366" y="125675"/>
                </a:cubicBezTo>
                <a:lnTo>
                  <a:pt x="12033" y="85793"/>
                </a:lnTo>
                <a:cubicBezTo>
                  <a:pt x="6157" y="79983"/>
                  <a:pt x="6157" y="70563"/>
                  <a:pt x="12033" y="64752"/>
                </a:cubicBezTo>
                <a:cubicBezTo>
                  <a:pt x="17909" y="58942"/>
                  <a:pt x="27437" y="58942"/>
                  <a:pt x="33313" y="64752"/>
                </a:cubicBezTo>
                <a:lnTo>
                  <a:pt x="33318" y="64756"/>
                </a:lnTo>
                <a:lnTo>
                  <a:pt x="81707" y="112602"/>
                </a:lnTo>
                <a:cubicBezTo>
                  <a:pt x="84564" y="111820"/>
                  <a:pt x="87466" y="111155"/>
                  <a:pt x="90414" y="110607"/>
                </a:cubicBezTo>
                <a:lnTo>
                  <a:pt x="22591" y="43543"/>
                </a:lnTo>
                <a:cubicBezTo>
                  <a:pt x="16717" y="37725"/>
                  <a:pt x="16726" y="28301"/>
                  <a:pt x="22610" y="22494"/>
                </a:cubicBezTo>
                <a:cubicBezTo>
                  <a:pt x="28487" y="16694"/>
                  <a:pt x="38003" y="16694"/>
                  <a:pt x="43879" y="22494"/>
                </a:cubicBezTo>
                <a:lnTo>
                  <a:pt x="133887" y="111492"/>
                </a:lnTo>
                <a:cubicBezTo>
                  <a:pt x="137294" y="112269"/>
                  <a:pt x="140636" y="113205"/>
                  <a:pt x="143912" y="114300"/>
                </a:cubicBezTo>
                <a:cubicBezTo>
                  <a:pt x="144594" y="112883"/>
                  <a:pt x="144303" y="111194"/>
                  <a:pt x="143185" y="110080"/>
                </a:cubicBezTo>
                <a:lnTo>
                  <a:pt x="66149" y="33909"/>
                </a:lnTo>
                <a:cubicBezTo>
                  <a:pt x="65985" y="33551"/>
                  <a:pt x="65764" y="33221"/>
                  <a:pt x="65494" y="32933"/>
                </a:cubicBezTo>
                <a:cubicBezTo>
                  <a:pt x="59618" y="27122"/>
                  <a:pt x="59618" y="17702"/>
                  <a:pt x="65494" y="11892"/>
                </a:cubicBezTo>
                <a:cubicBezTo>
                  <a:pt x="71370" y="6082"/>
                  <a:pt x="80897" y="6082"/>
                  <a:pt x="86773" y="11892"/>
                </a:cubicBezTo>
                <a:lnTo>
                  <a:pt x="191447" y="115392"/>
                </a:lnTo>
                <a:cubicBezTo>
                  <a:pt x="192927" y="116857"/>
                  <a:pt x="195328" y="116857"/>
                  <a:pt x="196810" y="115393"/>
                </a:cubicBezTo>
                <a:cubicBezTo>
                  <a:pt x="198040" y="114177"/>
                  <a:pt x="198276" y="112290"/>
                  <a:pt x="197382" y="110814"/>
                </a:cubicBezTo>
                <a:lnTo>
                  <a:pt x="161371" y="51322"/>
                </a:lnTo>
                <a:cubicBezTo>
                  <a:pt x="156981" y="44771"/>
                  <a:pt x="158267" y="36005"/>
                  <a:pt x="164360" y="30959"/>
                </a:cubicBezTo>
                <a:cubicBezTo>
                  <a:pt x="170903" y="25891"/>
                  <a:pt x="180362" y="27027"/>
                  <a:pt x="185487" y="33497"/>
                </a:cubicBezTo>
                <a:cubicBezTo>
                  <a:pt x="185793" y="33883"/>
                  <a:pt x="186079" y="34283"/>
                  <a:pt x="186345" y="34698"/>
                </a:cubicBezTo>
                <a:lnTo>
                  <a:pt x="242170" y="121826"/>
                </a:lnTo>
                <a:cubicBezTo>
                  <a:pt x="243900" y="124531"/>
                  <a:pt x="244618" y="127749"/>
                  <a:pt x="244200" y="130923"/>
                </a:cubicBezTo>
                <a:lnTo>
                  <a:pt x="237046" y="184934"/>
                </a:lnTo>
                <a:cubicBezTo>
                  <a:pt x="236894" y="186089"/>
                  <a:pt x="237293" y="187248"/>
                  <a:pt x="238125" y="188072"/>
                </a:cubicBezTo>
                <a:lnTo>
                  <a:pt x="280999" y="230466"/>
                </a:lnTo>
                <a:cubicBezTo>
                  <a:pt x="282480" y="231931"/>
                  <a:pt x="284881" y="231931"/>
                  <a:pt x="286362" y="230466"/>
                </a:cubicBezTo>
                <a:cubicBezTo>
                  <a:pt x="287842" y="229002"/>
                  <a:pt x="287842" y="226628"/>
                  <a:pt x="286362" y="22516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34" name="Freeform: Shape 233">
            <a:extLst>
              <a:ext uri="{FF2B5EF4-FFF2-40B4-BE49-F238E27FC236}">
                <a16:creationId xmlns:a16="http://schemas.microsoft.com/office/drawing/2014/main" id="{3CF77671-92AF-4002-A024-CC21CCF8FCF7}"/>
              </a:ext>
            </a:extLst>
          </xdr:cNvPr>
          <xdr:cNvSpPr/>
        </xdr:nvSpPr>
        <xdr:spPr>
          <a:xfrm>
            <a:off x="9414616" y="6355534"/>
            <a:ext cx="25392" cy="25390"/>
          </a:xfrm>
          <a:custGeom>
            <a:avLst/>
            <a:gdLst>
              <a:gd name="connsiteX0" fmla="*/ 5047 w 25392"/>
              <a:gd name="connsiteY0" fmla="*/ 0 h 25390"/>
              <a:gd name="connsiteX1" fmla="*/ 0 w 25392"/>
              <a:gd name="connsiteY1" fmla="*/ 5614 h 25390"/>
              <a:gd name="connsiteX2" fmla="*/ 18938 w 25392"/>
              <a:gd name="connsiteY2" fmla="*/ 24311 h 25390"/>
              <a:gd name="connsiteX3" fmla="*/ 24301 w 25392"/>
              <a:gd name="connsiteY3" fmla="*/ 24274 h 25390"/>
              <a:gd name="connsiteX4" fmla="*/ 24297 w 25392"/>
              <a:gd name="connsiteY4" fmla="*/ 19004 h 2539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5392" h="25390">
                <a:moveTo>
                  <a:pt x="5047" y="0"/>
                </a:moveTo>
                <a:cubicBezTo>
                  <a:pt x="3438" y="1936"/>
                  <a:pt x="1743" y="3797"/>
                  <a:pt x="0" y="5614"/>
                </a:cubicBezTo>
                <a:lnTo>
                  <a:pt x="18938" y="24311"/>
                </a:lnTo>
                <a:cubicBezTo>
                  <a:pt x="20429" y="25765"/>
                  <a:pt x="22830" y="25748"/>
                  <a:pt x="24301" y="24274"/>
                </a:cubicBezTo>
                <a:cubicBezTo>
                  <a:pt x="25758" y="22813"/>
                  <a:pt x="25757" y="20464"/>
                  <a:pt x="24297" y="1900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35" name="Freeform: Shape 234">
            <a:extLst>
              <a:ext uri="{FF2B5EF4-FFF2-40B4-BE49-F238E27FC236}">
                <a16:creationId xmlns:a16="http://schemas.microsoft.com/office/drawing/2014/main" id="{06A558FA-BE85-49EA-AD33-4D93D612B6BE}"/>
              </a:ext>
            </a:extLst>
          </xdr:cNvPr>
          <xdr:cNvSpPr/>
        </xdr:nvSpPr>
        <xdr:spPr>
          <a:xfrm>
            <a:off x="9239002" y="6191464"/>
            <a:ext cx="197211" cy="195000"/>
          </a:xfrm>
          <a:custGeom>
            <a:avLst/>
            <a:gdLst>
              <a:gd name="connsiteX0" fmla="*/ 98606 w 197211"/>
              <a:gd name="connsiteY0" fmla="*/ 0 h 195000"/>
              <a:gd name="connsiteX1" fmla="*/ 0 w 197211"/>
              <a:gd name="connsiteY1" fmla="*/ 97500 h 195000"/>
              <a:gd name="connsiteX2" fmla="*/ 98606 w 197211"/>
              <a:gd name="connsiteY2" fmla="*/ 195000 h 195000"/>
              <a:gd name="connsiteX3" fmla="*/ 197211 w 197211"/>
              <a:gd name="connsiteY3" fmla="*/ 97500 h 195000"/>
              <a:gd name="connsiteX4" fmla="*/ 98606 w 197211"/>
              <a:gd name="connsiteY4" fmla="*/ 0 h 195000"/>
              <a:gd name="connsiteX5" fmla="*/ 98606 w 197211"/>
              <a:gd name="connsiteY5" fmla="*/ 187500 h 195000"/>
              <a:gd name="connsiteX6" fmla="*/ 7585 w 197211"/>
              <a:gd name="connsiteY6" fmla="*/ 97500 h 195000"/>
              <a:gd name="connsiteX7" fmla="*/ 98606 w 197211"/>
              <a:gd name="connsiteY7" fmla="*/ 7500 h 195000"/>
              <a:gd name="connsiteX8" fmla="*/ 189626 w 197211"/>
              <a:gd name="connsiteY8" fmla="*/ 97500 h 195000"/>
              <a:gd name="connsiteX9" fmla="*/ 98606 w 197211"/>
              <a:gd name="connsiteY9" fmla="*/ 187500 h 19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197211" h="195000">
                <a:moveTo>
                  <a:pt x="98606" y="0"/>
                </a:moveTo>
                <a:cubicBezTo>
                  <a:pt x="44147" y="0"/>
                  <a:pt x="0" y="43652"/>
                  <a:pt x="0" y="97500"/>
                </a:cubicBezTo>
                <a:cubicBezTo>
                  <a:pt x="0" y="151348"/>
                  <a:pt x="44147" y="195000"/>
                  <a:pt x="98606" y="195000"/>
                </a:cubicBezTo>
                <a:cubicBezTo>
                  <a:pt x="153064" y="195000"/>
                  <a:pt x="197211" y="151348"/>
                  <a:pt x="197211" y="97500"/>
                </a:cubicBezTo>
                <a:cubicBezTo>
                  <a:pt x="197150" y="43677"/>
                  <a:pt x="153038" y="61"/>
                  <a:pt x="98606" y="0"/>
                </a:cubicBezTo>
                <a:close/>
                <a:moveTo>
                  <a:pt x="98606" y="187500"/>
                </a:moveTo>
                <a:cubicBezTo>
                  <a:pt x="48336" y="187500"/>
                  <a:pt x="7585" y="147206"/>
                  <a:pt x="7585" y="97500"/>
                </a:cubicBezTo>
                <a:cubicBezTo>
                  <a:pt x="7585" y="47795"/>
                  <a:pt x="48336" y="7500"/>
                  <a:pt x="98606" y="7500"/>
                </a:cubicBezTo>
                <a:cubicBezTo>
                  <a:pt x="148875" y="7500"/>
                  <a:pt x="189626" y="47795"/>
                  <a:pt x="189626" y="97500"/>
                </a:cubicBezTo>
                <a:cubicBezTo>
                  <a:pt x="189569" y="147182"/>
                  <a:pt x="148851" y="187443"/>
                  <a:pt x="98606" y="18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36" name="Freeform: Shape 235">
            <a:extLst>
              <a:ext uri="{FF2B5EF4-FFF2-40B4-BE49-F238E27FC236}">
                <a16:creationId xmlns:a16="http://schemas.microsoft.com/office/drawing/2014/main" id="{0E6B8287-075B-43A4-9D92-9AD0688BDF9A}"/>
              </a:ext>
            </a:extLst>
          </xdr:cNvPr>
          <xdr:cNvSpPr/>
        </xdr:nvSpPr>
        <xdr:spPr>
          <a:xfrm>
            <a:off x="9335150" y="6217049"/>
            <a:ext cx="40380" cy="39927"/>
          </a:xfrm>
          <a:custGeom>
            <a:avLst/>
            <a:gdLst>
              <a:gd name="connsiteX0" fmla="*/ 20192 w 40380"/>
              <a:gd name="connsiteY0" fmla="*/ 39928 h 39927"/>
              <a:gd name="connsiteX1" fmla="*/ 40380 w 40380"/>
              <a:gd name="connsiteY1" fmla="*/ 19962 h 39927"/>
              <a:gd name="connsiteX2" fmla="*/ 20188 w 40380"/>
              <a:gd name="connsiteY2" fmla="*/ 0 h 39927"/>
              <a:gd name="connsiteX3" fmla="*/ 0 w 40380"/>
              <a:gd name="connsiteY3" fmla="*/ 19966 h 39927"/>
              <a:gd name="connsiteX4" fmla="*/ 20192 w 40380"/>
              <a:gd name="connsiteY4" fmla="*/ 39928 h 39927"/>
              <a:gd name="connsiteX5" fmla="*/ 20192 w 40380"/>
              <a:gd name="connsiteY5" fmla="*/ 7500 h 39927"/>
              <a:gd name="connsiteX6" fmla="*/ 32795 w 40380"/>
              <a:gd name="connsiteY6" fmla="*/ 19966 h 39927"/>
              <a:gd name="connsiteX7" fmla="*/ 20188 w 40380"/>
              <a:gd name="connsiteY7" fmla="*/ 32428 h 39927"/>
              <a:gd name="connsiteX8" fmla="*/ 7585 w 40380"/>
              <a:gd name="connsiteY8" fmla="*/ 19966 h 39927"/>
              <a:gd name="connsiteX9" fmla="*/ 20192 w 40380"/>
              <a:gd name="connsiteY9" fmla="*/ 7500 h 399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40380" h="39927">
                <a:moveTo>
                  <a:pt x="20192" y="39928"/>
                </a:moveTo>
                <a:cubicBezTo>
                  <a:pt x="31343" y="39927"/>
                  <a:pt x="40382" y="30988"/>
                  <a:pt x="40380" y="19962"/>
                </a:cubicBezTo>
                <a:cubicBezTo>
                  <a:pt x="40380" y="8936"/>
                  <a:pt x="31339" y="-1"/>
                  <a:pt x="20188" y="0"/>
                </a:cubicBezTo>
                <a:cubicBezTo>
                  <a:pt x="9038" y="1"/>
                  <a:pt x="-1" y="8940"/>
                  <a:pt x="0" y="19966"/>
                </a:cubicBezTo>
                <a:cubicBezTo>
                  <a:pt x="13" y="30987"/>
                  <a:pt x="9046" y="39918"/>
                  <a:pt x="20192" y="39928"/>
                </a:cubicBezTo>
                <a:close/>
                <a:moveTo>
                  <a:pt x="20192" y="7500"/>
                </a:moveTo>
                <a:cubicBezTo>
                  <a:pt x="27154" y="7501"/>
                  <a:pt x="32797" y="13082"/>
                  <a:pt x="32795" y="19966"/>
                </a:cubicBezTo>
                <a:cubicBezTo>
                  <a:pt x="32795" y="26850"/>
                  <a:pt x="27150" y="32429"/>
                  <a:pt x="20188" y="32428"/>
                </a:cubicBezTo>
                <a:cubicBezTo>
                  <a:pt x="13228" y="32427"/>
                  <a:pt x="7586" y="26848"/>
                  <a:pt x="7585" y="19966"/>
                </a:cubicBezTo>
                <a:cubicBezTo>
                  <a:pt x="7593" y="13084"/>
                  <a:pt x="13232" y="7507"/>
                  <a:pt x="20192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37" name="Freeform: Shape 236">
            <a:extLst>
              <a:ext uri="{FF2B5EF4-FFF2-40B4-BE49-F238E27FC236}">
                <a16:creationId xmlns:a16="http://schemas.microsoft.com/office/drawing/2014/main" id="{76426969-6D69-4DEE-85E5-379585EE23E8}"/>
              </a:ext>
            </a:extLst>
          </xdr:cNvPr>
          <xdr:cNvSpPr/>
        </xdr:nvSpPr>
        <xdr:spPr>
          <a:xfrm>
            <a:off x="9332587" y="6269549"/>
            <a:ext cx="23984" cy="23715"/>
          </a:xfrm>
          <a:custGeom>
            <a:avLst/>
            <a:gdLst>
              <a:gd name="connsiteX0" fmla="*/ 11990 w 23984"/>
              <a:gd name="connsiteY0" fmla="*/ 23716 h 23715"/>
              <a:gd name="connsiteX1" fmla="*/ 23985 w 23984"/>
              <a:gd name="connsiteY1" fmla="*/ 11860 h 23715"/>
              <a:gd name="connsiteX2" fmla="*/ 11994 w 23984"/>
              <a:gd name="connsiteY2" fmla="*/ 0 h 23715"/>
              <a:gd name="connsiteX3" fmla="*/ 0 w 23984"/>
              <a:gd name="connsiteY3" fmla="*/ 11856 h 23715"/>
              <a:gd name="connsiteX4" fmla="*/ 0 w 23984"/>
              <a:gd name="connsiteY4" fmla="*/ 11858 h 23715"/>
              <a:gd name="connsiteX5" fmla="*/ 11990 w 23984"/>
              <a:gd name="connsiteY5" fmla="*/ 23716 h 23715"/>
              <a:gd name="connsiteX6" fmla="*/ 11990 w 23984"/>
              <a:gd name="connsiteY6" fmla="*/ 7500 h 23715"/>
              <a:gd name="connsiteX7" fmla="*/ 16400 w 23984"/>
              <a:gd name="connsiteY7" fmla="*/ 11856 h 23715"/>
              <a:gd name="connsiteX8" fmla="*/ 11994 w 23984"/>
              <a:gd name="connsiteY8" fmla="*/ 16216 h 23715"/>
              <a:gd name="connsiteX9" fmla="*/ 7585 w 23984"/>
              <a:gd name="connsiteY9" fmla="*/ 11860 h 23715"/>
              <a:gd name="connsiteX10" fmla="*/ 7585 w 23984"/>
              <a:gd name="connsiteY10" fmla="*/ 11858 h 23715"/>
              <a:gd name="connsiteX11" fmla="*/ 11990 w 23984"/>
              <a:gd name="connsiteY11" fmla="*/ 7500 h 2371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23984" h="23715">
                <a:moveTo>
                  <a:pt x="11990" y="23716"/>
                </a:moveTo>
                <a:cubicBezTo>
                  <a:pt x="18614" y="23717"/>
                  <a:pt x="23984" y="18409"/>
                  <a:pt x="23985" y="11860"/>
                </a:cubicBezTo>
                <a:cubicBezTo>
                  <a:pt x="23986" y="5311"/>
                  <a:pt x="18617" y="1"/>
                  <a:pt x="11994" y="0"/>
                </a:cubicBezTo>
                <a:cubicBezTo>
                  <a:pt x="5371" y="-1"/>
                  <a:pt x="1" y="5307"/>
                  <a:pt x="0" y="11856"/>
                </a:cubicBezTo>
                <a:cubicBezTo>
                  <a:pt x="0" y="11857"/>
                  <a:pt x="0" y="11857"/>
                  <a:pt x="0" y="11858"/>
                </a:cubicBezTo>
                <a:cubicBezTo>
                  <a:pt x="8" y="18403"/>
                  <a:pt x="5371" y="23707"/>
                  <a:pt x="11990" y="23716"/>
                </a:cubicBezTo>
                <a:close/>
                <a:moveTo>
                  <a:pt x="11990" y="7500"/>
                </a:moveTo>
                <a:cubicBezTo>
                  <a:pt x="14424" y="7499"/>
                  <a:pt x="16398" y="9449"/>
                  <a:pt x="16400" y="11856"/>
                </a:cubicBezTo>
                <a:cubicBezTo>
                  <a:pt x="16401" y="14263"/>
                  <a:pt x="14428" y="16215"/>
                  <a:pt x="11994" y="16216"/>
                </a:cubicBezTo>
                <a:cubicBezTo>
                  <a:pt x="9560" y="16217"/>
                  <a:pt x="7586" y="14267"/>
                  <a:pt x="7585" y="11860"/>
                </a:cubicBezTo>
                <a:cubicBezTo>
                  <a:pt x="7585" y="11859"/>
                  <a:pt x="7585" y="11859"/>
                  <a:pt x="7585" y="11858"/>
                </a:cubicBezTo>
                <a:cubicBezTo>
                  <a:pt x="7588" y="9453"/>
                  <a:pt x="9558" y="7504"/>
                  <a:pt x="11990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38" name="Freeform: Shape 237">
            <a:extLst>
              <a:ext uri="{FF2B5EF4-FFF2-40B4-BE49-F238E27FC236}">
                <a16:creationId xmlns:a16="http://schemas.microsoft.com/office/drawing/2014/main" id="{C7F2E7F9-1108-4CA7-AE26-02EC1DEBC992}"/>
              </a:ext>
            </a:extLst>
          </xdr:cNvPr>
          <xdr:cNvSpPr/>
        </xdr:nvSpPr>
        <xdr:spPr>
          <a:xfrm>
            <a:off x="9378395" y="6265859"/>
            <a:ext cx="31263" cy="37429"/>
          </a:xfrm>
          <a:custGeom>
            <a:avLst/>
            <a:gdLst>
              <a:gd name="connsiteX0" fmla="*/ 18352 w 31263"/>
              <a:gd name="connsiteY0" fmla="*/ 1438 h 37429"/>
              <a:gd name="connsiteX1" fmla="*/ 7182 w 31263"/>
              <a:gd name="connsiteY1" fmla="*/ 1163 h 37429"/>
              <a:gd name="connsiteX2" fmla="*/ 1188 w 31263"/>
              <a:gd name="connsiteY2" fmla="*/ 17590 h 37429"/>
              <a:gd name="connsiteX3" fmla="*/ 6225 w 31263"/>
              <a:gd name="connsiteY3" fmla="*/ 23022 h 37429"/>
              <a:gd name="connsiteX4" fmla="*/ 16463 w 31263"/>
              <a:gd name="connsiteY4" fmla="*/ 37256 h 37429"/>
              <a:gd name="connsiteX5" fmla="*/ 30771 w 31263"/>
              <a:gd name="connsiteY5" fmla="*/ 27589 h 37429"/>
              <a:gd name="connsiteX6" fmla="*/ 18352 w 31263"/>
              <a:gd name="connsiteY6" fmla="*/ 1438 h 37429"/>
              <a:gd name="connsiteX7" fmla="*/ 23345 w 31263"/>
              <a:gd name="connsiteY7" fmla="*/ 26065 h 37429"/>
              <a:gd name="connsiteX8" fmla="*/ 20624 w 31263"/>
              <a:gd name="connsiteY8" fmla="*/ 29467 h 37429"/>
              <a:gd name="connsiteX9" fmla="*/ 14101 w 31263"/>
              <a:gd name="connsiteY9" fmla="*/ 27144 h 37429"/>
              <a:gd name="connsiteX10" fmla="*/ 13738 w 31263"/>
              <a:gd name="connsiteY10" fmla="*/ 24095 h 37429"/>
              <a:gd name="connsiteX11" fmla="*/ 10189 w 31263"/>
              <a:gd name="connsiteY11" fmla="*/ 16624 h 37429"/>
              <a:gd name="connsiteX12" fmla="*/ 8163 w 31263"/>
              <a:gd name="connsiteY12" fmla="*/ 10064 h 37429"/>
              <a:gd name="connsiteX13" fmla="*/ 10406 w 31263"/>
              <a:gd name="connsiteY13" fmla="*/ 7952 h 37429"/>
              <a:gd name="connsiteX14" fmla="*/ 14793 w 31263"/>
              <a:gd name="connsiteY14" fmla="*/ 8059 h 37429"/>
              <a:gd name="connsiteX15" fmla="*/ 23345 w 31263"/>
              <a:gd name="connsiteY15" fmla="*/ 26065 h 3742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31263" h="37429">
                <a:moveTo>
                  <a:pt x="18352" y="1438"/>
                </a:moveTo>
                <a:cubicBezTo>
                  <a:pt x="14878" y="-377"/>
                  <a:pt x="10744" y="-479"/>
                  <a:pt x="7182" y="1163"/>
                </a:cubicBezTo>
                <a:cubicBezTo>
                  <a:pt x="939" y="4063"/>
                  <a:pt x="-1745" y="11417"/>
                  <a:pt x="1188" y="17590"/>
                </a:cubicBezTo>
                <a:cubicBezTo>
                  <a:pt x="2269" y="19866"/>
                  <a:pt x="4026" y="21761"/>
                  <a:pt x="6225" y="23022"/>
                </a:cubicBezTo>
                <a:cubicBezTo>
                  <a:pt x="5077" y="29748"/>
                  <a:pt x="9660" y="36121"/>
                  <a:pt x="16463" y="37256"/>
                </a:cubicBezTo>
                <a:cubicBezTo>
                  <a:pt x="23085" y="38361"/>
                  <a:pt x="29405" y="34090"/>
                  <a:pt x="30771" y="27589"/>
                </a:cubicBezTo>
                <a:cubicBezTo>
                  <a:pt x="32924" y="17117"/>
                  <a:pt x="27877" y="6488"/>
                  <a:pt x="18352" y="1438"/>
                </a:cubicBezTo>
                <a:close/>
                <a:moveTo>
                  <a:pt x="23345" y="26065"/>
                </a:moveTo>
                <a:cubicBezTo>
                  <a:pt x="23027" y="27558"/>
                  <a:pt x="22020" y="28818"/>
                  <a:pt x="20624" y="29467"/>
                </a:cubicBezTo>
                <a:cubicBezTo>
                  <a:pt x="18174" y="30607"/>
                  <a:pt x="15254" y="29566"/>
                  <a:pt x="14101" y="27144"/>
                </a:cubicBezTo>
                <a:cubicBezTo>
                  <a:pt x="13649" y="26193"/>
                  <a:pt x="13522" y="25123"/>
                  <a:pt x="13738" y="24095"/>
                </a:cubicBezTo>
                <a:cubicBezTo>
                  <a:pt x="14357" y="21103"/>
                  <a:pt x="12914" y="18064"/>
                  <a:pt x="10189" y="16624"/>
                </a:cubicBezTo>
                <a:cubicBezTo>
                  <a:pt x="7798" y="15366"/>
                  <a:pt x="6890" y="12429"/>
                  <a:pt x="8163" y="10064"/>
                </a:cubicBezTo>
                <a:cubicBezTo>
                  <a:pt x="8661" y="9139"/>
                  <a:pt x="9448" y="8398"/>
                  <a:pt x="10406" y="7952"/>
                </a:cubicBezTo>
                <a:cubicBezTo>
                  <a:pt x="11806" y="7314"/>
                  <a:pt x="13427" y="7353"/>
                  <a:pt x="14793" y="8059"/>
                </a:cubicBezTo>
                <a:cubicBezTo>
                  <a:pt x="21350" y="11537"/>
                  <a:pt x="24826" y="18855"/>
                  <a:pt x="23345" y="2606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39" name="Freeform: Shape 238">
            <a:extLst>
              <a:ext uri="{FF2B5EF4-FFF2-40B4-BE49-F238E27FC236}">
                <a16:creationId xmlns:a16="http://schemas.microsoft.com/office/drawing/2014/main" id="{79EC7F34-EE69-4D82-8368-96ADF84AD225}"/>
              </a:ext>
            </a:extLst>
          </xdr:cNvPr>
          <xdr:cNvSpPr/>
        </xdr:nvSpPr>
        <xdr:spPr>
          <a:xfrm>
            <a:off x="9284492" y="6296754"/>
            <a:ext cx="95074" cy="70294"/>
          </a:xfrm>
          <a:custGeom>
            <a:avLst/>
            <a:gdLst>
              <a:gd name="connsiteX0" fmla="*/ 83517 w 95074"/>
              <a:gd name="connsiteY0" fmla="*/ 28385 h 70294"/>
              <a:gd name="connsiteX1" fmla="*/ 81458 w 95074"/>
              <a:gd name="connsiteY1" fmla="*/ 24374 h 70294"/>
              <a:gd name="connsiteX2" fmla="*/ 87628 w 95074"/>
              <a:gd name="connsiteY2" fmla="*/ 19497 h 70294"/>
              <a:gd name="connsiteX3" fmla="*/ 89816 w 95074"/>
              <a:gd name="connsiteY3" fmla="*/ 14654 h 70294"/>
              <a:gd name="connsiteX4" fmla="*/ 84918 w 95074"/>
              <a:gd name="connsiteY4" fmla="*/ 12491 h 70294"/>
              <a:gd name="connsiteX5" fmla="*/ 76120 w 95074"/>
              <a:gd name="connsiteY5" fmla="*/ 19081 h 70294"/>
              <a:gd name="connsiteX6" fmla="*/ 72598 w 95074"/>
              <a:gd name="connsiteY6" fmla="*/ 17108 h 70294"/>
              <a:gd name="connsiteX7" fmla="*/ 72449 w 95074"/>
              <a:gd name="connsiteY7" fmla="*/ 15930 h 70294"/>
              <a:gd name="connsiteX8" fmla="*/ 73238 w 95074"/>
              <a:gd name="connsiteY8" fmla="*/ 12824 h 70294"/>
              <a:gd name="connsiteX9" fmla="*/ 72421 w 95074"/>
              <a:gd name="connsiteY9" fmla="*/ 7577 h 70294"/>
              <a:gd name="connsiteX10" fmla="*/ 67279 w 95074"/>
              <a:gd name="connsiteY10" fmla="*/ 8179 h 70294"/>
              <a:gd name="connsiteX11" fmla="*/ 64882 w 95074"/>
              <a:gd name="connsiteY11" fmla="*/ 15574 h 70294"/>
              <a:gd name="connsiteX12" fmla="*/ 56765 w 95074"/>
              <a:gd name="connsiteY12" fmla="*/ 18165 h 70294"/>
              <a:gd name="connsiteX13" fmla="*/ 56538 w 95074"/>
              <a:gd name="connsiteY13" fmla="*/ 18284 h 70294"/>
              <a:gd name="connsiteX14" fmla="*/ 56945 w 95074"/>
              <a:gd name="connsiteY14" fmla="*/ 12972 h 70294"/>
              <a:gd name="connsiteX15" fmla="*/ 49980 w 95074"/>
              <a:gd name="connsiteY15" fmla="*/ 9999 h 70294"/>
              <a:gd name="connsiteX16" fmla="*/ 48813 w 95074"/>
              <a:gd name="connsiteY16" fmla="*/ 16976 h 70294"/>
              <a:gd name="connsiteX17" fmla="*/ 46064 w 95074"/>
              <a:gd name="connsiteY17" fmla="*/ 15016 h 70294"/>
              <a:gd name="connsiteX18" fmla="*/ 46061 w 95074"/>
              <a:gd name="connsiteY18" fmla="*/ 15013 h 70294"/>
              <a:gd name="connsiteX19" fmla="*/ 39686 w 95074"/>
              <a:gd name="connsiteY19" fmla="*/ 11428 h 70294"/>
              <a:gd name="connsiteX20" fmla="*/ 39732 w 95074"/>
              <a:gd name="connsiteY20" fmla="*/ 10900 h 70294"/>
              <a:gd name="connsiteX21" fmla="*/ 41405 w 95074"/>
              <a:gd name="connsiteY21" fmla="*/ 6043 h 70294"/>
              <a:gd name="connsiteX22" fmla="*/ 40774 w 95074"/>
              <a:gd name="connsiteY22" fmla="*/ 776 h 70294"/>
              <a:gd name="connsiteX23" fmla="*/ 35447 w 95074"/>
              <a:gd name="connsiteY23" fmla="*/ 1399 h 70294"/>
              <a:gd name="connsiteX24" fmla="*/ 32165 w 95074"/>
              <a:gd name="connsiteY24" fmla="*/ 10177 h 70294"/>
              <a:gd name="connsiteX25" fmla="*/ 28114 w 95074"/>
              <a:gd name="connsiteY25" fmla="*/ 10613 h 70294"/>
              <a:gd name="connsiteX26" fmla="*/ 26659 w 95074"/>
              <a:gd name="connsiteY26" fmla="*/ 5194 h 70294"/>
              <a:gd name="connsiteX27" fmla="*/ 23413 w 95074"/>
              <a:gd name="connsiteY27" fmla="*/ 974 h 70294"/>
              <a:gd name="connsiteX28" fmla="*/ 19154 w 95074"/>
              <a:gd name="connsiteY28" fmla="*/ 4125 h 70294"/>
              <a:gd name="connsiteX29" fmla="*/ 21050 w 95074"/>
              <a:gd name="connsiteY29" fmla="*/ 13388 h 70294"/>
              <a:gd name="connsiteX30" fmla="*/ 19812 w 95074"/>
              <a:gd name="connsiteY30" fmla="*/ 14116 h 70294"/>
              <a:gd name="connsiteX31" fmla="*/ 16761 w 95074"/>
              <a:gd name="connsiteY31" fmla="*/ 16724 h 70294"/>
              <a:gd name="connsiteX32" fmla="*/ 12906 w 95074"/>
              <a:gd name="connsiteY32" fmla="*/ 11948 h 70294"/>
              <a:gd name="connsiteX33" fmla="*/ 7603 w 95074"/>
              <a:gd name="connsiteY33" fmla="*/ 11149 h 70294"/>
              <a:gd name="connsiteX34" fmla="*/ 6795 w 95074"/>
              <a:gd name="connsiteY34" fmla="*/ 16392 h 70294"/>
              <a:gd name="connsiteX35" fmla="*/ 12549 w 95074"/>
              <a:gd name="connsiteY35" fmla="*/ 23017 h 70294"/>
              <a:gd name="connsiteX36" fmla="*/ 11038 w 95074"/>
              <a:gd name="connsiteY36" fmla="*/ 29203 h 70294"/>
              <a:gd name="connsiteX37" fmla="*/ 5289 w 95074"/>
              <a:gd name="connsiteY37" fmla="*/ 28694 h 70294"/>
              <a:gd name="connsiteX38" fmla="*/ 303 w 95074"/>
              <a:gd name="connsiteY38" fmla="*/ 30650 h 70294"/>
              <a:gd name="connsiteX39" fmla="*/ 2282 w 95074"/>
              <a:gd name="connsiteY39" fmla="*/ 35581 h 70294"/>
              <a:gd name="connsiteX40" fmla="*/ 11864 w 95074"/>
              <a:gd name="connsiteY40" fmla="*/ 36698 h 70294"/>
              <a:gd name="connsiteX41" fmla="*/ 12251 w 95074"/>
              <a:gd name="connsiteY41" fmla="*/ 38083 h 70294"/>
              <a:gd name="connsiteX42" fmla="*/ 12550 w 95074"/>
              <a:gd name="connsiteY42" fmla="*/ 38874 h 70294"/>
              <a:gd name="connsiteX43" fmla="*/ 16517 w 95074"/>
              <a:gd name="connsiteY43" fmla="*/ 46131 h 70294"/>
              <a:gd name="connsiteX44" fmla="*/ 12958 w 95074"/>
              <a:gd name="connsiteY44" fmla="*/ 48009 h 70294"/>
              <a:gd name="connsiteX45" fmla="*/ 15668 w 95074"/>
              <a:gd name="connsiteY45" fmla="*/ 55016 h 70294"/>
              <a:gd name="connsiteX46" fmla="*/ 21624 w 95074"/>
              <a:gd name="connsiteY46" fmla="*/ 51666 h 70294"/>
              <a:gd name="connsiteX47" fmla="*/ 29637 w 95074"/>
              <a:gd name="connsiteY47" fmla="*/ 56903 h 70294"/>
              <a:gd name="connsiteX48" fmla="*/ 25833 w 95074"/>
              <a:gd name="connsiteY48" fmla="*/ 60620 h 70294"/>
              <a:gd name="connsiteX49" fmla="*/ 25211 w 95074"/>
              <a:gd name="connsiteY49" fmla="*/ 65891 h 70294"/>
              <a:gd name="connsiteX50" fmla="*/ 30328 w 95074"/>
              <a:gd name="connsiteY50" fmla="*/ 66661 h 70294"/>
              <a:gd name="connsiteX51" fmla="*/ 37038 w 95074"/>
              <a:gd name="connsiteY51" fmla="*/ 59511 h 70294"/>
              <a:gd name="connsiteX52" fmla="*/ 39527 w 95074"/>
              <a:gd name="connsiteY52" fmla="*/ 60122 h 70294"/>
              <a:gd name="connsiteX53" fmla="*/ 46998 w 95074"/>
              <a:gd name="connsiteY53" fmla="*/ 60825 h 70294"/>
              <a:gd name="connsiteX54" fmla="*/ 45301 w 95074"/>
              <a:gd name="connsiteY54" fmla="*/ 64325 h 70294"/>
              <a:gd name="connsiteX55" fmla="*/ 51260 w 95074"/>
              <a:gd name="connsiteY55" fmla="*/ 68970 h 70294"/>
              <a:gd name="connsiteX56" fmla="*/ 54624 w 95074"/>
              <a:gd name="connsiteY56" fmla="*/ 60356 h 70294"/>
              <a:gd name="connsiteX57" fmla="*/ 61909 w 95074"/>
              <a:gd name="connsiteY57" fmla="*/ 58743 h 70294"/>
              <a:gd name="connsiteX58" fmla="*/ 63144 w 95074"/>
              <a:gd name="connsiteY58" fmla="*/ 65053 h 70294"/>
              <a:gd name="connsiteX59" fmla="*/ 67314 w 95074"/>
              <a:gd name="connsiteY59" fmla="*/ 68389 h 70294"/>
              <a:gd name="connsiteX60" fmla="*/ 70688 w 95074"/>
              <a:gd name="connsiteY60" fmla="*/ 64265 h 70294"/>
              <a:gd name="connsiteX61" fmla="*/ 68876 w 95074"/>
              <a:gd name="connsiteY61" fmla="*/ 55828 h 70294"/>
              <a:gd name="connsiteX62" fmla="*/ 73656 w 95074"/>
              <a:gd name="connsiteY62" fmla="*/ 52933 h 70294"/>
              <a:gd name="connsiteX63" fmla="*/ 75594 w 95074"/>
              <a:gd name="connsiteY63" fmla="*/ 51379 h 70294"/>
              <a:gd name="connsiteX64" fmla="*/ 76485 w 95074"/>
              <a:gd name="connsiteY64" fmla="*/ 55283 h 70294"/>
              <a:gd name="connsiteX65" fmla="*/ 80772 w 95074"/>
              <a:gd name="connsiteY65" fmla="*/ 58477 h 70294"/>
              <a:gd name="connsiteX66" fmla="*/ 84029 w 95074"/>
              <a:gd name="connsiteY66" fmla="*/ 54494 h 70294"/>
              <a:gd name="connsiteX67" fmla="*/ 81076 w 95074"/>
              <a:gd name="connsiteY67" fmla="*/ 45367 h 70294"/>
              <a:gd name="connsiteX68" fmla="*/ 84568 w 95074"/>
              <a:gd name="connsiteY68" fmla="*/ 35963 h 70294"/>
              <a:gd name="connsiteX69" fmla="*/ 87763 w 95074"/>
              <a:gd name="connsiteY69" fmla="*/ 39390 h 70294"/>
              <a:gd name="connsiteX70" fmla="*/ 92661 w 95074"/>
              <a:gd name="connsiteY70" fmla="*/ 41553 h 70294"/>
              <a:gd name="connsiteX71" fmla="*/ 94850 w 95074"/>
              <a:gd name="connsiteY71" fmla="*/ 36711 h 70294"/>
              <a:gd name="connsiteX72" fmla="*/ 83517 w 95074"/>
              <a:gd name="connsiteY72" fmla="*/ 28385 h 70294"/>
              <a:gd name="connsiteX73" fmla="*/ 72862 w 95074"/>
              <a:gd name="connsiteY73" fmla="*/ 43622 h 70294"/>
              <a:gd name="connsiteX74" fmla="*/ 40935 w 95074"/>
              <a:gd name="connsiteY74" fmla="*/ 52752 h 70294"/>
              <a:gd name="connsiteX75" fmla="*/ 19627 w 95074"/>
              <a:gd name="connsiteY75" fmla="*/ 36177 h 70294"/>
              <a:gd name="connsiteX76" fmla="*/ 19383 w 95074"/>
              <a:gd name="connsiteY76" fmla="*/ 35532 h 70294"/>
              <a:gd name="connsiteX77" fmla="*/ 24007 w 95074"/>
              <a:gd name="connsiteY77" fmla="*/ 20370 h 70294"/>
              <a:gd name="connsiteX78" fmla="*/ 24200 w 95074"/>
              <a:gd name="connsiteY78" fmla="*/ 20230 h 70294"/>
              <a:gd name="connsiteX79" fmla="*/ 41273 w 95074"/>
              <a:gd name="connsiteY79" fmla="*/ 20832 h 70294"/>
              <a:gd name="connsiteX80" fmla="*/ 61126 w 95074"/>
              <a:gd name="connsiteY80" fmla="*/ 24304 h 70294"/>
              <a:gd name="connsiteX81" fmla="*/ 74219 w 95074"/>
              <a:gd name="connsiteY81" fmla="*/ 27319 h 70294"/>
              <a:gd name="connsiteX82" fmla="*/ 72862 w 95074"/>
              <a:gd name="connsiteY82" fmla="*/ 43622 h 7029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95074" h="70294">
                <a:moveTo>
                  <a:pt x="83517" y="28385"/>
                </a:moveTo>
                <a:cubicBezTo>
                  <a:pt x="82994" y="26972"/>
                  <a:pt x="82303" y="25626"/>
                  <a:pt x="81458" y="24374"/>
                </a:cubicBezTo>
                <a:cubicBezTo>
                  <a:pt x="83190" y="22383"/>
                  <a:pt x="85282" y="20729"/>
                  <a:pt x="87628" y="19497"/>
                </a:cubicBezTo>
                <a:cubicBezTo>
                  <a:pt x="89538" y="18710"/>
                  <a:pt x="90498" y="16587"/>
                  <a:pt x="89816" y="14654"/>
                </a:cubicBezTo>
                <a:cubicBezTo>
                  <a:pt x="89056" y="12730"/>
                  <a:pt x="86874" y="11767"/>
                  <a:pt x="84918" y="12491"/>
                </a:cubicBezTo>
                <a:cubicBezTo>
                  <a:pt x="81617" y="14160"/>
                  <a:pt x="78638" y="16391"/>
                  <a:pt x="76120" y="19081"/>
                </a:cubicBezTo>
                <a:cubicBezTo>
                  <a:pt x="75016" y="18308"/>
                  <a:pt x="73836" y="17647"/>
                  <a:pt x="72598" y="17108"/>
                </a:cubicBezTo>
                <a:cubicBezTo>
                  <a:pt x="72599" y="16710"/>
                  <a:pt x="72549" y="16314"/>
                  <a:pt x="72449" y="15930"/>
                </a:cubicBezTo>
                <a:cubicBezTo>
                  <a:pt x="72177" y="14829"/>
                  <a:pt x="72472" y="13667"/>
                  <a:pt x="73238" y="12824"/>
                </a:cubicBezTo>
                <a:cubicBezTo>
                  <a:pt x="74477" y="11152"/>
                  <a:pt x="74112" y="8803"/>
                  <a:pt x="72421" y="7577"/>
                </a:cubicBezTo>
                <a:cubicBezTo>
                  <a:pt x="70814" y="6411"/>
                  <a:pt x="68567" y="6674"/>
                  <a:pt x="67279" y="8179"/>
                </a:cubicBezTo>
                <a:cubicBezTo>
                  <a:pt x="65591" y="10271"/>
                  <a:pt x="64738" y="12902"/>
                  <a:pt x="64882" y="15574"/>
                </a:cubicBezTo>
                <a:cubicBezTo>
                  <a:pt x="61978" y="15635"/>
                  <a:pt x="59156" y="16536"/>
                  <a:pt x="56765" y="18165"/>
                </a:cubicBezTo>
                <a:cubicBezTo>
                  <a:pt x="56694" y="18215"/>
                  <a:pt x="56611" y="18239"/>
                  <a:pt x="56538" y="18284"/>
                </a:cubicBezTo>
                <a:cubicBezTo>
                  <a:pt x="56217" y="16508"/>
                  <a:pt x="56357" y="14681"/>
                  <a:pt x="56945" y="12972"/>
                </a:cubicBezTo>
                <a:cubicBezTo>
                  <a:pt x="58575" y="8450"/>
                  <a:pt x="51625" y="5435"/>
                  <a:pt x="49980" y="9999"/>
                </a:cubicBezTo>
                <a:cubicBezTo>
                  <a:pt x="49158" y="12233"/>
                  <a:pt x="48763" y="14599"/>
                  <a:pt x="48813" y="16976"/>
                </a:cubicBezTo>
                <a:cubicBezTo>
                  <a:pt x="47857" y="16378"/>
                  <a:pt x="46939" y="15723"/>
                  <a:pt x="46064" y="15016"/>
                </a:cubicBezTo>
                <a:lnTo>
                  <a:pt x="46061" y="15013"/>
                </a:lnTo>
                <a:cubicBezTo>
                  <a:pt x="44153" y="13476"/>
                  <a:pt x="41998" y="12264"/>
                  <a:pt x="39686" y="11428"/>
                </a:cubicBezTo>
                <a:cubicBezTo>
                  <a:pt x="39715" y="11253"/>
                  <a:pt x="39730" y="11077"/>
                  <a:pt x="39732" y="10900"/>
                </a:cubicBezTo>
                <a:cubicBezTo>
                  <a:pt x="39485" y="9111"/>
                  <a:pt x="40105" y="7312"/>
                  <a:pt x="41405" y="6043"/>
                </a:cubicBezTo>
                <a:cubicBezTo>
                  <a:pt x="42681" y="4411"/>
                  <a:pt x="42401" y="2069"/>
                  <a:pt x="40774" y="776"/>
                </a:cubicBezTo>
                <a:cubicBezTo>
                  <a:pt x="39118" y="-465"/>
                  <a:pt x="36765" y="-189"/>
                  <a:pt x="35447" y="1399"/>
                </a:cubicBezTo>
                <a:cubicBezTo>
                  <a:pt x="33274" y="3812"/>
                  <a:pt x="32102" y="6947"/>
                  <a:pt x="32165" y="10177"/>
                </a:cubicBezTo>
                <a:cubicBezTo>
                  <a:pt x="30804" y="10193"/>
                  <a:pt x="29447" y="10339"/>
                  <a:pt x="28114" y="10613"/>
                </a:cubicBezTo>
                <a:cubicBezTo>
                  <a:pt x="27120" y="8979"/>
                  <a:pt x="26616" y="7100"/>
                  <a:pt x="26659" y="5194"/>
                </a:cubicBezTo>
                <a:cubicBezTo>
                  <a:pt x="26941" y="3142"/>
                  <a:pt x="25488" y="1253"/>
                  <a:pt x="23413" y="974"/>
                </a:cubicBezTo>
                <a:cubicBezTo>
                  <a:pt x="21361" y="699"/>
                  <a:pt x="19465" y="2101"/>
                  <a:pt x="19154" y="4125"/>
                </a:cubicBezTo>
                <a:cubicBezTo>
                  <a:pt x="18878" y="7329"/>
                  <a:pt x="19536" y="10543"/>
                  <a:pt x="21050" y="13388"/>
                </a:cubicBezTo>
                <a:cubicBezTo>
                  <a:pt x="20640" y="13639"/>
                  <a:pt x="20210" y="13836"/>
                  <a:pt x="19812" y="14116"/>
                </a:cubicBezTo>
                <a:cubicBezTo>
                  <a:pt x="18717" y="14892"/>
                  <a:pt x="17695" y="15765"/>
                  <a:pt x="16761" y="16724"/>
                </a:cubicBezTo>
                <a:cubicBezTo>
                  <a:pt x="15232" y="15340"/>
                  <a:pt x="13932" y="13728"/>
                  <a:pt x="12906" y="11948"/>
                </a:cubicBezTo>
                <a:cubicBezTo>
                  <a:pt x="11657" y="10292"/>
                  <a:pt x="9294" y="9936"/>
                  <a:pt x="7603" y="11149"/>
                </a:cubicBezTo>
                <a:cubicBezTo>
                  <a:pt x="5959" y="12402"/>
                  <a:pt x="5603" y="14712"/>
                  <a:pt x="6795" y="16392"/>
                </a:cubicBezTo>
                <a:cubicBezTo>
                  <a:pt x="8299" y="18921"/>
                  <a:pt x="10248" y="21164"/>
                  <a:pt x="12549" y="23017"/>
                </a:cubicBezTo>
                <a:cubicBezTo>
                  <a:pt x="11709" y="24984"/>
                  <a:pt x="11199" y="27074"/>
                  <a:pt x="11038" y="29203"/>
                </a:cubicBezTo>
                <a:cubicBezTo>
                  <a:pt x="9107" y="29398"/>
                  <a:pt x="7155" y="29226"/>
                  <a:pt x="5289" y="28694"/>
                </a:cubicBezTo>
                <a:cubicBezTo>
                  <a:pt x="3365" y="27936"/>
                  <a:pt x="1178" y="28794"/>
                  <a:pt x="303" y="30650"/>
                </a:cubicBezTo>
                <a:cubicBezTo>
                  <a:pt x="-511" y="32552"/>
                  <a:pt x="370" y="34748"/>
                  <a:pt x="2282" y="35581"/>
                </a:cubicBezTo>
                <a:cubicBezTo>
                  <a:pt x="5372" y="36567"/>
                  <a:pt x="8627" y="36947"/>
                  <a:pt x="11864" y="36698"/>
                </a:cubicBezTo>
                <a:cubicBezTo>
                  <a:pt x="11999" y="37159"/>
                  <a:pt x="12082" y="37622"/>
                  <a:pt x="12251" y="38083"/>
                </a:cubicBezTo>
                <a:lnTo>
                  <a:pt x="12550" y="38874"/>
                </a:lnTo>
                <a:cubicBezTo>
                  <a:pt x="13557" y="41449"/>
                  <a:pt x="14891" y="43887"/>
                  <a:pt x="16517" y="46131"/>
                </a:cubicBezTo>
                <a:cubicBezTo>
                  <a:pt x="15459" y="46970"/>
                  <a:pt x="14252" y="47607"/>
                  <a:pt x="12958" y="48009"/>
                </a:cubicBezTo>
                <a:cubicBezTo>
                  <a:pt x="8302" y="49494"/>
                  <a:pt x="11038" y="56493"/>
                  <a:pt x="15668" y="55016"/>
                </a:cubicBezTo>
                <a:cubicBezTo>
                  <a:pt x="17859" y="54302"/>
                  <a:pt x="19884" y="53163"/>
                  <a:pt x="21624" y="51666"/>
                </a:cubicBezTo>
                <a:cubicBezTo>
                  <a:pt x="24039" y="53767"/>
                  <a:pt x="26736" y="55529"/>
                  <a:pt x="29637" y="56903"/>
                </a:cubicBezTo>
                <a:cubicBezTo>
                  <a:pt x="28543" y="58305"/>
                  <a:pt x="27264" y="59555"/>
                  <a:pt x="25833" y="60620"/>
                </a:cubicBezTo>
                <a:cubicBezTo>
                  <a:pt x="24189" y="61906"/>
                  <a:pt x="23911" y="64266"/>
                  <a:pt x="25211" y="65891"/>
                </a:cubicBezTo>
                <a:cubicBezTo>
                  <a:pt x="26447" y="67436"/>
                  <a:pt x="28682" y="67773"/>
                  <a:pt x="30328" y="66661"/>
                </a:cubicBezTo>
                <a:cubicBezTo>
                  <a:pt x="32996" y="64713"/>
                  <a:pt x="35272" y="62288"/>
                  <a:pt x="37038" y="59511"/>
                </a:cubicBezTo>
                <a:cubicBezTo>
                  <a:pt x="37866" y="59718"/>
                  <a:pt x="38672" y="59962"/>
                  <a:pt x="39527" y="60122"/>
                </a:cubicBezTo>
                <a:cubicBezTo>
                  <a:pt x="41993" y="60562"/>
                  <a:pt x="44492" y="60797"/>
                  <a:pt x="46998" y="60825"/>
                </a:cubicBezTo>
                <a:cubicBezTo>
                  <a:pt x="46788" y="62130"/>
                  <a:pt x="46198" y="63346"/>
                  <a:pt x="45301" y="64325"/>
                </a:cubicBezTo>
                <a:cubicBezTo>
                  <a:pt x="42101" y="67968"/>
                  <a:pt x="48058" y="72613"/>
                  <a:pt x="51260" y="68970"/>
                </a:cubicBezTo>
                <a:cubicBezTo>
                  <a:pt x="53339" y="66561"/>
                  <a:pt x="54526" y="63522"/>
                  <a:pt x="54624" y="60356"/>
                </a:cubicBezTo>
                <a:cubicBezTo>
                  <a:pt x="57093" y="60015"/>
                  <a:pt x="59529" y="59475"/>
                  <a:pt x="61909" y="58743"/>
                </a:cubicBezTo>
                <a:cubicBezTo>
                  <a:pt x="62786" y="60731"/>
                  <a:pt x="63207" y="62886"/>
                  <a:pt x="63144" y="65053"/>
                </a:cubicBezTo>
                <a:cubicBezTo>
                  <a:pt x="63374" y="67107"/>
                  <a:pt x="65234" y="68595"/>
                  <a:pt x="67314" y="68389"/>
                </a:cubicBezTo>
                <a:cubicBezTo>
                  <a:pt x="69371" y="68124"/>
                  <a:pt x="70855" y="66309"/>
                  <a:pt x="70688" y="64265"/>
                </a:cubicBezTo>
                <a:cubicBezTo>
                  <a:pt x="70735" y="61354"/>
                  <a:pt x="70115" y="58470"/>
                  <a:pt x="68876" y="55828"/>
                </a:cubicBezTo>
                <a:cubicBezTo>
                  <a:pt x="70540" y="54981"/>
                  <a:pt x="72137" y="54013"/>
                  <a:pt x="73656" y="52933"/>
                </a:cubicBezTo>
                <a:cubicBezTo>
                  <a:pt x="74331" y="52442"/>
                  <a:pt x="74964" y="51912"/>
                  <a:pt x="75594" y="51379"/>
                </a:cubicBezTo>
                <a:cubicBezTo>
                  <a:pt x="76054" y="52638"/>
                  <a:pt x="76354" y="53950"/>
                  <a:pt x="76485" y="55283"/>
                </a:cubicBezTo>
                <a:cubicBezTo>
                  <a:pt x="76777" y="57335"/>
                  <a:pt x="78696" y="58765"/>
                  <a:pt x="80772" y="58477"/>
                </a:cubicBezTo>
                <a:cubicBezTo>
                  <a:pt x="82747" y="58203"/>
                  <a:pt x="84171" y="56462"/>
                  <a:pt x="84029" y="54494"/>
                </a:cubicBezTo>
                <a:cubicBezTo>
                  <a:pt x="83697" y="51282"/>
                  <a:pt x="82692" y="48173"/>
                  <a:pt x="81076" y="45367"/>
                </a:cubicBezTo>
                <a:cubicBezTo>
                  <a:pt x="83034" y="42579"/>
                  <a:pt x="84236" y="39341"/>
                  <a:pt x="84568" y="35963"/>
                </a:cubicBezTo>
                <a:cubicBezTo>
                  <a:pt x="86214" y="36398"/>
                  <a:pt x="87458" y="37733"/>
                  <a:pt x="87763" y="39390"/>
                </a:cubicBezTo>
                <a:cubicBezTo>
                  <a:pt x="88520" y="41316"/>
                  <a:pt x="90705" y="42281"/>
                  <a:pt x="92661" y="41553"/>
                </a:cubicBezTo>
                <a:cubicBezTo>
                  <a:pt x="94580" y="40774"/>
                  <a:pt x="95543" y="38644"/>
                  <a:pt x="94850" y="36711"/>
                </a:cubicBezTo>
                <a:cubicBezTo>
                  <a:pt x="93417" y="31716"/>
                  <a:pt x="88766" y="28300"/>
                  <a:pt x="83517" y="28385"/>
                </a:cubicBezTo>
                <a:close/>
                <a:moveTo>
                  <a:pt x="72862" y="43622"/>
                </a:moveTo>
                <a:cubicBezTo>
                  <a:pt x="64408" y="51709"/>
                  <a:pt x="52450" y="55128"/>
                  <a:pt x="40935" y="52752"/>
                </a:cubicBezTo>
                <a:cubicBezTo>
                  <a:pt x="31369" y="51338"/>
                  <a:pt x="23269" y="45037"/>
                  <a:pt x="19627" y="36177"/>
                </a:cubicBezTo>
                <a:lnTo>
                  <a:pt x="19383" y="35532"/>
                </a:lnTo>
                <a:cubicBezTo>
                  <a:pt x="17198" y="30028"/>
                  <a:pt x="19109" y="23761"/>
                  <a:pt x="24007" y="20370"/>
                </a:cubicBezTo>
                <a:lnTo>
                  <a:pt x="24200" y="20230"/>
                </a:lnTo>
                <a:cubicBezTo>
                  <a:pt x="29352" y="16519"/>
                  <a:pt x="36402" y="16767"/>
                  <a:pt x="41273" y="20832"/>
                </a:cubicBezTo>
                <a:cubicBezTo>
                  <a:pt x="50780" y="28488"/>
                  <a:pt x="57317" y="26947"/>
                  <a:pt x="61126" y="24304"/>
                </a:cubicBezTo>
                <a:cubicBezTo>
                  <a:pt x="65102" y="21544"/>
                  <a:pt x="71017" y="23720"/>
                  <a:pt x="74219" y="27319"/>
                </a:cubicBezTo>
                <a:cubicBezTo>
                  <a:pt x="76240" y="29591"/>
                  <a:pt x="80153" y="35728"/>
                  <a:pt x="72862" y="4362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40" name="Freeform: Shape 239">
            <a:extLst>
              <a:ext uri="{FF2B5EF4-FFF2-40B4-BE49-F238E27FC236}">
                <a16:creationId xmlns:a16="http://schemas.microsoft.com/office/drawing/2014/main" id="{71FD1B09-6379-4012-BFAA-314D99FF1C0C}"/>
              </a:ext>
            </a:extLst>
          </xdr:cNvPr>
          <xdr:cNvSpPr/>
        </xdr:nvSpPr>
        <xdr:spPr>
          <a:xfrm>
            <a:off x="9266080" y="6239558"/>
            <a:ext cx="56357" cy="48654"/>
          </a:xfrm>
          <a:custGeom>
            <a:avLst/>
            <a:gdLst>
              <a:gd name="connsiteX0" fmla="*/ 20319 w 56357"/>
              <a:gd name="connsiteY0" fmla="*/ 48527 h 48654"/>
              <a:gd name="connsiteX1" fmla="*/ 35274 w 56357"/>
              <a:gd name="connsiteY1" fmla="*/ 36960 h 48654"/>
              <a:gd name="connsiteX2" fmla="*/ 36749 w 56357"/>
              <a:gd name="connsiteY2" fmla="*/ 36031 h 48654"/>
              <a:gd name="connsiteX3" fmla="*/ 56304 w 56357"/>
              <a:gd name="connsiteY3" fmla="*/ 19434 h 48654"/>
              <a:gd name="connsiteX4" fmla="*/ 39518 w 56357"/>
              <a:gd name="connsiteY4" fmla="*/ 99 h 48654"/>
              <a:gd name="connsiteX5" fmla="*/ 39484 w 56357"/>
              <a:gd name="connsiteY5" fmla="*/ 96 h 48654"/>
              <a:gd name="connsiteX6" fmla="*/ 1151 w 56357"/>
              <a:gd name="connsiteY6" fmla="*/ 24300 h 48654"/>
              <a:gd name="connsiteX7" fmla="*/ 2854 w 56357"/>
              <a:gd name="connsiteY7" fmla="*/ 40329 h 48654"/>
              <a:gd name="connsiteX8" fmla="*/ 20120 w 56357"/>
              <a:gd name="connsiteY8" fmla="*/ 48549 h 48654"/>
              <a:gd name="connsiteX9" fmla="*/ 9249 w 56357"/>
              <a:gd name="connsiteY9" fmla="*/ 36293 h 48654"/>
              <a:gd name="connsiteX10" fmla="*/ 8253 w 56357"/>
              <a:gd name="connsiteY10" fmla="*/ 26936 h 48654"/>
              <a:gd name="connsiteX11" fmla="*/ 33218 w 56357"/>
              <a:gd name="connsiteY11" fmla="*/ 7688 h 48654"/>
              <a:gd name="connsiteX12" fmla="*/ 38915 w 56357"/>
              <a:gd name="connsiteY12" fmla="*/ 7576 h 48654"/>
              <a:gd name="connsiteX13" fmla="*/ 47082 w 56357"/>
              <a:gd name="connsiteY13" fmla="*/ 12401 h 48654"/>
              <a:gd name="connsiteX14" fmla="*/ 43841 w 56357"/>
              <a:gd name="connsiteY14" fmla="*/ 26928 h 48654"/>
              <a:gd name="connsiteX15" fmla="*/ 37316 w 56357"/>
              <a:gd name="connsiteY15" fmla="*/ 28552 h 48654"/>
              <a:gd name="connsiteX16" fmla="*/ 37314 w 56357"/>
              <a:gd name="connsiteY16" fmla="*/ 28549 h 48654"/>
              <a:gd name="connsiteX17" fmla="*/ 28173 w 56357"/>
              <a:gd name="connsiteY17" fmla="*/ 34324 h 48654"/>
              <a:gd name="connsiteX18" fmla="*/ 19327 w 56357"/>
              <a:gd name="connsiteY18" fmla="*/ 41090 h 48654"/>
              <a:gd name="connsiteX19" fmla="*/ 9249 w 56357"/>
              <a:gd name="connsiteY19" fmla="*/ 36293 h 4865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</a:cxnLst>
            <a:rect l="l" t="t" r="r" b="b"/>
            <a:pathLst>
              <a:path w="56357" h="48654">
                <a:moveTo>
                  <a:pt x="20319" y="48527"/>
                </a:moveTo>
                <a:cubicBezTo>
                  <a:pt x="27111" y="47769"/>
                  <a:pt x="32895" y="43296"/>
                  <a:pt x="35274" y="36960"/>
                </a:cubicBezTo>
                <a:cubicBezTo>
                  <a:pt x="35505" y="36363"/>
                  <a:pt x="36104" y="35986"/>
                  <a:pt x="36749" y="36031"/>
                </a:cubicBezTo>
                <a:cubicBezTo>
                  <a:pt x="46784" y="36788"/>
                  <a:pt x="55539" y="29357"/>
                  <a:pt x="56304" y="19434"/>
                </a:cubicBezTo>
                <a:cubicBezTo>
                  <a:pt x="57068" y="9512"/>
                  <a:pt x="49553" y="855"/>
                  <a:pt x="39518" y="99"/>
                </a:cubicBezTo>
                <a:cubicBezTo>
                  <a:pt x="39507" y="98"/>
                  <a:pt x="39496" y="98"/>
                  <a:pt x="39484" y="96"/>
                </a:cubicBezTo>
                <a:cubicBezTo>
                  <a:pt x="22703" y="-1089"/>
                  <a:pt x="7123" y="8748"/>
                  <a:pt x="1151" y="24300"/>
                </a:cubicBezTo>
                <a:cubicBezTo>
                  <a:pt x="-849" y="29612"/>
                  <a:pt x="-218" y="35544"/>
                  <a:pt x="2854" y="40329"/>
                </a:cubicBezTo>
                <a:cubicBezTo>
                  <a:pt x="6554" y="46100"/>
                  <a:pt x="13251" y="49288"/>
                  <a:pt x="20120" y="48549"/>
                </a:cubicBezTo>
                <a:close/>
                <a:moveTo>
                  <a:pt x="9249" y="36293"/>
                </a:moveTo>
                <a:cubicBezTo>
                  <a:pt x="7454" y="33500"/>
                  <a:pt x="7086" y="30037"/>
                  <a:pt x="8253" y="26936"/>
                </a:cubicBezTo>
                <a:cubicBezTo>
                  <a:pt x="12293" y="16418"/>
                  <a:pt x="21918" y="8998"/>
                  <a:pt x="33218" y="7688"/>
                </a:cubicBezTo>
                <a:cubicBezTo>
                  <a:pt x="35109" y="7470"/>
                  <a:pt x="37017" y="7433"/>
                  <a:pt x="38915" y="7576"/>
                </a:cubicBezTo>
                <a:cubicBezTo>
                  <a:pt x="42252" y="7830"/>
                  <a:pt x="45275" y="9617"/>
                  <a:pt x="47082" y="12401"/>
                </a:cubicBezTo>
                <a:cubicBezTo>
                  <a:pt x="50244" y="17298"/>
                  <a:pt x="48793" y="23802"/>
                  <a:pt x="43841" y="26928"/>
                </a:cubicBezTo>
                <a:cubicBezTo>
                  <a:pt x="41901" y="28154"/>
                  <a:pt x="39612" y="28723"/>
                  <a:pt x="37316" y="28552"/>
                </a:cubicBezTo>
                <a:lnTo>
                  <a:pt x="37314" y="28549"/>
                </a:lnTo>
                <a:cubicBezTo>
                  <a:pt x="33313" y="28274"/>
                  <a:pt x="29602" y="30619"/>
                  <a:pt x="28173" y="34324"/>
                </a:cubicBezTo>
                <a:cubicBezTo>
                  <a:pt x="26833" y="38108"/>
                  <a:pt x="23367" y="40758"/>
                  <a:pt x="19327" y="41090"/>
                </a:cubicBezTo>
                <a:cubicBezTo>
                  <a:pt x="15311" y="41554"/>
                  <a:pt x="11386" y="39685"/>
                  <a:pt x="9249" y="3629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41" name="Freeform: Shape 240">
            <a:extLst>
              <a:ext uri="{FF2B5EF4-FFF2-40B4-BE49-F238E27FC236}">
                <a16:creationId xmlns:a16="http://schemas.microsoft.com/office/drawing/2014/main" id="{22A41E14-F57B-44CF-B1EA-4E4EB1CA4896}"/>
              </a:ext>
            </a:extLst>
          </xdr:cNvPr>
          <xdr:cNvSpPr/>
        </xdr:nvSpPr>
        <xdr:spPr>
          <a:xfrm>
            <a:off x="9284086" y="6256332"/>
            <a:ext cx="22365" cy="17285"/>
          </a:xfrm>
          <a:custGeom>
            <a:avLst/>
            <a:gdLst>
              <a:gd name="connsiteX0" fmla="*/ 18121 w 22365"/>
              <a:gd name="connsiteY0" fmla="*/ 7573 h 17285"/>
              <a:gd name="connsiteX1" fmla="*/ 22339 w 22365"/>
              <a:gd name="connsiteY1" fmla="*/ 4289 h 17285"/>
              <a:gd name="connsiteX2" fmla="*/ 19281 w 22365"/>
              <a:gd name="connsiteY2" fmla="*/ 159 h 17285"/>
              <a:gd name="connsiteX3" fmla="*/ 182 w 22365"/>
              <a:gd name="connsiteY3" fmla="*/ 11981 h 17285"/>
              <a:gd name="connsiteX4" fmla="*/ 7129 w 22365"/>
              <a:gd name="connsiteY4" fmla="*/ 14995 h 17285"/>
              <a:gd name="connsiteX5" fmla="*/ 18121 w 22365"/>
              <a:gd name="connsiteY5" fmla="*/ 7573 h 1728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22365" h="17285">
                <a:moveTo>
                  <a:pt x="18121" y="7573"/>
                </a:moveTo>
                <a:cubicBezTo>
                  <a:pt x="20203" y="7818"/>
                  <a:pt x="22091" y="6348"/>
                  <a:pt x="22339" y="4289"/>
                </a:cubicBezTo>
                <a:cubicBezTo>
                  <a:pt x="22574" y="2332"/>
                  <a:pt x="21239" y="529"/>
                  <a:pt x="19281" y="159"/>
                </a:cubicBezTo>
                <a:cubicBezTo>
                  <a:pt x="10865" y="-970"/>
                  <a:pt x="2833" y="4002"/>
                  <a:pt x="182" y="11981"/>
                </a:cubicBezTo>
                <a:cubicBezTo>
                  <a:pt x="-1204" y="16555"/>
                  <a:pt x="5731" y="19610"/>
                  <a:pt x="7129" y="14995"/>
                </a:cubicBezTo>
                <a:cubicBezTo>
                  <a:pt x="8404" y="10153"/>
                  <a:pt x="13096" y="6984"/>
                  <a:pt x="18121" y="757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6</xdr:col>
      <xdr:colOff>163683</xdr:colOff>
      <xdr:row>14</xdr:row>
      <xdr:rowOff>144267</xdr:rowOff>
    </xdr:from>
    <xdr:to>
      <xdr:col>6</xdr:col>
      <xdr:colOff>420362</xdr:colOff>
      <xdr:row>14</xdr:row>
      <xdr:rowOff>385909</xdr:rowOff>
    </xdr:to>
    <xdr:sp macro="" textlink="">
      <xdr:nvSpPr>
        <xdr:cNvPr id="242" name="heart_rate" descr="Heart with pulse outline">
          <a:extLst>
            <a:ext uri="{FF2B5EF4-FFF2-40B4-BE49-F238E27FC236}">
              <a16:creationId xmlns:a16="http://schemas.microsoft.com/office/drawing/2014/main" id="{CF37807D-A922-4309-9F04-D26C2B5A7995}"/>
            </a:ext>
          </a:extLst>
        </xdr:cNvPr>
        <xdr:cNvSpPr>
          <a:spLocks noChangeAspect="1"/>
        </xdr:cNvSpPr>
      </xdr:nvSpPr>
      <xdr:spPr>
        <a:xfrm>
          <a:off x="4916658" y="6297417"/>
          <a:ext cx="256679" cy="241642"/>
        </a:xfrm>
        <a:custGeom>
          <a:avLst/>
          <a:gdLst>
            <a:gd name="connsiteX0" fmla="*/ 253402 w 256679"/>
            <a:gd name="connsiteY0" fmla="*/ 46530 h 241642"/>
            <a:gd name="connsiteX1" fmla="*/ 197369 w 256679"/>
            <a:gd name="connsiteY1" fmla="*/ 255 h 241642"/>
            <a:gd name="connsiteX2" fmla="*/ 192204 w 256679"/>
            <a:gd name="connsiteY2" fmla="*/ 0 h 241642"/>
            <a:gd name="connsiteX3" fmla="*/ 128256 w 256679"/>
            <a:gd name="connsiteY3" fmla="*/ 50291 h 241642"/>
            <a:gd name="connsiteX4" fmla="*/ 128195 w 256679"/>
            <a:gd name="connsiteY4" fmla="*/ 50291 h 241642"/>
            <a:gd name="connsiteX5" fmla="*/ 67054 w 256679"/>
            <a:gd name="connsiteY5" fmla="*/ 105 h 241642"/>
            <a:gd name="connsiteX6" fmla="*/ 63899 w 256679"/>
            <a:gd name="connsiteY6" fmla="*/ 8 h 241642"/>
            <a:gd name="connsiteX7" fmla="*/ 6298 w 256679"/>
            <a:gd name="connsiteY7" fmla="*/ 38805 h 241642"/>
            <a:gd name="connsiteX8" fmla="*/ 18314 w 256679"/>
            <a:gd name="connsiteY8" fmla="*/ 123480 h 241642"/>
            <a:gd name="connsiteX9" fmla="*/ 74762 w 256679"/>
            <a:gd name="connsiteY9" fmla="*/ 194130 h 241642"/>
            <a:gd name="connsiteX10" fmla="*/ 128226 w 256679"/>
            <a:gd name="connsiteY10" fmla="*/ 241643 h 241642"/>
            <a:gd name="connsiteX11" fmla="*/ 129283 w 256679"/>
            <a:gd name="connsiteY11" fmla="*/ 240818 h 241642"/>
            <a:gd name="connsiteX12" fmla="*/ 176626 w 256679"/>
            <a:gd name="connsiteY12" fmla="*/ 199155 h 241642"/>
            <a:gd name="connsiteX13" fmla="*/ 233792 w 256679"/>
            <a:gd name="connsiteY13" fmla="*/ 130680 h 241642"/>
            <a:gd name="connsiteX14" fmla="*/ 253402 w 256679"/>
            <a:gd name="connsiteY14" fmla="*/ 46530 h 241642"/>
            <a:gd name="connsiteX15" fmla="*/ 171299 w 256679"/>
            <a:gd name="connsiteY15" fmla="*/ 193838 h 241642"/>
            <a:gd name="connsiteX16" fmla="*/ 128226 w 256679"/>
            <a:gd name="connsiteY16" fmla="*/ 232073 h 241642"/>
            <a:gd name="connsiteX17" fmla="*/ 80139 w 256679"/>
            <a:gd name="connsiteY17" fmla="*/ 188861 h 241642"/>
            <a:gd name="connsiteX18" fmla="*/ 27778 w 256679"/>
            <a:gd name="connsiteY18" fmla="*/ 124568 h 241642"/>
            <a:gd name="connsiteX19" fmla="*/ 73254 w 256679"/>
            <a:gd name="connsiteY19" fmla="*/ 124568 h 241642"/>
            <a:gd name="connsiteX20" fmla="*/ 76825 w 256679"/>
            <a:gd name="connsiteY20" fmla="*/ 122033 h 241642"/>
            <a:gd name="connsiteX21" fmla="*/ 93714 w 256679"/>
            <a:gd name="connsiteY21" fmla="*/ 73073 h 241642"/>
            <a:gd name="connsiteX22" fmla="*/ 93786 w 256679"/>
            <a:gd name="connsiteY22" fmla="*/ 73073 h 241642"/>
            <a:gd name="connsiteX23" fmla="*/ 115255 w 256679"/>
            <a:gd name="connsiteY23" fmla="*/ 183960 h 241642"/>
            <a:gd name="connsiteX24" fmla="*/ 118655 w 256679"/>
            <a:gd name="connsiteY24" fmla="*/ 186986 h 241642"/>
            <a:gd name="connsiteX25" fmla="*/ 118984 w 256679"/>
            <a:gd name="connsiteY25" fmla="*/ 186986 h 241642"/>
            <a:gd name="connsiteX26" fmla="*/ 122513 w 256679"/>
            <a:gd name="connsiteY26" fmla="*/ 184571 h 241642"/>
            <a:gd name="connsiteX27" fmla="*/ 155864 w 256679"/>
            <a:gd name="connsiteY27" fmla="*/ 97815 h 241642"/>
            <a:gd name="connsiteX28" fmla="*/ 155936 w 256679"/>
            <a:gd name="connsiteY28" fmla="*/ 97815 h 241642"/>
            <a:gd name="connsiteX29" fmla="*/ 171465 w 256679"/>
            <a:gd name="connsiteY29" fmla="*/ 150904 h 241642"/>
            <a:gd name="connsiteX30" fmla="*/ 176155 w 256679"/>
            <a:gd name="connsiteY30" fmla="*/ 153445 h 241642"/>
            <a:gd name="connsiteX31" fmla="*/ 177854 w 256679"/>
            <a:gd name="connsiteY31" fmla="*/ 152404 h 241642"/>
            <a:gd name="connsiteX32" fmla="*/ 204110 w 256679"/>
            <a:gd name="connsiteY32" fmla="*/ 124568 h 241642"/>
            <a:gd name="connsiteX33" fmla="*/ 228669 w 256679"/>
            <a:gd name="connsiteY33" fmla="*/ 124568 h 241642"/>
            <a:gd name="connsiteX34" fmla="*/ 228707 w 256679"/>
            <a:gd name="connsiteY34" fmla="*/ 124639 h 241642"/>
            <a:gd name="connsiteX35" fmla="*/ 171299 w 256679"/>
            <a:gd name="connsiteY35" fmla="*/ 193838 h 241642"/>
            <a:gd name="connsiteX36" fmla="*/ 233082 w 256679"/>
            <a:gd name="connsiteY36" fmla="*/ 117068 h 241642"/>
            <a:gd name="connsiteX37" fmla="*/ 202478 w 256679"/>
            <a:gd name="connsiteY37" fmla="*/ 117068 h 241642"/>
            <a:gd name="connsiteX38" fmla="*/ 199719 w 256679"/>
            <a:gd name="connsiteY38" fmla="*/ 118256 h 241642"/>
            <a:gd name="connsiteX39" fmla="*/ 176910 w 256679"/>
            <a:gd name="connsiteY39" fmla="*/ 142459 h 241642"/>
            <a:gd name="connsiteX40" fmla="*/ 176845 w 256679"/>
            <a:gd name="connsiteY40" fmla="*/ 142459 h 241642"/>
            <a:gd name="connsiteX41" fmla="*/ 160001 w 256679"/>
            <a:gd name="connsiteY41" fmla="*/ 84896 h 241642"/>
            <a:gd name="connsiteX42" fmla="*/ 155316 w 256679"/>
            <a:gd name="connsiteY42" fmla="*/ 82347 h 241642"/>
            <a:gd name="connsiteX43" fmla="*/ 152845 w 256679"/>
            <a:gd name="connsiteY43" fmla="*/ 84608 h 241642"/>
            <a:gd name="connsiteX44" fmla="*/ 120219 w 256679"/>
            <a:gd name="connsiteY44" fmla="*/ 169478 h 241642"/>
            <a:gd name="connsiteX45" fmla="*/ 120147 w 256679"/>
            <a:gd name="connsiteY45" fmla="*/ 169478 h 241642"/>
            <a:gd name="connsiteX46" fmla="*/ 98501 w 256679"/>
            <a:gd name="connsiteY46" fmla="*/ 57671 h 241642"/>
            <a:gd name="connsiteX47" fmla="*/ 95055 w 256679"/>
            <a:gd name="connsiteY47" fmla="*/ 54641 h 241642"/>
            <a:gd name="connsiteX48" fmla="*/ 91213 w 256679"/>
            <a:gd name="connsiteY48" fmla="*/ 57165 h 241642"/>
            <a:gd name="connsiteX49" fmla="*/ 70549 w 256679"/>
            <a:gd name="connsiteY49" fmla="*/ 117068 h 241642"/>
            <a:gd name="connsiteX50" fmla="*/ 23377 w 256679"/>
            <a:gd name="connsiteY50" fmla="*/ 117068 h 241642"/>
            <a:gd name="connsiteX51" fmla="*/ 13077 w 256679"/>
            <a:gd name="connsiteY51" fmla="*/ 42120 h 241642"/>
            <a:gd name="connsiteX52" fmla="*/ 63899 w 256679"/>
            <a:gd name="connsiteY52" fmla="*/ 7508 h 241642"/>
            <a:gd name="connsiteX53" fmla="*/ 66582 w 256679"/>
            <a:gd name="connsiteY53" fmla="*/ 7590 h 241642"/>
            <a:gd name="connsiteX54" fmla="*/ 121481 w 256679"/>
            <a:gd name="connsiteY54" fmla="*/ 53734 h 241642"/>
            <a:gd name="connsiteX55" fmla="*/ 128192 w 256679"/>
            <a:gd name="connsiteY55" fmla="*/ 66930 h 241642"/>
            <a:gd name="connsiteX56" fmla="*/ 128256 w 256679"/>
            <a:gd name="connsiteY56" fmla="*/ 66930 h 241642"/>
            <a:gd name="connsiteX57" fmla="*/ 134970 w 256679"/>
            <a:gd name="connsiteY57" fmla="*/ 53738 h 241642"/>
            <a:gd name="connsiteX58" fmla="*/ 192204 w 256679"/>
            <a:gd name="connsiteY58" fmla="*/ 7500 h 241642"/>
            <a:gd name="connsiteX59" fmla="*/ 196648 w 256679"/>
            <a:gd name="connsiteY59" fmla="*/ 7721 h 241642"/>
            <a:gd name="connsiteX60" fmla="*/ 246257 w 256679"/>
            <a:gd name="connsiteY60" fmla="*/ 48971 h 241642"/>
            <a:gd name="connsiteX61" fmla="*/ 233082 w 256679"/>
            <a:gd name="connsiteY61" fmla="*/ 117068 h 24164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</a:cxnLst>
          <a:rect l="l" t="t" r="r" b="b"/>
          <a:pathLst>
            <a:path w="256679" h="241642">
              <a:moveTo>
                <a:pt x="253402" y="46530"/>
              </a:moveTo>
              <a:cubicBezTo>
                <a:pt x="245354" y="22830"/>
                <a:pt x="223024" y="2693"/>
                <a:pt x="197369" y="255"/>
              </a:cubicBezTo>
              <a:cubicBezTo>
                <a:pt x="195624" y="83"/>
                <a:pt x="193897" y="0"/>
                <a:pt x="192204" y="0"/>
              </a:cubicBezTo>
              <a:cubicBezTo>
                <a:pt x="162476" y="0"/>
                <a:pt x="140819" y="25654"/>
                <a:pt x="128256" y="50291"/>
              </a:cubicBezTo>
              <a:cubicBezTo>
                <a:pt x="128256" y="50329"/>
                <a:pt x="128210" y="50329"/>
                <a:pt x="128195" y="50291"/>
              </a:cubicBezTo>
              <a:cubicBezTo>
                <a:pt x="116063" y="26464"/>
                <a:pt x="96008" y="1916"/>
                <a:pt x="67054" y="105"/>
              </a:cubicBezTo>
              <a:cubicBezTo>
                <a:pt x="66001" y="40"/>
                <a:pt x="64950" y="8"/>
                <a:pt x="63899" y="8"/>
              </a:cubicBezTo>
              <a:cubicBezTo>
                <a:pt x="39382" y="8"/>
                <a:pt x="16916" y="17408"/>
                <a:pt x="6298" y="38805"/>
              </a:cubicBezTo>
              <a:cubicBezTo>
                <a:pt x="-7568" y="66817"/>
                <a:pt x="3729" y="98318"/>
                <a:pt x="18314" y="123480"/>
              </a:cubicBezTo>
              <a:cubicBezTo>
                <a:pt x="33966" y="149358"/>
                <a:pt x="52942" y="173106"/>
                <a:pt x="74762" y="194130"/>
              </a:cubicBezTo>
              <a:cubicBezTo>
                <a:pt x="91500" y="211128"/>
                <a:pt x="109361" y="227001"/>
                <a:pt x="128226" y="241643"/>
              </a:cubicBezTo>
              <a:lnTo>
                <a:pt x="129283" y="240818"/>
              </a:lnTo>
              <a:cubicBezTo>
                <a:pt x="145850" y="227836"/>
                <a:pt x="161657" y="213925"/>
                <a:pt x="176626" y="199155"/>
              </a:cubicBezTo>
              <a:cubicBezTo>
                <a:pt x="198324" y="178637"/>
                <a:pt x="217512" y="155654"/>
                <a:pt x="233792" y="130680"/>
              </a:cubicBezTo>
              <a:cubicBezTo>
                <a:pt x="248906" y="106530"/>
                <a:pt x="263339" y="75180"/>
                <a:pt x="253402" y="46530"/>
              </a:cubicBezTo>
              <a:close/>
              <a:moveTo>
                <a:pt x="171299" y="193838"/>
              </a:moveTo>
              <a:cubicBezTo>
                <a:pt x="157626" y="207323"/>
                <a:pt x="143248" y="220085"/>
                <a:pt x="128226" y="232073"/>
              </a:cubicBezTo>
              <a:cubicBezTo>
                <a:pt x="111330" y="218649"/>
                <a:pt x="95271" y="204218"/>
                <a:pt x="80139" y="188861"/>
              </a:cubicBezTo>
              <a:cubicBezTo>
                <a:pt x="60184" y="169561"/>
                <a:pt x="42608" y="147979"/>
                <a:pt x="27778" y="124568"/>
              </a:cubicBezTo>
              <a:lnTo>
                <a:pt x="73254" y="124568"/>
              </a:lnTo>
              <a:cubicBezTo>
                <a:pt x="74844" y="124493"/>
                <a:pt x="76241" y="123501"/>
                <a:pt x="76825" y="122033"/>
              </a:cubicBezTo>
              <a:lnTo>
                <a:pt x="93714" y="73073"/>
              </a:lnTo>
              <a:cubicBezTo>
                <a:pt x="93737" y="72998"/>
                <a:pt x="93771" y="73001"/>
                <a:pt x="93786" y="73073"/>
              </a:cubicBezTo>
              <a:lnTo>
                <a:pt x="115255" y="183960"/>
              </a:lnTo>
              <a:cubicBezTo>
                <a:pt x="115576" y="185611"/>
                <a:pt x="116966" y="186849"/>
                <a:pt x="118655" y="186986"/>
              </a:cubicBezTo>
              <a:cubicBezTo>
                <a:pt x="118765" y="186992"/>
                <a:pt x="118874" y="186992"/>
                <a:pt x="118984" y="186986"/>
              </a:cubicBezTo>
              <a:cubicBezTo>
                <a:pt x="120551" y="186986"/>
                <a:pt x="121955" y="186025"/>
                <a:pt x="122513" y="184571"/>
              </a:cubicBezTo>
              <a:lnTo>
                <a:pt x="155864" y="97815"/>
              </a:lnTo>
              <a:cubicBezTo>
                <a:pt x="155887" y="97759"/>
                <a:pt x="155917" y="97759"/>
                <a:pt x="155936" y="97815"/>
              </a:cubicBezTo>
              <a:lnTo>
                <a:pt x="171465" y="150904"/>
              </a:lnTo>
              <a:cubicBezTo>
                <a:pt x="172053" y="152891"/>
                <a:pt x="174153" y="154029"/>
                <a:pt x="176155" y="153445"/>
              </a:cubicBezTo>
              <a:cubicBezTo>
                <a:pt x="176805" y="153255"/>
                <a:pt x="177392" y="152896"/>
                <a:pt x="177854" y="152404"/>
              </a:cubicBezTo>
              <a:lnTo>
                <a:pt x="204110" y="124568"/>
              </a:lnTo>
              <a:lnTo>
                <a:pt x="228669" y="124568"/>
              </a:lnTo>
              <a:lnTo>
                <a:pt x="228707" y="124639"/>
              </a:lnTo>
              <a:cubicBezTo>
                <a:pt x="212449" y="149916"/>
                <a:pt x="193173" y="173150"/>
                <a:pt x="171299" y="193838"/>
              </a:cubicBezTo>
              <a:close/>
              <a:moveTo>
                <a:pt x="233082" y="117068"/>
              </a:moveTo>
              <a:lnTo>
                <a:pt x="202478" y="117068"/>
              </a:lnTo>
              <a:cubicBezTo>
                <a:pt x="201445" y="117125"/>
                <a:pt x="200467" y="117547"/>
                <a:pt x="199719" y="118256"/>
              </a:cubicBezTo>
              <a:lnTo>
                <a:pt x="176910" y="142459"/>
              </a:lnTo>
              <a:cubicBezTo>
                <a:pt x="176883" y="142485"/>
                <a:pt x="176857" y="142478"/>
                <a:pt x="176845" y="142459"/>
              </a:cubicBezTo>
              <a:lnTo>
                <a:pt x="160001" y="84896"/>
              </a:lnTo>
              <a:cubicBezTo>
                <a:pt x="159417" y="82908"/>
                <a:pt x="157319" y="81767"/>
                <a:pt x="155316" y="82347"/>
              </a:cubicBezTo>
              <a:cubicBezTo>
                <a:pt x="154182" y="82676"/>
                <a:pt x="153267" y="83512"/>
                <a:pt x="152845" y="84608"/>
              </a:cubicBezTo>
              <a:lnTo>
                <a:pt x="120219" y="169478"/>
              </a:lnTo>
              <a:cubicBezTo>
                <a:pt x="120193" y="169545"/>
                <a:pt x="120159" y="169545"/>
                <a:pt x="120147" y="169478"/>
              </a:cubicBezTo>
              <a:lnTo>
                <a:pt x="98501" y="57671"/>
              </a:lnTo>
              <a:cubicBezTo>
                <a:pt x="98177" y="56003"/>
                <a:pt x="96763" y="54760"/>
                <a:pt x="95055" y="54641"/>
              </a:cubicBezTo>
              <a:cubicBezTo>
                <a:pt x="93334" y="54474"/>
                <a:pt x="91731" y="55527"/>
                <a:pt x="91213" y="57165"/>
              </a:cubicBezTo>
              <a:lnTo>
                <a:pt x="70549" y="117068"/>
              </a:lnTo>
              <a:lnTo>
                <a:pt x="23377" y="117068"/>
              </a:lnTo>
              <a:cubicBezTo>
                <a:pt x="6718" y="87240"/>
                <a:pt x="3223" y="62025"/>
                <a:pt x="13077" y="42120"/>
              </a:cubicBezTo>
              <a:cubicBezTo>
                <a:pt x="23350" y="21416"/>
                <a:pt x="43772" y="7508"/>
                <a:pt x="63899" y="7508"/>
              </a:cubicBezTo>
              <a:cubicBezTo>
                <a:pt x="64795" y="7508"/>
                <a:pt x="65690" y="7538"/>
                <a:pt x="66582" y="7590"/>
              </a:cubicBezTo>
              <a:cubicBezTo>
                <a:pt x="93408" y="9255"/>
                <a:pt x="111242" y="33604"/>
                <a:pt x="121481" y="53734"/>
              </a:cubicBezTo>
              <a:lnTo>
                <a:pt x="128192" y="66930"/>
              </a:lnTo>
              <a:cubicBezTo>
                <a:pt x="128192" y="66968"/>
                <a:pt x="128241" y="66968"/>
                <a:pt x="128256" y="66930"/>
              </a:cubicBezTo>
              <a:lnTo>
                <a:pt x="134970" y="53738"/>
              </a:lnTo>
              <a:cubicBezTo>
                <a:pt x="142043" y="39836"/>
                <a:pt x="161796" y="7500"/>
                <a:pt x="192204" y="7500"/>
              </a:cubicBezTo>
              <a:cubicBezTo>
                <a:pt x="193659" y="7500"/>
                <a:pt x="195148" y="7575"/>
                <a:pt x="196648" y="7721"/>
              </a:cubicBezTo>
              <a:cubicBezTo>
                <a:pt x="218309" y="9780"/>
                <a:pt x="238701" y="26723"/>
                <a:pt x="246257" y="48971"/>
              </a:cubicBezTo>
              <a:cubicBezTo>
                <a:pt x="252665" y="67451"/>
                <a:pt x="248316" y="89839"/>
                <a:pt x="233082" y="117068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8</xdr:col>
      <xdr:colOff>139582</xdr:colOff>
      <xdr:row>11</xdr:row>
      <xdr:rowOff>143882</xdr:rowOff>
    </xdr:from>
    <xdr:to>
      <xdr:col>8</xdr:col>
      <xdr:colOff>439585</xdr:colOff>
      <xdr:row>11</xdr:row>
      <xdr:rowOff>435665</xdr:rowOff>
    </xdr:to>
    <xdr:grpSp>
      <xdr:nvGrpSpPr>
        <xdr:cNvPr id="243" name="lungs" descr="Lungs with virus outline">
          <a:extLst>
            <a:ext uri="{FF2B5EF4-FFF2-40B4-BE49-F238E27FC236}">
              <a16:creationId xmlns:a16="http://schemas.microsoft.com/office/drawing/2014/main" id="{80642B06-125D-4CCB-94DE-04A5F0BAF8EB}"/>
            </a:ext>
          </a:extLst>
        </xdr:cNvPr>
        <xdr:cNvGrpSpPr>
          <a:grpSpLocks noChangeAspect="1"/>
        </xdr:cNvGrpSpPr>
      </xdr:nvGrpSpPr>
      <xdr:grpSpPr>
        <a:xfrm>
          <a:off x="7254757" y="4925432"/>
          <a:ext cx="300003" cy="291783"/>
          <a:chOff x="9851791" y="6082746"/>
          <a:chExt cx="300003" cy="291783"/>
        </a:xfrm>
        <a:solidFill>
          <a:srgbClr val="1F4E78"/>
        </a:solidFill>
      </xdr:grpSpPr>
      <xdr:sp macro="" textlink="">
        <xdr:nvSpPr>
          <xdr:cNvPr id="244" name="Freeform: Shape 243">
            <a:extLst>
              <a:ext uri="{FF2B5EF4-FFF2-40B4-BE49-F238E27FC236}">
                <a16:creationId xmlns:a16="http://schemas.microsoft.com/office/drawing/2014/main" id="{7212BC62-C5BA-4DCA-8C6F-6389918B0CC2}"/>
              </a:ext>
            </a:extLst>
          </xdr:cNvPr>
          <xdr:cNvSpPr/>
        </xdr:nvSpPr>
        <xdr:spPr>
          <a:xfrm>
            <a:off x="9893060" y="6225210"/>
            <a:ext cx="11250" cy="11250"/>
          </a:xfrm>
          <a:custGeom>
            <a:avLst/>
            <a:gdLst>
              <a:gd name="connsiteX0" fmla="*/ 11250 w 11250"/>
              <a:gd name="connsiteY0" fmla="*/ 5625 h 11250"/>
              <a:gd name="connsiteX1" fmla="*/ 5625 w 11250"/>
              <a:gd name="connsiteY1" fmla="*/ 11250 h 11250"/>
              <a:gd name="connsiteX2" fmla="*/ 0 w 11250"/>
              <a:gd name="connsiteY2" fmla="*/ 5625 h 11250"/>
              <a:gd name="connsiteX3" fmla="*/ 5625 w 11250"/>
              <a:gd name="connsiteY3" fmla="*/ 0 h 11250"/>
              <a:gd name="connsiteX4" fmla="*/ 11250 w 11250"/>
              <a:gd name="connsiteY4" fmla="*/ 5625 h 1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250" h="11250">
                <a:moveTo>
                  <a:pt x="11250" y="5625"/>
                </a:moveTo>
                <a:cubicBezTo>
                  <a:pt x="11250" y="8732"/>
                  <a:pt x="8732" y="11250"/>
                  <a:pt x="5625" y="11250"/>
                </a:cubicBezTo>
                <a:cubicBezTo>
                  <a:pt x="2518" y="11250"/>
                  <a:pt x="0" y="8732"/>
                  <a:pt x="0" y="5625"/>
                </a:cubicBezTo>
                <a:cubicBezTo>
                  <a:pt x="0" y="2518"/>
                  <a:pt x="2518" y="0"/>
                  <a:pt x="5625" y="0"/>
                </a:cubicBezTo>
                <a:cubicBezTo>
                  <a:pt x="8732" y="0"/>
                  <a:pt x="11250" y="2518"/>
                  <a:pt x="11250" y="5625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45" name="Freeform: Shape 244">
            <a:extLst>
              <a:ext uri="{FF2B5EF4-FFF2-40B4-BE49-F238E27FC236}">
                <a16:creationId xmlns:a16="http://schemas.microsoft.com/office/drawing/2014/main" id="{50071293-3E85-49CE-AAF0-FB4C3AFED4D9}"/>
              </a:ext>
            </a:extLst>
          </xdr:cNvPr>
          <xdr:cNvSpPr/>
        </xdr:nvSpPr>
        <xdr:spPr>
          <a:xfrm>
            <a:off x="10057717" y="6191459"/>
            <a:ext cx="11250" cy="11250"/>
          </a:xfrm>
          <a:custGeom>
            <a:avLst/>
            <a:gdLst>
              <a:gd name="connsiteX0" fmla="*/ 11250 w 11250"/>
              <a:gd name="connsiteY0" fmla="*/ 5625 h 11250"/>
              <a:gd name="connsiteX1" fmla="*/ 5625 w 11250"/>
              <a:gd name="connsiteY1" fmla="*/ 11250 h 11250"/>
              <a:gd name="connsiteX2" fmla="*/ 0 w 11250"/>
              <a:gd name="connsiteY2" fmla="*/ 5625 h 11250"/>
              <a:gd name="connsiteX3" fmla="*/ 5625 w 11250"/>
              <a:gd name="connsiteY3" fmla="*/ 0 h 11250"/>
              <a:gd name="connsiteX4" fmla="*/ 11250 w 11250"/>
              <a:gd name="connsiteY4" fmla="*/ 5625 h 1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250" h="11250">
                <a:moveTo>
                  <a:pt x="11250" y="5625"/>
                </a:moveTo>
                <a:cubicBezTo>
                  <a:pt x="11250" y="8732"/>
                  <a:pt x="8732" y="11250"/>
                  <a:pt x="5625" y="11250"/>
                </a:cubicBezTo>
                <a:cubicBezTo>
                  <a:pt x="2518" y="11250"/>
                  <a:pt x="0" y="8732"/>
                  <a:pt x="0" y="5625"/>
                </a:cubicBezTo>
                <a:cubicBezTo>
                  <a:pt x="0" y="2518"/>
                  <a:pt x="2518" y="0"/>
                  <a:pt x="5625" y="0"/>
                </a:cubicBezTo>
                <a:cubicBezTo>
                  <a:pt x="8732" y="0"/>
                  <a:pt x="11250" y="2518"/>
                  <a:pt x="11250" y="5625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46" name="Freeform: Shape 245">
            <a:extLst>
              <a:ext uri="{FF2B5EF4-FFF2-40B4-BE49-F238E27FC236}">
                <a16:creationId xmlns:a16="http://schemas.microsoft.com/office/drawing/2014/main" id="{0B2DE67E-1C3F-4C68-B06A-B5FAC9F98370}"/>
              </a:ext>
            </a:extLst>
          </xdr:cNvPr>
          <xdr:cNvSpPr/>
        </xdr:nvSpPr>
        <xdr:spPr>
          <a:xfrm>
            <a:off x="10083967" y="6315210"/>
            <a:ext cx="11250" cy="11250"/>
          </a:xfrm>
          <a:custGeom>
            <a:avLst/>
            <a:gdLst>
              <a:gd name="connsiteX0" fmla="*/ 11250 w 11250"/>
              <a:gd name="connsiteY0" fmla="*/ 5625 h 11250"/>
              <a:gd name="connsiteX1" fmla="*/ 5625 w 11250"/>
              <a:gd name="connsiteY1" fmla="*/ 11250 h 11250"/>
              <a:gd name="connsiteX2" fmla="*/ 0 w 11250"/>
              <a:gd name="connsiteY2" fmla="*/ 5625 h 11250"/>
              <a:gd name="connsiteX3" fmla="*/ 5625 w 11250"/>
              <a:gd name="connsiteY3" fmla="*/ 0 h 11250"/>
              <a:gd name="connsiteX4" fmla="*/ 11250 w 11250"/>
              <a:gd name="connsiteY4" fmla="*/ 5625 h 1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250" h="11250">
                <a:moveTo>
                  <a:pt x="11250" y="5625"/>
                </a:moveTo>
                <a:cubicBezTo>
                  <a:pt x="11250" y="8732"/>
                  <a:pt x="8732" y="11250"/>
                  <a:pt x="5625" y="11250"/>
                </a:cubicBezTo>
                <a:cubicBezTo>
                  <a:pt x="2518" y="11250"/>
                  <a:pt x="0" y="8732"/>
                  <a:pt x="0" y="5625"/>
                </a:cubicBezTo>
                <a:cubicBezTo>
                  <a:pt x="0" y="2518"/>
                  <a:pt x="2518" y="0"/>
                  <a:pt x="5625" y="0"/>
                </a:cubicBezTo>
                <a:cubicBezTo>
                  <a:pt x="8732" y="0"/>
                  <a:pt x="11250" y="2518"/>
                  <a:pt x="11250" y="5625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47" name="Freeform: Shape 246">
            <a:extLst>
              <a:ext uri="{FF2B5EF4-FFF2-40B4-BE49-F238E27FC236}">
                <a16:creationId xmlns:a16="http://schemas.microsoft.com/office/drawing/2014/main" id="{1BD864EF-4542-4DF5-9C7B-0277DB05AFD3}"/>
              </a:ext>
            </a:extLst>
          </xdr:cNvPr>
          <xdr:cNvSpPr/>
        </xdr:nvSpPr>
        <xdr:spPr>
          <a:xfrm>
            <a:off x="9923057" y="6176458"/>
            <a:ext cx="37500" cy="37500"/>
          </a:xfrm>
          <a:custGeom>
            <a:avLst/>
            <a:gdLst>
              <a:gd name="connsiteX0" fmla="*/ 29218 w 37500"/>
              <a:gd name="connsiteY0" fmla="*/ 13584 h 37500"/>
              <a:gd name="connsiteX1" fmla="*/ 34658 w 37500"/>
              <a:gd name="connsiteY1" fmla="*/ 8144 h 37500"/>
              <a:gd name="connsiteX2" fmla="*/ 29355 w 37500"/>
              <a:gd name="connsiteY2" fmla="*/ 2842 h 37500"/>
              <a:gd name="connsiteX3" fmla="*/ 23916 w 37500"/>
              <a:gd name="connsiteY3" fmla="*/ 8282 h 37500"/>
              <a:gd name="connsiteX4" fmla="*/ 22500 w 37500"/>
              <a:gd name="connsiteY4" fmla="*/ 7701 h 37500"/>
              <a:gd name="connsiteX5" fmla="*/ 22500 w 37500"/>
              <a:gd name="connsiteY5" fmla="*/ 0 h 37500"/>
              <a:gd name="connsiteX6" fmla="*/ 15000 w 37500"/>
              <a:gd name="connsiteY6" fmla="*/ 0 h 37500"/>
              <a:gd name="connsiteX7" fmla="*/ 15000 w 37500"/>
              <a:gd name="connsiteY7" fmla="*/ 7701 h 37500"/>
              <a:gd name="connsiteX8" fmla="*/ 13582 w 37500"/>
              <a:gd name="connsiteY8" fmla="*/ 8282 h 37500"/>
              <a:gd name="connsiteX9" fmla="*/ 8143 w 37500"/>
              <a:gd name="connsiteY9" fmla="*/ 2842 h 37500"/>
              <a:gd name="connsiteX10" fmla="*/ 2840 w 37500"/>
              <a:gd name="connsiteY10" fmla="*/ 8145 h 37500"/>
              <a:gd name="connsiteX11" fmla="*/ 8280 w 37500"/>
              <a:gd name="connsiteY11" fmla="*/ 13584 h 37500"/>
              <a:gd name="connsiteX12" fmla="*/ 7699 w 37500"/>
              <a:gd name="connsiteY12" fmla="*/ 15000 h 37500"/>
              <a:gd name="connsiteX13" fmla="*/ 0 w 37500"/>
              <a:gd name="connsiteY13" fmla="*/ 15000 h 37500"/>
              <a:gd name="connsiteX14" fmla="*/ 0 w 37500"/>
              <a:gd name="connsiteY14" fmla="*/ 22500 h 37500"/>
              <a:gd name="connsiteX15" fmla="*/ 7699 w 37500"/>
              <a:gd name="connsiteY15" fmla="*/ 22500 h 37500"/>
              <a:gd name="connsiteX16" fmla="*/ 8280 w 37500"/>
              <a:gd name="connsiteY16" fmla="*/ 23917 h 37500"/>
              <a:gd name="connsiteX17" fmla="*/ 2840 w 37500"/>
              <a:gd name="connsiteY17" fmla="*/ 29357 h 37500"/>
              <a:gd name="connsiteX18" fmla="*/ 8143 w 37500"/>
              <a:gd name="connsiteY18" fmla="*/ 34660 h 37500"/>
              <a:gd name="connsiteX19" fmla="*/ 13582 w 37500"/>
              <a:gd name="connsiteY19" fmla="*/ 29220 h 37500"/>
              <a:gd name="connsiteX20" fmla="*/ 15000 w 37500"/>
              <a:gd name="connsiteY20" fmla="*/ 29801 h 37500"/>
              <a:gd name="connsiteX21" fmla="*/ 15000 w 37500"/>
              <a:gd name="connsiteY21" fmla="*/ 37500 h 37500"/>
              <a:gd name="connsiteX22" fmla="*/ 22500 w 37500"/>
              <a:gd name="connsiteY22" fmla="*/ 37500 h 37500"/>
              <a:gd name="connsiteX23" fmla="*/ 22500 w 37500"/>
              <a:gd name="connsiteY23" fmla="*/ 29800 h 37500"/>
              <a:gd name="connsiteX24" fmla="*/ 23915 w 37500"/>
              <a:gd name="connsiteY24" fmla="*/ 29220 h 37500"/>
              <a:gd name="connsiteX25" fmla="*/ 29355 w 37500"/>
              <a:gd name="connsiteY25" fmla="*/ 34660 h 37500"/>
              <a:gd name="connsiteX26" fmla="*/ 34658 w 37500"/>
              <a:gd name="connsiteY26" fmla="*/ 29357 h 37500"/>
              <a:gd name="connsiteX27" fmla="*/ 29218 w 37500"/>
              <a:gd name="connsiteY27" fmla="*/ 23917 h 37500"/>
              <a:gd name="connsiteX28" fmla="*/ 29799 w 37500"/>
              <a:gd name="connsiteY28" fmla="*/ 22500 h 37500"/>
              <a:gd name="connsiteX29" fmla="*/ 37500 w 37500"/>
              <a:gd name="connsiteY29" fmla="*/ 22500 h 37500"/>
              <a:gd name="connsiteX30" fmla="*/ 37500 w 37500"/>
              <a:gd name="connsiteY30" fmla="*/ 15000 h 37500"/>
              <a:gd name="connsiteX31" fmla="*/ 29799 w 37500"/>
              <a:gd name="connsiteY31" fmla="*/ 15000 h 37500"/>
              <a:gd name="connsiteX32" fmla="*/ 29218 w 37500"/>
              <a:gd name="connsiteY32" fmla="*/ 13584 h 37500"/>
              <a:gd name="connsiteX33" fmla="*/ 18749 w 37500"/>
              <a:gd name="connsiteY33" fmla="*/ 22969 h 37500"/>
              <a:gd name="connsiteX34" fmla="*/ 14530 w 37500"/>
              <a:gd name="connsiteY34" fmla="*/ 18750 h 37500"/>
              <a:gd name="connsiteX35" fmla="*/ 18749 w 37500"/>
              <a:gd name="connsiteY35" fmla="*/ 14532 h 37500"/>
              <a:gd name="connsiteX36" fmla="*/ 22968 w 37500"/>
              <a:gd name="connsiteY36" fmla="*/ 18750 h 37500"/>
              <a:gd name="connsiteX37" fmla="*/ 18749 w 37500"/>
              <a:gd name="connsiteY37" fmla="*/ 22969 h 3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</a:cxnLst>
            <a:rect l="l" t="t" r="r" b="b"/>
            <a:pathLst>
              <a:path w="37500" h="37500">
                <a:moveTo>
                  <a:pt x="29218" y="13584"/>
                </a:moveTo>
                <a:lnTo>
                  <a:pt x="34658" y="8144"/>
                </a:lnTo>
                <a:lnTo>
                  <a:pt x="29355" y="2842"/>
                </a:lnTo>
                <a:lnTo>
                  <a:pt x="23916" y="8282"/>
                </a:lnTo>
                <a:cubicBezTo>
                  <a:pt x="23457" y="8057"/>
                  <a:pt x="22984" y="7863"/>
                  <a:pt x="22500" y="7701"/>
                </a:cubicBezTo>
                <a:lnTo>
                  <a:pt x="22500" y="0"/>
                </a:lnTo>
                <a:lnTo>
                  <a:pt x="15000" y="0"/>
                </a:lnTo>
                <a:lnTo>
                  <a:pt x="15000" y="7701"/>
                </a:lnTo>
                <a:cubicBezTo>
                  <a:pt x="14515" y="7862"/>
                  <a:pt x="14042" y="8056"/>
                  <a:pt x="13582" y="8282"/>
                </a:cubicBezTo>
                <a:lnTo>
                  <a:pt x="8143" y="2842"/>
                </a:lnTo>
                <a:lnTo>
                  <a:pt x="2840" y="8145"/>
                </a:lnTo>
                <a:lnTo>
                  <a:pt x="8280" y="13584"/>
                </a:lnTo>
                <a:cubicBezTo>
                  <a:pt x="8055" y="14043"/>
                  <a:pt x="7862" y="14516"/>
                  <a:pt x="7699" y="15000"/>
                </a:cubicBezTo>
                <a:lnTo>
                  <a:pt x="0" y="15000"/>
                </a:lnTo>
                <a:lnTo>
                  <a:pt x="0" y="22500"/>
                </a:lnTo>
                <a:lnTo>
                  <a:pt x="7699" y="22500"/>
                </a:lnTo>
                <a:cubicBezTo>
                  <a:pt x="7861" y="22985"/>
                  <a:pt x="8055" y="23458"/>
                  <a:pt x="8280" y="23917"/>
                </a:cubicBezTo>
                <a:lnTo>
                  <a:pt x="2840" y="29357"/>
                </a:lnTo>
                <a:lnTo>
                  <a:pt x="8143" y="34660"/>
                </a:lnTo>
                <a:lnTo>
                  <a:pt x="13582" y="29220"/>
                </a:lnTo>
                <a:cubicBezTo>
                  <a:pt x="14042" y="29445"/>
                  <a:pt x="14515" y="29638"/>
                  <a:pt x="15000" y="29801"/>
                </a:cubicBezTo>
                <a:lnTo>
                  <a:pt x="15000" y="37500"/>
                </a:lnTo>
                <a:lnTo>
                  <a:pt x="22500" y="37500"/>
                </a:lnTo>
                <a:lnTo>
                  <a:pt x="22500" y="29800"/>
                </a:lnTo>
                <a:cubicBezTo>
                  <a:pt x="22984" y="29638"/>
                  <a:pt x="23457" y="29445"/>
                  <a:pt x="23915" y="29220"/>
                </a:cubicBezTo>
                <a:lnTo>
                  <a:pt x="29355" y="34660"/>
                </a:lnTo>
                <a:lnTo>
                  <a:pt x="34658" y="29357"/>
                </a:lnTo>
                <a:lnTo>
                  <a:pt x="29218" y="23917"/>
                </a:lnTo>
                <a:cubicBezTo>
                  <a:pt x="29443" y="23458"/>
                  <a:pt x="29637" y="22985"/>
                  <a:pt x="29799" y="22500"/>
                </a:cubicBezTo>
                <a:lnTo>
                  <a:pt x="37500" y="22500"/>
                </a:lnTo>
                <a:lnTo>
                  <a:pt x="37500" y="15000"/>
                </a:lnTo>
                <a:lnTo>
                  <a:pt x="29799" y="15000"/>
                </a:lnTo>
                <a:cubicBezTo>
                  <a:pt x="29637" y="14516"/>
                  <a:pt x="29443" y="14043"/>
                  <a:pt x="29218" y="13584"/>
                </a:cubicBezTo>
                <a:close/>
                <a:moveTo>
                  <a:pt x="18749" y="22969"/>
                </a:moveTo>
                <a:cubicBezTo>
                  <a:pt x="16419" y="22969"/>
                  <a:pt x="14530" y="21080"/>
                  <a:pt x="14530" y="18750"/>
                </a:cubicBezTo>
                <a:cubicBezTo>
                  <a:pt x="14530" y="16420"/>
                  <a:pt x="16419" y="14532"/>
                  <a:pt x="18749" y="14532"/>
                </a:cubicBezTo>
                <a:cubicBezTo>
                  <a:pt x="21079" y="14532"/>
                  <a:pt x="22968" y="16420"/>
                  <a:pt x="22968" y="18750"/>
                </a:cubicBezTo>
                <a:cubicBezTo>
                  <a:pt x="22965" y="21079"/>
                  <a:pt x="21078" y="22967"/>
                  <a:pt x="18749" y="22969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48" name="Freeform: Shape 247">
            <a:extLst>
              <a:ext uri="{FF2B5EF4-FFF2-40B4-BE49-F238E27FC236}">
                <a16:creationId xmlns:a16="http://schemas.microsoft.com/office/drawing/2014/main" id="{B63DEF3E-985A-4E0A-8869-4A219949B203}"/>
              </a:ext>
            </a:extLst>
          </xdr:cNvPr>
          <xdr:cNvSpPr/>
        </xdr:nvSpPr>
        <xdr:spPr>
          <a:xfrm>
            <a:off x="9885554" y="6262708"/>
            <a:ext cx="52503" cy="52503"/>
          </a:xfrm>
          <a:custGeom>
            <a:avLst/>
            <a:gdLst>
              <a:gd name="connsiteX0" fmla="*/ 40164 w 52503"/>
              <a:gd name="connsiteY0" fmla="*/ 17644 h 52503"/>
              <a:gd name="connsiteX1" fmla="*/ 47466 w 52503"/>
              <a:gd name="connsiteY1" fmla="*/ 10342 h 52503"/>
              <a:gd name="connsiteX2" fmla="*/ 42164 w 52503"/>
              <a:gd name="connsiteY2" fmla="*/ 5039 h 52503"/>
              <a:gd name="connsiteX3" fmla="*/ 34861 w 52503"/>
              <a:gd name="connsiteY3" fmla="*/ 12341 h 52503"/>
              <a:gd name="connsiteX4" fmla="*/ 30002 w 52503"/>
              <a:gd name="connsiteY4" fmla="*/ 10316 h 52503"/>
              <a:gd name="connsiteX5" fmla="*/ 30002 w 52503"/>
              <a:gd name="connsiteY5" fmla="*/ 0 h 52503"/>
              <a:gd name="connsiteX6" fmla="*/ 22502 w 52503"/>
              <a:gd name="connsiteY6" fmla="*/ 0 h 52503"/>
              <a:gd name="connsiteX7" fmla="*/ 22502 w 52503"/>
              <a:gd name="connsiteY7" fmla="*/ 10316 h 52503"/>
              <a:gd name="connsiteX8" fmla="*/ 17643 w 52503"/>
              <a:gd name="connsiteY8" fmla="*/ 12341 h 52503"/>
              <a:gd name="connsiteX9" fmla="*/ 10340 w 52503"/>
              <a:gd name="connsiteY9" fmla="*/ 5039 h 52503"/>
              <a:gd name="connsiteX10" fmla="*/ 5037 w 52503"/>
              <a:gd name="connsiteY10" fmla="*/ 10342 h 52503"/>
              <a:gd name="connsiteX11" fmla="*/ 12340 w 52503"/>
              <a:gd name="connsiteY11" fmla="*/ 17644 h 52503"/>
              <a:gd name="connsiteX12" fmla="*/ 10316 w 52503"/>
              <a:gd name="connsiteY12" fmla="*/ 22502 h 52503"/>
              <a:gd name="connsiteX13" fmla="*/ 0 w 52503"/>
              <a:gd name="connsiteY13" fmla="*/ 22502 h 52503"/>
              <a:gd name="connsiteX14" fmla="*/ 0 w 52503"/>
              <a:gd name="connsiteY14" fmla="*/ 30002 h 52503"/>
              <a:gd name="connsiteX15" fmla="*/ 10316 w 52503"/>
              <a:gd name="connsiteY15" fmla="*/ 30002 h 52503"/>
              <a:gd name="connsiteX16" fmla="*/ 12341 w 52503"/>
              <a:gd name="connsiteY16" fmla="*/ 34861 h 52503"/>
              <a:gd name="connsiteX17" fmla="*/ 5037 w 52503"/>
              <a:gd name="connsiteY17" fmla="*/ 42164 h 52503"/>
              <a:gd name="connsiteX18" fmla="*/ 10340 w 52503"/>
              <a:gd name="connsiteY18" fmla="*/ 47466 h 52503"/>
              <a:gd name="connsiteX19" fmla="*/ 17643 w 52503"/>
              <a:gd name="connsiteY19" fmla="*/ 40164 h 52503"/>
              <a:gd name="connsiteX20" fmla="*/ 22502 w 52503"/>
              <a:gd name="connsiteY20" fmla="*/ 42189 h 52503"/>
              <a:gd name="connsiteX21" fmla="*/ 22502 w 52503"/>
              <a:gd name="connsiteY21" fmla="*/ 52504 h 52503"/>
              <a:gd name="connsiteX22" fmla="*/ 30002 w 52503"/>
              <a:gd name="connsiteY22" fmla="*/ 52504 h 52503"/>
              <a:gd name="connsiteX23" fmla="*/ 30002 w 52503"/>
              <a:gd name="connsiteY23" fmla="*/ 42189 h 52503"/>
              <a:gd name="connsiteX24" fmla="*/ 34861 w 52503"/>
              <a:gd name="connsiteY24" fmla="*/ 40164 h 52503"/>
              <a:gd name="connsiteX25" fmla="*/ 42164 w 52503"/>
              <a:gd name="connsiteY25" fmla="*/ 47467 h 52503"/>
              <a:gd name="connsiteX26" fmla="*/ 47466 w 52503"/>
              <a:gd name="connsiteY26" fmla="*/ 42164 h 52503"/>
              <a:gd name="connsiteX27" fmla="*/ 40164 w 52503"/>
              <a:gd name="connsiteY27" fmla="*/ 34861 h 52503"/>
              <a:gd name="connsiteX28" fmla="*/ 42189 w 52503"/>
              <a:gd name="connsiteY28" fmla="*/ 30002 h 52503"/>
              <a:gd name="connsiteX29" fmla="*/ 52504 w 52503"/>
              <a:gd name="connsiteY29" fmla="*/ 30002 h 52503"/>
              <a:gd name="connsiteX30" fmla="*/ 52504 w 52503"/>
              <a:gd name="connsiteY30" fmla="*/ 22502 h 52503"/>
              <a:gd name="connsiteX31" fmla="*/ 42189 w 52503"/>
              <a:gd name="connsiteY31" fmla="*/ 22502 h 52503"/>
              <a:gd name="connsiteX32" fmla="*/ 40164 w 52503"/>
              <a:gd name="connsiteY32" fmla="*/ 17644 h 52503"/>
              <a:gd name="connsiteX33" fmla="*/ 26252 w 52503"/>
              <a:gd name="connsiteY33" fmla="*/ 35160 h 52503"/>
              <a:gd name="connsiteX34" fmla="*/ 17345 w 52503"/>
              <a:gd name="connsiteY34" fmla="*/ 26253 h 52503"/>
              <a:gd name="connsiteX35" fmla="*/ 26252 w 52503"/>
              <a:gd name="connsiteY35" fmla="*/ 17345 h 52503"/>
              <a:gd name="connsiteX36" fmla="*/ 35160 w 52503"/>
              <a:gd name="connsiteY36" fmla="*/ 26252 h 52503"/>
              <a:gd name="connsiteX37" fmla="*/ 26252 w 52503"/>
              <a:gd name="connsiteY37" fmla="*/ 35160 h 525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</a:cxnLst>
            <a:rect l="l" t="t" r="r" b="b"/>
            <a:pathLst>
              <a:path w="52503" h="52503">
                <a:moveTo>
                  <a:pt x="40164" y="17644"/>
                </a:moveTo>
                <a:lnTo>
                  <a:pt x="47466" y="10342"/>
                </a:lnTo>
                <a:lnTo>
                  <a:pt x="42164" y="5039"/>
                </a:lnTo>
                <a:lnTo>
                  <a:pt x="34861" y="12341"/>
                </a:lnTo>
                <a:cubicBezTo>
                  <a:pt x="33362" y="11406"/>
                  <a:pt x="31721" y="10722"/>
                  <a:pt x="30002" y="10316"/>
                </a:cubicBezTo>
                <a:lnTo>
                  <a:pt x="30002" y="0"/>
                </a:lnTo>
                <a:lnTo>
                  <a:pt x="22502" y="0"/>
                </a:lnTo>
                <a:lnTo>
                  <a:pt x="22502" y="10316"/>
                </a:lnTo>
                <a:cubicBezTo>
                  <a:pt x="20783" y="10722"/>
                  <a:pt x="19142" y="11406"/>
                  <a:pt x="17643" y="12341"/>
                </a:cubicBezTo>
                <a:lnTo>
                  <a:pt x="10340" y="5039"/>
                </a:lnTo>
                <a:lnTo>
                  <a:pt x="5037" y="10342"/>
                </a:lnTo>
                <a:lnTo>
                  <a:pt x="12340" y="17644"/>
                </a:lnTo>
                <a:cubicBezTo>
                  <a:pt x="11406" y="19143"/>
                  <a:pt x="10722" y="20783"/>
                  <a:pt x="10316" y="22502"/>
                </a:cubicBezTo>
                <a:lnTo>
                  <a:pt x="0" y="22502"/>
                </a:lnTo>
                <a:lnTo>
                  <a:pt x="0" y="30002"/>
                </a:lnTo>
                <a:lnTo>
                  <a:pt x="10316" y="30002"/>
                </a:lnTo>
                <a:cubicBezTo>
                  <a:pt x="10722" y="31721"/>
                  <a:pt x="11406" y="33362"/>
                  <a:pt x="12341" y="34861"/>
                </a:cubicBezTo>
                <a:lnTo>
                  <a:pt x="5037" y="42164"/>
                </a:lnTo>
                <a:lnTo>
                  <a:pt x="10340" y="47466"/>
                </a:lnTo>
                <a:lnTo>
                  <a:pt x="17643" y="40164"/>
                </a:lnTo>
                <a:cubicBezTo>
                  <a:pt x="19142" y="41098"/>
                  <a:pt x="20783" y="41782"/>
                  <a:pt x="22502" y="42189"/>
                </a:cubicBezTo>
                <a:lnTo>
                  <a:pt x="22502" y="52504"/>
                </a:lnTo>
                <a:lnTo>
                  <a:pt x="30002" y="52504"/>
                </a:lnTo>
                <a:lnTo>
                  <a:pt x="30002" y="42189"/>
                </a:lnTo>
                <a:cubicBezTo>
                  <a:pt x="31721" y="41783"/>
                  <a:pt x="33362" y="41099"/>
                  <a:pt x="34861" y="40164"/>
                </a:cubicBezTo>
                <a:lnTo>
                  <a:pt x="42164" y="47467"/>
                </a:lnTo>
                <a:lnTo>
                  <a:pt x="47466" y="42164"/>
                </a:lnTo>
                <a:lnTo>
                  <a:pt x="40164" y="34861"/>
                </a:lnTo>
                <a:cubicBezTo>
                  <a:pt x="41098" y="33362"/>
                  <a:pt x="41782" y="31721"/>
                  <a:pt x="42189" y="30002"/>
                </a:cubicBezTo>
                <a:lnTo>
                  <a:pt x="52504" y="30002"/>
                </a:lnTo>
                <a:lnTo>
                  <a:pt x="52504" y="22502"/>
                </a:lnTo>
                <a:lnTo>
                  <a:pt x="42189" y="22502"/>
                </a:lnTo>
                <a:cubicBezTo>
                  <a:pt x="41782" y="20783"/>
                  <a:pt x="41098" y="19143"/>
                  <a:pt x="40164" y="17644"/>
                </a:cubicBezTo>
                <a:close/>
                <a:moveTo>
                  <a:pt x="26252" y="35160"/>
                </a:moveTo>
                <a:cubicBezTo>
                  <a:pt x="21333" y="35160"/>
                  <a:pt x="17345" y="31172"/>
                  <a:pt x="17345" y="26253"/>
                </a:cubicBezTo>
                <a:cubicBezTo>
                  <a:pt x="17345" y="21333"/>
                  <a:pt x="21333" y="17345"/>
                  <a:pt x="26252" y="17345"/>
                </a:cubicBezTo>
                <a:cubicBezTo>
                  <a:pt x="31172" y="17345"/>
                  <a:pt x="35159" y="21333"/>
                  <a:pt x="35160" y="26252"/>
                </a:cubicBezTo>
                <a:cubicBezTo>
                  <a:pt x="35154" y="31170"/>
                  <a:pt x="31169" y="35154"/>
                  <a:pt x="26252" y="3516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49" name="Freeform: Shape 248">
            <a:extLst>
              <a:ext uri="{FF2B5EF4-FFF2-40B4-BE49-F238E27FC236}">
                <a16:creationId xmlns:a16="http://schemas.microsoft.com/office/drawing/2014/main" id="{74BCC24A-B1AD-44B4-B15C-C7F021E35E4C}"/>
              </a:ext>
            </a:extLst>
          </xdr:cNvPr>
          <xdr:cNvSpPr/>
        </xdr:nvSpPr>
        <xdr:spPr>
          <a:xfrm>
            <a:off x="10065217" y="6225208"/>
            <a:ext cx="56249" cy="56250"/>
          </a:xfrm>
          <a:custGeom>
            <a:avLst/>
            <a:gdLst>
              <a:gd name="connsiteX0" fmla="*/ 42896 w 56249"/>
              <a:gd name="connsiteY0" fmla="*/ 18657 h 56250"/>
              <a:gd name="connsiteX1" fmla="*/ 50663 w 56249"/>
              <a:gd name="connsiteY1" fmla="*/ 10889 h 56250"/>
              <a:gd name="connsiteX2" fmla="*/ 45361 w 56249"/>
              <a:gd name="connsiteY2" fmla="*/ 5587 h 56250"/>
              <a:gd name="connsiteX3" fmla="*/ 37593 w 56249"/>
              <a:gd name="connsiteY3" fmla="*/ 13354 h 56250"/>
              <a:gd name="connsiteX4" fmla="*/ 31875 w 56249"/>
              <a:gd name="connsiteY4" fmla="*/ 10969 h 56250"/>
              <a:gd name="connsiteX5" fmla="*/ 31875 w 56249"/>
              <a:gd name="connsiteY5" fmla="*/ 0 h 56250"/>
              <a:gd name="connsiteX6" fmla="*/ 24375 w 56249"/>
              <a:gd name="connsiteY6" fmla="*/ 0 h 56250"/>
              <a:gd name="connsiteX7" fmla="*/ 24375 w 56249"/>
              <a:gd name="connsiteY7" fmla="*/ 10969 h 56250"/>
              <a:gd name="connsiteX8" fmla="*/ 18657 w 56249"/>
              <a:gd name="connsiteY8" fmla="*/ 13354 h 56250"/>
              <a:gd name="connsiteX9" fmla="*/ 10889 w 56249"/>
              <a:gd name="connsiteY9" fmla="*/ 5587 h 56250"/>
              <a:gd name="connsiteX10" fmla="*/ 5586 w 56249"/>
              <a:gd name="connsiteY10" fmla="*/ 10889 h 56250"/>
              <a:gd name="connsiteX11" fmla="*/ 13354 w 56249"/>
              <a:gd name="connsiteY11" fmla="*/ 18657 h 56250"/>
              <a:gd name="connsiteX12" fmla="*/ 10968 w 56249"/>
              <a:gd name="connsiteY12" fmla="*/ 24375 h 56250"/>
              <a:gd name="connsiteX13" fmla="*/ 0 w 56249"/>
              <a:gd name="connsiteY13" fmla="*/ 24375 h 56250"/>
              <a:gd name="connsiteX14" fmla="*/ 0 w 56249"/>
              <a:gd name="connsiteY14" fmla="*/ 31875 h 56250"/>
              <a:gd name="connsiteX15" fmla="*/ 10968 w 56249"/>
              <a:gd name="connsiteY15" fmla="*/ 31875 h 56250"/>
              <a:gd name="connsiteX16" fmla="*/ 13353 w 56249"/>
              <a:gd name="connsiteY16" fmla="*/ 37595 h 56250"/>
              <a:gd name="connsiteX17" fmla="*/ 5586 w 56249"/>
              <a:gd name="connsiteY17" fmla="*/ 45361 h 56250"/>
              <a:gd name="connsiteX18" fmla="*/ 10889 w 56249"/>
              <a:gd name="connsiteY18" fmla="*/ 50663 h 56250"/>
              <a:gd name="connsiteX19" fmla="*/ 18656 w 56249"/>
              <a:gd name="connsiteY19" fmla="*/ 42896 h 56250"/>
              <a:gd name="connsiteX20" fmla="*/ 24375 w 56249"/>
              <a:gd name="connsiteY20" fmla="*/ 45282 h 56250"/>
              <a:gd name="connsiteX21" fmla="*/ 24375 w 56249"/>
              <a:gd name="connsiteY21" fmla="*/ 56250 h 56250"/>
              <a:gd name="connsiteX22" fmla="*/ 31875 w 56249"/>
              <a:gd name="connsiteY22" fmla="*/ 56250 h 56250"/>
              <a:gd name="connsiteX23" fmla="*/ 31875 w 56249"/>
              <a:gd name="connsiteY23" fmla="*/ 45282 h 56250"/>
              <a:gd name="connsiteX24" fmla="*/ 37593 w 56249"/>
              <a:gd name="connsiteY24" fmla="*/ 42897 h 56250"/>
              <a:gd name="connsiteX25" fmla="*/ 45360 w 56249"/>
              <a:gd name="connsiteY25" fmla="*/ 50664 h 56250"/>
              <a:gd name="connsiteX26" fmla="*/ 50663 w 56249"/>
              <a:gd name="connsiteY26" fmla="*/ 45361 h 56250"/>
              <a:gd name="connsiteX27" fmla="*/ 42896 w 56249"/>
              <a:gd name="connsiteY27" fmla="*/ 37593 h 56250"/>
              <a:gd name="connsiteX28" fmla="*/ 45281 w 56249"/>
              <a:gd name="connsiteY28" fmla="*/ 31875 h 56250"/>
              <a:gd name="connsiteX29" fmla="*/ 56250 w 56249"/>
              <a:gd name="connsiteY29" fmla="*/ 31875 h 56250"/>
              <a:gd name="connsiteX30" fmla="*/ 56250 w 56249"/>
              <a:gd name="connsiteY30" fmla="*/ 24375 h 56250"/>
              <a:gd name="connsiteX31" fmla="*/ 45281 w 56249"/>
              <a:gd name="connsiteY31" fmla="*/ 24375 h 56250"/>
              <a:gd name="connsiteX32" fmla="*/ 42896 w 56249"/>
              <a:gd name="connsiteY32" fmla="*/ 18657 h 56250"/>
              <a:gd name="connsiteX33" fmla="*/ 28125 w 56249"/>
              <a:gd name="connsiteY33" fmla="*/ 38203 h 56250"/>
              <a:gd name="connsiteX34" fmla="*/ 18047 w 56249"/>
              <a:gd name="connsiteY34" fmla="*/ 28125 h 56250"/>
              <a:gd name="connsiteX35" fmla="*/ 28125 w 56249"/>
              <a:gd name="connsiteY35" fmla="*/ 18047 h 56250"/>
              <a:gd name="connsiteX36" fmla="*/ 38203 w 56249"/>
              <a:gd name="connsiteY36" fmla="*/ 28125 h 56250"/>
              <a:gd name="connsiteX37" fmla="*/ 28125 w 56249"/>
              <a:gd name="connsiteY37" fmla="*/ 38203 h 56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</a:cxnLst>
            <a:rect l="l" t="t" r="r" b="b"/>
            <a:pathLst>
              <a:path w="56249" h="56250">
                <a:moveTo>
                  <a:pt x="42896" y="18657"/>
                </a:moveTo>
                <a:lnTo>
                  <a:pt x="50663" y="10889"/>
                </a:lnTo>
                <a:lnTo>
                  <a:pt x="45361" y="5587"/>
                </a:lnTo>
                <a:lnTo>
                  <a:pt x="37593" y="13354"/>
                </a:lnTo>
                <a:cubicBezTo>
                  <a:pt x="35845" y="12224"/>
                  <a:pt x="33908" y="11416"/>
                  <a:pt x="31875" y="10969"/>
                </a:cubicBezTo>
                <a:lnTo>
                  <a:pt x="31875" y="0"/>
                </a:lnTo>
                <a:lnTo>
                  <a:pt x="24375" y="0"/>
                </a:lnTo>
                <a:lnTo>
                  <a:pt x="24375" y="10969"/>
                </a:lnTo>
                <a:cubicBezTo>
                  <a:pt x="22342" y="11416"/>
                  <a:pt x="20405" y="12224"/>
                  <a:pt x="18657" y="13354"/>
                </a:cubicBezTo>
                <a:lnTo>
                  <a:pt x="10889" y="5587"/>
                </a:lnTo>
                <a:lnTo>
                  <a:pt x="5586" y="10889"/>
                </a:lnTo>
                <a:lnTo>
                  <a:pt x="13354" y="18657"/>
                </a:lnTo>
                <a:cubicBezTo>
                  <a:pt x="12224" y="20405"/>
                  <a:pt x="11416" y="22342"/>
                  <a:pt x="10968" y="24375"/>
                </a:cubicBezTo>
                <a:lnTo>
                  <a:pt x="0" y="24375"/>
                </a:lnTo>
                <a:lnTo>
                  <a:pt x="0" y="31875"/>
                </a:lnTo>
                <a:lnTo>
                  <a:pt x="10968" y="31875"/>
                </a:lnTo>
                <a:cubicBezTo>
                  <a:pt x="11415" y="33909"/>
                  <a:pt x="12223" y="35846"/>
                  <a:pt x="13353" y="37595"/>
                </a:cubicBezTo>
                <a:lnTo>
                  <a:pt x="5586" y="45361"/>
                </a:lnTo>
                <a:lnTo>
                  <a:pt x="10889" y="50663"/>
                </a:lnTo>
                <a:lnTo>
                  <a:pt x="18656" y="42896"/>
                </a:lnTo>
                <a:cubicBezTo>
                  <a:pt x="20405" y="44026"/>
                  <a:pt x="22341" y="44835"/>
                  <a:pt x="24375" y="45282"/>
                </a:cubicBezTo>
                <a:lnTo>
                  <a:pt x="24375" y="56250"/>
                </a:lnTo>
                <a:lnTo>
                  <a:pt x="31875" y="56250"/>
                </a:lnTo>
                <a:lnTo>
                  <a:pt x="31875" y="45282"/>
                </a:lnTo>
                <a:cubicBezTo>
                  <a:pt x="33908" y="44835"/>
                  <a:pt x="35845" y="44027"/>
                  <a:pt x="37593" y="42897"/>
                </a:cubicBezTo>
                <a:lnTo>
                  <a:pt x="45360" y="50664"/>
                </a:lnTo>
                <a:lnTo>
                  <a:pt x="50663" y="45361"/>
                </a:lnTo>
                <a:lnTo>
                  <a:pt x="42896" y="37593"/>
                </a:lnTo>
                <a:cubicBezTo>
                  <a:pt x="44026" y="35845"/>
                  <a:pt x="44834" y="33908"/>
                  <a:pt x="45281" y="31875"/>
                </a:cubicBezTo>
                <a:lnTo>
                  <a:pt x="56250" y="31875"/>
                </a:lnTo>
                <a:lnTo>
                  <a:pt x="56250" y="24375"/>
                </a:lnTo>
                <a:lnTo>
                  <a:pt x="45281" y="24375"/>
                </a:lnTo>
                <a:cubicBezTo>
                  <a:pt x="44833" y="22342"/>
                  <a:pt x="44025" y="20405"/>
                  <a:pt x="42896" y="18657"/>
                </a:cubicBezTo>
                <a:close/>
                <a:moveTo>
                  <a:pt x="28125" y="38203"/>
                </a:moveTo>
                <a:cubicBezTo>
                  <a:pt x="22559" y="38203"/>
                  <a:pt x="18047" y="33692"/>
                  <a:pt x="18047" y="28125"/>
                </a:cubicBezTo>
                <a:cubicBezTo>
                  <a:pt x="18047" y="22560"/>
                  <a:pt x="22559" y="18047"/>
                  <a:pt x="28125" y="18047"/>
                </a:cubicBezTo>
                <a:cubicBezTo>
                  <a:pt x="33690" y="18047"/>
                  <a:pt x="38203" y="22560"/>
                  <a:pt x="38203" y="28125"/>
                </a:cubicBezTo>
                <a:cubicBezTo>
                  <a:pt x="38196" y="33689"/>
                  <a:pt x="33688" y="38198"/>
                  <a:pt x="28125" y="38203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50" name="Freeform: Shape 249">
            <a:extLst>
              <a:ext uri="{FF2B5EF4-FFF2-40B4-BE49-F238E27FC236}">
                <a16:creationId xmlns:a16="http://schemas.microsoft.com/office/drawing/2014/main" id="{7E7A8EC3-B6CE-4F8B-BABB-6711046F7378}"/>
              </a:ext>
            </a:extLst>
          </xdr:cNvPr>
          <xdr:cNvSpPr/>
        </xdr:nvSpPr>
        <xdr:spPr>
          <a:xfrm>
            <a:off x="9851791" y="6082746"/>
            <a:ext cx="300003" cy="291783"/>
          </a:xfrm>
          <a:custGeom>
            <a:avLst/>
            <a:gdLst>
              <a:gd name="connsiteX0" fmla="*/ 204567 w 300003"/>
              <a:gd name="connsiteY0" fmla="*/ 37635 h 291783"/>
              <a:gd name="connsiteX1" fmla="*/ 192128 w 300003"/>
              <a:gd name="connsiteY1" fmla="*/ 34600 h 291783"/>
              <a:gd name="connsiteX2" fmla="*/ 183503 w 300003"/>
              <a:gd name="connsiteY2" fmla="*/ 39369 h 291783"/>
              <a:gd name="connsiteX3" fmla="*/ 177564 w 300003"/>
              <a:gd name="connsiteY3" fmla="*/ 82771 h 291783"/>
              <a:gd name="connsiteX4" fmla="*/ 171497 w 300003"/>
              <a:gd name="connsiteY4" fmla="*/ 86801 h 291783"/>
              <a:gd name="connsiteX5" fmla="*/ 170039 w 300003"/>
              <a:gd name="connsiteY5" fmla="*/ 86722 h 291783"/>
              <a:gd name="connsiteX6" fmla="*/ 165002 w 300003"/>
              <a:gd name="connsiteY6" fmla="*/ 75000 h 291783"/>
              <a:gd name="connsiteX7" fmla="*/ 165002 w 300003"/>
              <a:gd name="connsiteY7" fmla="*/ 0 h 291783"/>
              <a:gd name="connsiteX8" fmla="*/ 157502 w 300003"/>
              <a:gd name="connsiteY8" fmla="*/ 0 h 291783"/>
              <a:gd name="connsiteX9" fmla="*/ 157502 w 300003"/>
              <a:gd name="connsiteY9" fmla="*/ 7500 h 291783"/>
              <a:gd name="connsiteX10" fmla="*/ 142502 w 300003"/>
              <a:gd name="connsiteY10" fmla="*/ 7500 h 291783"/>
              <a:gd name="connsiteX11" fmla="*/ 142502 w 300003"/>
              <a:gd name="connsiteY11" fmla="*/ 0 h 291783"/>
              <a:gd name="connsiteX12" fmla="*/ 135002 w 300003"/>
              <a:gd name="connsiteY12" fmla="*/ 0 h 291783"/>
              <a:gd name="connsiteX13" fmla="*/ 135002 w 300003"/>
              <a:gd name="connsiteY13" fmla="*/ 75000 h 291783"/>
              <a:gd name="connsiteX14" fmla="*/ 129965 w 300003"/>
              <a:gd name="connsiteY14" fmla="*/ 86722 h 291783"/>
              <a:gd name="connsiteX15" fmla="*/ 128506 w 300003"/>
              <a:gd name="connsiteY15" fmla="*/ 86800 h 291783"/>
              <a:gd name="connsiteX16" fmla="*/ 122440 w 300003"/>
              <a:gd name="connsiteY16" fmla="*/ 82771 h 291783"/>
              <a:gd name="connsiteX17" fmla="*/ 116501 w 300003"/>
              <a:gd name="connsiteY17" fmla="*/ 39369 h 291783"/>
              <a:gd name="connsiteX18" fmla="*/ 107876 w 300003"/>
              <a:gd name="connsiteY18" fmla="*/ 34600 h 291783"/>
              <a:gd name="connsiteX19" fmla="*/ 95437 w 300003"/>
              <a:gd name="connsiteY19" fmla="*/ 37635 h 291783"/>
              <a:gd name="connsiteX20" fmla="*/ 2 w 300003"/>
              <a:gd name="connsiteY20" fmla="*/ 194701 h 291783"/>
              <a:gd name="connsiteX21" fmla="*/ 23582 w 300003"/>
              <a:gd name="connsiteY21" fmla="*/ 285537 h 291783"/>
              <a:gd name="connsiteX22" fmla="*/ 32363 w 300003"/>
              <a:gd name="connsiteY22" fmla="*/ 291784 h 291783"/>
              <a:gd name="connsiteX23" fmla="*/ 117220 w 300003"/>
              <a:gd name="connsiteY23" fmla="*/ 237129 h 291783"/>
              <a:gd name="connsiteX24" fmla="*/ 131602 w 300003"/>
              <a:gd name="connsiteY24" fmla="*/ 145081 h 291783"/>
              <a:gd name="connsiteX25" fmla="*/ 149999 w 300003"/>
              <a:gd name="connsiteY25" fmla="*/ 132242 h 291783"/>
              <a:gd name="connsiteX26" fmla="*/ 168401 w 300003"/>
              <a:gd name="connsiteY26" fmla="*/ 145081 h 291783"/>
              <a:gd name="connsiteX27" fmla="*/ 182782 w 300003"/>
              <a:gd name="connsiteY27" fmla="*/ 237129 h 291783"/>
              <a:gd name="connsiteX28" fmla="*/ 267641 w 300003"/>
              <a:gd name="connsiteY28" fmla="*/ 291784 h 291783"/>
              <a:gd name="connsiteX29" fmla="*/ 276420 w 300003"/>
              <a:gd name="connsiteY29" fmla="*/ 285537 h 291783"/>
              <a:gd name="connsiteX30" fmla="*/ 300002 w 300003"/>
              <a:gd name="connsiteY30" fmla="*/ 194701 h 291783"/>
              <a:gd name="connsiteX31" fmla="*/ 204567 w 300003"/>
              <a:gd name="connsiteY31" fmla="*/ 37635 h 291783"/>
              <a:gd name="connsiteX32" fmla="*/ 142502 w 300003"/>
              <a:gd name="connsiteY32" fmla="*/ 15000 h 291783"/>
              <a:gd name="connsiteX33" fmla="*/ 157502 w 300003"/>
              <a:gd name="connsiteY33" fmla="*/ 15000 h 291783"/>
              <a:gd name="connsiteX34" fmla="*/ 157502 w 300003"/>
              <a:gd name="connsiteY34" fmla="*/ 22500 h 291783"/>
              <a:gd name="connsiteX35" fmla="*/ 142502 w 300003"/>
              <a:gd name="connsiteY35" fmla="*/ 22500 h 291783"/>
              <a:gd name="connsiteX36" fmla="*/ 142502 w 300003"/>
              <a:gd name="connsiteY36" fmla="*/ 30000 h 291783"/>
              <a:gd name="connsiteX37" fmla="*/ 157502 w 300003"/>
              <a:gd name="connsiteY37" fmla="*/ 30000 h 291783"/>
              <a:gd name="connsiteX38" fmla="*/ 157502 w 300003"/>
              <a:gd name="connsiteY38" fmla="*/ 37500 h 291783"/>
              <a:gd name="connsiteX39" fmla="*/ 142502 w 300003"/>
              <a:gd name="connsiteY39" fmla="*/ 37500 h 291783"/>
              <a:gd name="connsiteX40" fmla="*/ 142502 w 300003"/>
              <a:gd name="connsiteY40" fmla="*/ 45000 h 291783"/>
              <a:gd name="connsiteX41" fmla="*/ 157502 w 300003"/>
              <a:gd name="connsiteY41" fmla="*/ 45000 h 291783"/>
              <a:gd name="connsiteX42" fmla="*/ 157502 w 300003"/>
              <a:gd name="connsiteY42" fmla="*/ 52500 h 291783"/>
              <a:gd name="connsiteX43" fmla="*/ 142502 w 300003"/>
              <a:gd name="connsiteY43" fmla="*/ 52500 h 291783"/>
              <a:gd name="connsiteX44" fmla="*/ 142502 w 300003"/>
              <a:gd name="connsiteY44" fmla="*/ 60000 h 291783"/>
              <a:gd name="connsiteX45" fmla="*/ 157502 w 300003"/>
              <a:gd name="connsiteY45" fmla="*/ 60000 h 291783"/>
              <a:gd name="connsiteX46" fmla="*/ 157502 w 300003"/>
              <a:gd name="connsiteY46" fmla="*/ 67500 h 291783"/>
              <a:gd name="connsiteX47" fmla="*/ 142502 w 300003"/>
              <a:gd name="connsiteY47" fmla="*/ 67500 h 291783"/>
              <a:gd name="connsiteX48" fmla="*/ 270157 w 300003"/>
              <a:gd name="connsiteY48" fmla="*/ 281376 h 291783"/>
              <a:gd name="connsiteX49" fmla="*/ 267122 w 300003"/>
              <a:gd name="connsiteY49" fmla="*/ 284280 h 291783"/>
              <a:gd name="connsiteX50" fmla="*/ 189898 w 300003"/>
              <a:gd name="connsiteY50" fmla="*/ 234758 h 291783"/>
              <a:gd name="connsiteX51" fmla="*/ 183674 w 300003"/>
              <a:gd name="connsiteY51" fmla="*/ 189566 h 291783"/>
              <a:gd name="connsiteX52" fmla="*/ 174682 w 300003"/>
              <a:gd name="connsiteY52" fmla="*/ 140983 h 291783"/>
              <a:gd name="connsiteX53" fmla="*/ 151183 w 300003"/>
              <a:gd name="connsiteY53" fmla="*/ 124836 h 291783"/>
              <a:gd name="connsiteX54" fmla="*/ 149999 w 300003"/>
              <a:gd name="connsiteY54" fmla="*/ 124647 h 291783"/>
              <a:gd name="connsiteX55" fmla="*/ 148816 w 300003"/>
              <a:gd name="connsiteY55" fmla="*/ 124836 h 291783"/>
              <a:gd name="connsiteX56" fmla="*/ 125321 w 300003"/>
              <a:gd name="connsiteY56" fmla="*/ 140983 h 291783"/>
              <a:gd name="connsiteX57" fmla="*/ 116328 w 300003"/>
              <a:gd name="connsiteY57" fmla="*/ 189568 h 291783"/>
              <a:gd name="connsiteX58" fmla="*/ 110105 w 300003"/>
              <a:gd name="connsiteY58" fmla="*/ 234758 h 291783"/>
              <a:gd name="connsiteX59" fmla="*/ 32881 w 300003"/>
              <a:gd name="connsiteY59" fmla="*/ 284281 h 291783"/>
              <a:gd name="connsiteX60" fmla="*/ 29844 w 300003"/>
              <a:gd name="connsiteY60" fmla="*/ 281374 h 291783"/>
              <a:gd name="connsiteX61" fmla="*/ 7502 w 300003"/>
              <a:gd name="connsiteY61" fmla="*/ 194701 h 291783"/>
              <a:gd name="connsiteX62" fmla="*/ 98260 w 300003"/>
              <a:gd name="connsiteY62" fmla="*/ 44583 h 291783"/>
              <a:gd name="connsiteX63" fmla="*/ 107875 w 300003"/>
              <a:gd name="connsiteY63" fmla="*/ 42100 h 291783"/>
              <a:gd name="connsiteX64" fmla="*/ 109793 w 300003"/>
              <a:gd name="connsiteY64" fmla="*/ 42723 h 291783"/>
              <a:gd name="connsiteX65" fmla="*/ 112624 w 300003"/>
              <a:gd name="connsiteY65" fmla="*/ 65133 h 291783"/>
              <a:gd name="connsiteX66" fmla="*/ 115908 w 300003"/>
              <a:gd name="connsiteY66" fmla="*/ 86455 h 291783"/>
              <a:gd name="connsiteX67" fmla="*/ 128506 w 300003"/>
              <a:gd name="connsiteY67" fmla="*/ 94300 h 291783"/>
              <a:gd name="connsiteX68" fmla="*/ 130664 w 300003"/>
              <a:gd name="connsiteY68" fmla="*/ 94189 h 291783"/>
              <a:gd name="connsiteX69" fmla="*/ 139994 w 300003"/>
              <a:gd name="connsiteY69" fmla="*/ 87238 h 291783"/>
              <a:gd name="connsiteX70" fmla="*/ 142349 w 300003"/>
              <a:gd name="connsiteY70" fmla="*/ 78626 h 291783"/>
              <a:gd name="connsiteX71" fmla="*/ 142363 w 300003"/>
              <a:gd name="connsiteY71" fmla="*/ 78626 h 291783"/>
              <a:gd name="connsiteX72" fmla="*/ 142502 w 300003"/>
              <a:gd name="connsiteY72" fmla="*/ 77234 h 291783"/>
              <a:gd name="connsiteX73" fmla="*/ 142502 w 300003"/>
              <a:gd name="connsiteY73" fmla="*/ 75000 h 291783"/>
              <a:gd name="connsiteX74" fmla="*/ 157502 w 300003"/>
              <a:gd name="connsiteY74" fmla="*/ 75000 h 291783"/>
              <a:gd name="connsiteX75" fmla="*/ 157502 w 300003"/>
              <a:gd name="connsiteY75" fmla="*/ 77243 h 291783"/>
              <a:gd name="connsiteX76" fmla="*/ 157645 w 300003"/>
              <a:gd name="connsiteY76" fmla="*/ 78626 h 291783"/>
              <a:gd name="connsiteX77" fmla="*/ 157658 w 300003"/>
              <a:gd name="connsiteY77" fmla="*/ 78626 h 291783"/>
              <a:gd name="connsiteX78" fmla="*/ 159993 w 300003"/>
              <a:gd name="connsiteY78" fmla="*/ 87208 h 291783"/>
              <a:gd name="connsiteX79" fmla="*/ 169337 w 300003"/>
              <a:gd name="connsiteY79" fmla="*/ 94189 h 291783"/>
              <a:gd name="connsiteX80" fmla="*/ 171497 w 300003"/>
              <a:gd name="connsiteY80" fmla="*/ 94300 h 291783"/>
              <a:gd name="connsiteX81" fmla="*/ 184096 w 300003"/>
              <a:gd name="connsiteY81" fmla="*/ 86455 h 291783"/>
              <a:gd name="connsiteX82" fmla="*/ 187380 w 300003"/>
              <a:gd name="connsiteY82" fmla="*/ 65133 h 291783"/>
              <a:gd name="connsiteX83" fmla="*/ 190211 w 300003"/>
              <a:gd name="connsiteY83" fmla="*/ 42723 h 291783"/>
              <a:gd name="connsiteX84" fmla="*/ 192128 w 300003"/>
              <a:gd name="connsiteY84" fmla="*/ 42100 h 291783"/>
              <a:gd name="connsiteX85" fmla="*/ 201575 w 300003"/>
              <a:gd name="connsiteY85" fmla="*/ 44512 h 291783"/>
              <a:gd name="connsiteX86" fmla="*/ 292502 w 300003"/>
              <a:gd name="connsiteY86" fmla="*/ 194701 h 291783"/>
              <a:gd name="connsiteX87" fmla="*/ 270157 w 300003"/>
              <a:gd name="connsiteY87" fmla="*/ 281376 h 29178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</a:cxnLst>
            <a:rect l="l" t="t" r="r" b="b"/>
            <a:pathLst>
              <a:path w="300003" h="291783">
                <a:moveTo>
                  <a:pt x="204567" y="37635"/>
                </a:moveTo>
                <a:cubicBezTo>
                  <a:pt x="200644" y="35865"/>
                  <a:pt x="196426" y="34836"/>
                  <a:pt x="192128" y="34600"/>
                </a:cubicBezTo>
                <a:cubicBezTo>
                  <a:pt x="188549" y="34280"/>
                  <a:pt x="185135" y="36168"/>
                  <a:pt x="183503" y="39369"/>
                </a:cubicBezTo>
                <a:cubicBezTo>
                  <a:pt x="179188" y="47999"/>
                  <a:pt x="180562" y="77457"/>
                  <a:pt x="177564" y="82771"/>
                </a:cubicBezTo>
                <a:cubicBezTo>
                  <a:pt x="176581" y="85249"/>
                  <a:pt x="174163" y="86855"/>
                  <a:pt x="171497" y="86801"/>
                </a:cubicBezTo>
                <a:cubicBezTo>
                  <a:pt x="171027" y="86801"/>
                  <a:pt x="170542" y="86769"/>
                  <a:pt x="170039" y="86722"/>
                </a:cubicBezTo>
                <a:cubicBezTo>
                  <a:pt x="165002" y="86250"/>
                  <a:pt x="165002" y="75000"/>
                  <a:pt x="165002" y="75000"/>
                </a:cubicBezTo>
                <a:lnTo>
                  <a:pt x="165002" y="0"/>
                </a:lnTo>
                <a:lnTo>
                  <a:pt x="157502" y="0"/>
                </a:lnTo>
                <a:lnTo>
                  <a:pt x="157502" y="7500"/>
                </a:lnTo>
                <a:lnTo>
                  <a:pt x="142502" y="7500"/>
                </a:lnTo>
                <a:lnTo>
                  <a:pt x="142502" y="0"/>
                </a:lnTo>
                <a:lnTo>
                  <a:pt x="135002" y="0"/>
                </a:lnTo>
                <a:lnTo>
                  <a:pt x="135002" y="75000"/>
                </a:lnTo>
                <a:cubicBezTo>
                  <a:pt x="135002" y="75000"/>
                  <a:pt x="135002" y="86250"/>
                  <a:pt x="129965" y="86722"/>
                </a:cubicBezTo>
                <a:cubicBezTo>
                  <a:pt x="129461" y="86769"/>
                  <a:pt x="128976" y="86800"/>
                  <a:pt x="128506" y="86800"/>
                </a:cubicBezTo>
                <a:cubicBezTo>
                  <a:pt x="125842" y="86855"/>
                  <a:pt x="123423" y="85248"/>
                  <a:pt x="122440" y="82771"/>
                </a:cubicBezTo>
                <a:cubicBezTo>
                  <a:pt x="119442" y="77457"/>
                  <a:pt x="120816" y="47999"/>
                  <a:pt x="116501" y="39369"/>
                </a:cubicBezTo>
                <a:cubicBezTo>
                  <a:pt x="114869" y="36168"/>
                  <a:pt x="111455" y="34280"/>
                  <a:pt x="107876" y="34600"/>
                </a:cubicBezTo>
                <a:cubicBezTo>
                  <a:pt x="103578" y="34836"/>
                  <a:pt x="99361" y="35865"/>
                  <a:pt x="95437" y="37635"/>
                </a:cubicBezTo>
                <a:cubicBezTo>
                  <a:pt x="39626" y="61912"/>
                  <a:pt x="2" y="123057"/>
                  <a:pt x="2" y="194701"/>
                </a:cubicBezTo>
                <a:cubicBezTo>
                  <a:pt x="-139" y="226511"/>
                  <a:pt x="7986" y="257812"/>
                  <a:pt x="23582" y="285537"/>
                </a:cubicBezTo>
                <a:cubicBezTo>
                  <a:pt x="24380" y="286596"/>
                  <a:pt x="28485" y="291784"/>
                  <a:pt x="32363" y="291784"/>
                </a:cubicBezTo>
                <a:cubicBezTo>
                  <a:pt x="60678" y="291784"/>
                  <a:pt x="108591" y="263018"/>
                  <a:pt x="117220" y="237129"/>
                </a:cubicBezTo>
                <a:cubicBezTo>
                  <a:pt x="125850" y="211241"/>
                  <a:pt x="121984" y="159823"/>
                  <a:pt x="131602" y="145081"/>
                </a:cubicBezTo>
                <a:cubicBezTo>
                  <a:pt x="135647" y="138396"/>
                  <a:pt x="142330" y="133733"/>
                  <a:pt x="149999" y="132242"/>
                </a:cubicBezTo>
                <a:cubicBezTo>
                  <a:pt x="157670" y="133732"/>
                  <a:pt x="164354" y="138396"/>
                  <a:pt x="168401" y="145081"/>
                </a:cubicBezTo>
                <a:cubicBezTo>
                  <a:pt x="178019" y="159823"/>
                  <a:pt x="174153" y="211240"/>
                  <a:pt x="182782" y="237129"/>
                </a:cubicBezTo>
                <a:cubicBezTo>
                  <a:pt x="191412" y="263018"/>
                  <a:pt x="239325" y="291784"/>
                  <a:pt x="267641" y="291784"/>
                </a:cubicBezTo>
                <a:cubicBezTo>
                  <a:pt x="271518" y="291784"/>
                  <a:pt x="275624" y="286596"/>
                  <a:pt x="276420" y="285537"/>
                </a:cubicBezTo>
                <a:cubicBezTo>
                  <a:pt x="292017" y="257812"/>
                  <a:pt x="300143" y="226511"/>
                  <a:pt x="300002" y="194701"/>
                </a:cubicBezTo>
                <a:cubicBezTo>
                  <a:pt x="300002" y="123057"/>
                  <a:pt x="260377" y="61912"/>
                  <a:pt x="204567" y="37635"/>
                </a:cubicBezTo>
                <a:close/>
                <a:moveTo>
                  <a:pt x="142502" y="15000"/>
                </a:moveTo>
                <a:lnTo>
                  <a:pt x="157502" y="15000"/>
                </a:lnTo>
                <a:lnTo>
                  <a:pt x="157502" y="22500"/>
                </a:lnTo>
                <a:lnTo>
                  <a:pt x="142502" y="22500"/>
                </a:lnTo>
                <a:close/>
                <a:moveTo>
                  <a:pt x="142502" y="30000"/>
                </a:moveTo>
                <a:lnTo>
                  <a:pt x="157502" y="30000"/>
                </a:lnTo>
                <a:lnTo>
                  <a:pt x="157502" y="37500"/>
                </a:lnTo>
                <a:lnTo>
                  <a:pt x="142502" y="37500"/>
                </a:lnTo>
                <a:close/>
                <a:moveTo>
                  <a:pt x="142502" y="45000"/>
                </a:moveTo>
                <a:lnTo>
                  <a:pt x="157502" y="45000"/>
                </a:lnTo>
                <a:lnTo>
                  <a:pt x="157502" y="52500"/>
                </a:lnTo>
                <a:lnTo>
                  <a:pt x="142502" y="52500"/>
                </a:lnTo>
                <a:close/>
                <a:moveTo>
                  <a:pt x="142502" y="60000"/>
                </a:moveTo>
                <a:lnTo>
                  <a:pt x="157502" y="60000"/>
                </a:lnTo>
                <a:lnTo>
                  <a:pt x="157502" y="67500"/>
                </a:lnTo>
                <a:lnTo>
                  <a:pt x="142502" y="67500"/>
                </a:lnTo>
                <a:close/>
                <a:moveTo>
                  <a:pt x="270157" y="281376"/>
                </a:moveTo>
                <a:cubicBezTo>
                  <a:pt x="269302" y="282495"/>
                  <a:pt x="268278" y="283475"/>
                  <a:pt x="267122" y="284280"/>
                </a:cubicBezTo>
                <a:cubicBezTo>
                  <a:pt x="240187" y="283928"/>
                  <a:pt x="197102" y="256372"/>
                  <a:pt x="189898" y="234758"/>
                </a:cubicBezTo>
                <a:cubicBezTo>
                  <a:pt x="186134" y="223467"/>
                  <a:pt x="184884" y="206233"/>
                  <a:pt x="183674" y="189566"/>
                </a:cubicBezTo>
                <a:cubicBezTo>
                  <a:pt x="182150" y="168556"/>
                  <a:pt x="180833" y="150411"/>
                  <a:pt x="174682" y="140983"/>
                </a:cubicBezTo>
                <a:cubicBezTo>
                  <a:pt x="169492" y="132512"/>
                  <a:pt x="160951" y="126643"/>
                  <a:pt x="151183" y="124836"/>
                </a:cubicBezTo>
                <a:lnTo>
                  <a:pt x="149999" y="124647"/>
                </a:lnTo>
                <a:lnTo>
                  <a:pt x="148816" y="124836"/>
                </a:lnTo>
                <a:cubicBezTo>
                  <a:pt x="139049" y="126643"/>
                  <a:pt x="130509" y="132513"/>
                  <a:pt x="125321" y="140983"/>
                </a:cubicBezTo>
                <a:cubicBezTo>
                  <a:pt x="119169" y="150411"/>
                  <a:pt x="117853" y="168557"/>
                  <a:pt x="116328" y="189568"/>
                </a:cubicBezTo>
                <a:cubicBezTo>
                  <a:pt x="115119" y="206234"/>
                  <a:pt x="113868" y="223468"/>
                  <a:pt x="110105" y="234758"/>
                </a:cubicBezTo>
                <a:cubicBezTo>
                  <a:pt x="102900" y="256372"/>
                  <a:pt x="59816" y="283928"/>
                  <a:pt x="32881" y="284281"/>
                </a:cubicBezTo>
                <a:cubicBezTo>
                  <a:pt x="31724" y="283474"/>
                  <a:pt x="30700" y="282494"/>
                  <a:pt x="29844" y="281374"/>
                </a:cubicBezTo>
                <a:cubicBezTo>
                  <a:pt x="15072" y="254883"/>
                  <a:pt x="7377" y="225032"/>
                  <a:pt x="7502" y="194701"/>
                </a:cubicBezTo>
                <a:cubicBezTo>
                  <a:pt x="7502" y="128526"/>
                  <a:pt x="44042" y="68169"/>
                  <a:pt x="98260" y="44583"/>
                </a:cubicBezTo>
                <a:cubicBezTo>
                  <a:pt x="101284" y="43168"/>
                  <a:pt x="104545" y="42326"/>
                  <a:pt x="107875" y="42100"/>
                </a:cubicBezTo>
                <a:cubicBezTo>
                  <a:pt x="109481" y="42100"/>
                  <a:pt x="109646" y="42431"/>
                  <a:pt x="109793" y="42723"/>
                </a:cubicBezTo>
                <a:cubicBezTo>
                  <a:pt x="111453" y="46045"/>
                  <a:pt x="112158" y="57531"/>
                  <a:pt x="112624" y="65133"/>
                </a:cubicBezTo>
                <a:cubicBezTo>
                  <a:pt x="113325" y="76562"/>
                  <a:pt x="113789" y="82701"/>
                  <a:pt x="115908" y="86455"/>
                </a:cubicBezTo>
                <a:cubicBezTo>
                  <a:pt x="118237" y="91286"/>
                  <a:pt x="123143" y="94341"/>
                  <a:pt x="128506" y="94300"/>
                </a:cubicBezTo>
                <a:cubicBezTo>
                  <a:pt x="129201" y="94300"/>
                  <a:pt x="129920" y="94259"/>
                  <a:pt x="130664" y="94189"/>
                </a:cubicBezTo>
                <a:cubicBezTo>
                  <a:pt x="134811" y="93751"/>
                  <a:pt x="138388" y="91086"/>
                  <a:pt x="139994" y="87238"/>
                </a:cubicBezTo>
                <a:cubicBezTo>
                  <a:pt x="141176" y="84491"/>
                  <a:pt x="141969" y="81592"/>
                  <a:pt x="142349" y="78626"/>
                </a:cubicBezTo>
                <a:lnTo>
                  <a:pt x="142363" y="78626"/>
                </a:lnTo>
                <a:cubicBezTo>
                  <a:pt x="142429" y="78114"/>
                  <a:pt x="142475" y="77647"/>
                  <a:pt x="142502" y="77234"/>
                </a:cubicBezTo>
                <a:lnTo>
                  <a:pt x="142502" y="75000"/>
                </a:lnTo>
                <a:lnTo>
                  <a:pt x="157502" y="75000"/>
                </a:lnTo>
                <a:lnTo>
                  <a:pt x="157502" y="77243"/>
                </a:lnTo>
                <a:cubicBezTo>
                  <a:pt x="157532" y="77659"/>
                  <a:pt x="157579" y="78124"/>
                  <a:pt x="157645" y="78626"/>
                </a:cubicBezTo>
                <a:lnTo>
                  <a:pt x="157658" y="78626"/>
                </a:lnTo>
                <a:cubicBezTo>
                  <a:pt x="158036" y="81581"/>
                  <a:pt x="158821" y="84469"/>
                  <a:pt x="159993" y="87208"/>
                </a:cubicBezTo>
                <a:cubicBezTo>
                  <a:pt x="161595" y="91071"/>
                  <a:pt x="165180" y="93748"/>
                  <a:pt x="169337" y="94189"/>
                </a:cubicBezTo>
                <a:cubicBezTo>
                  <a:pt x="170083" y="94259"/>
                  <a:pt x="170801" y="94300"/>
                  <a:pt x="171497" y="94300"/>
                </a:cubicBezTo>
                <a:cubicBezTo>
                  <a:pt x="176860" y="94341"/>
                  <a:pt x="181766" y="91287"/>
                  <a:pt x="184096" y="86455"/>
                </a:cubicBezTo>
                <a:cubicBezTo>
                  <a:pt x="186214" y="82701"/>
                  <a:pt x="186679" y="76562"/>
                  <a:pt x="187380" y="65133"/>
                </a:cubicBezTo>
                <a:cubicBezTo>
                  <a:pt x="187846" y="57531"/>
                  <a:pt x="188551" y="46045"/>
                  <a:pt x="190211" y="42723"/>
                </a:cubicBezTo>
                <a:cubicBezTo>
                  <a:pt x="190357" y="42431"/>
                  <a:pt x="190523" y="42100"/>
                  <a:pt x="192128" y="42100"/>
                </a:cubicBezTo>
                <a:cubicBezTo>
                  <a:pt x="195399" y="42314"/>
                  <a:pt x="198602" y="43132"/>
                  <a:pt x="201575" y="44512"/>
                </a:cubicBezTo>
                <a:cubicBezTo>
                  <a:pt x="255961" y="68170"/>
                  <a:pt x="292502" y="128526"/>
                  <a:pt x="292502" y="194701"/>
                </a:cubicBezTo>
                <a:cubicBezTo>
                  <a:pt x="292627" y="225033"/>
                  <a:pt x="284931" y="254884"/>
                  <a:pt x="270157" y="281376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10</xdr:col>
      <xdr:colOff>187857</xdr:colOff>
      <xdr:row>8</xdr:row>
      <xdr:rowOff>134496</xdr:rowOff>
    </xdr:from>
    <xdr:to>
      <xdr:col>10</xdr:col>
      <xdr:colOff>405124</xdr:colOff>
      <xdr:row>8</xdr:row>
      <xdr:rowOff>430746</xdr:rowOff>
    </xdr:to>
    <xdr:grpSp>
      <xdr:nvGrpSpPr>
        <xdr:cNvPr id="251" name="pills" descr="Medicine outline">
          <a:extLst>
            <a:ext uri="{FF2B5EF4-FFF2-40B4-BE49-F238E27FC236}">
              <a16:creationId xmlns:a16="http://schemas.microsoft.com/office/drawing/2014/main" id="{CABC0397-F8AA-4E59-A8FC-4F6A38E864E7}"/>
            </a:ext>
          </a:extLst>
        </xdr:cNvPr>
        <xdr:cNvGrpSpPr>
          <a:grpSpLocks noChangeAspect="1"/>
        </xdr:cNvGrpSpPr>
      </xdr:nvGrpSpPr>
      <xdr:grpSpPr>
        <a:xfrm>
          <a:off x="9198507" y="3030096"/>
          <a:ext cx="217267" cy="296250"/>
          <a:chOff x="7474523" y="2131189"/>
          <a:chExt cx="217267" cy="296250"/>
        </a:xfrm>
        <a:solidFill>
          <a:srgbClr val="1F4E78"/>
        </a:solidFill>
      </xdr:grpSpPr>
      <xdr:sp macro="" textlink="">
        <xdr:nvSpPr>
          <xdr:cNvPr id="252" name="Freeform: Shape 251">
            <a:extLst>
              <a:ext uri="{FF2B5EF4-FFF2-40B4-BE49-F238E27FC236}">
                <a16:creationId xmlns:a16="http://schemas.microsoft.com/office/drawing/2014/main" id="{57A43FE6-7541-49C2-B55E-9A4906373DC8}"/>
              </a:ext>
            </a:extLst>
          </xdr:cNvPr>
          <xdr:cNvSpPr/>
        </xdr:nvSpPr>
        <xdr:spPr>
          <a:xfrm>
            <a:off x="7474523" y="2131189"/>
            <a:ext cx="172500" cy="270000"/>
          </a:xfrm>
          <a:custGeom>
            <a:avLst/>
            <a:gdLst>
              <a:gd name="connsiteX0" fmla="*/ 18750 w 172500"/>
              <a:gd name="connsiteY0" fmla="*/ 262500 h 270000"/>
              <a:gd name="connsiteX1" fmla="*/ 7500 w 172500"/>
              <a:gd name="connsiteY1" fmla="*/ 251250 h 270000"/>
              <a:gd name="connsiteX2" fmla="*/ 7500 w 172500"/>
              <a:gd name="connsiteY2" fmla="*/ 82500 h 270000"/>
              <a:gd name="connsiteX3" fmla="*/ 18750 w 172500"/>
              <a:gd name="connsiteY3" fmla="*/ 71250 h 270000"/>
              <a:gd name="connsiteX4" fmla="*/ 31875 w 172500"/>
              <a:gd name="connsiteY4" fmla="*/ 71250 h 270000"/>
              <a:gd name="connsiteX5" fmla="*/ 37500 w 172500"/>
              <a:gd name="connsiteY5" fmla="*/ 65876 h 270000"/>
              <a:gd name="connsiteX6" fmla="*/ 37500 w 172500"/>
              <a:gd name="connsiteY6" fmla="*/ 65625 h 270000"/>
              <a:gd name="connsiteX7" fmla="*/ 37500 w 172500"/>
              <a:gd name="connsiteY7" fmla="*/ 48750 h 270000"/>
              <a:gd name="connsiteX8" fmla="*/ 135000 w 172500"/>
              <a:gd name="connsiteY8" fmla="*/ 48750 h 270000"/>
              <a:gd name="connsiteX9" fmla="*/ 135000 w 172500"/>
              <a:gd name="connsiteY9" fmla="*/ 65625 h 270000"/>
              <a:gd name="connsiteX10" fmla="*/ 140375 w 172500"/>
              <a:gd name="connsiteY10" fmla="*/ 71250 h 270000"/>
              <a:gd name="connsiteX11" fmla="*/ 140625 w 172500"/>
              <a:gd name="connsiteY11" fmla="*/ 71250 h 270000"/>
              <a:gd name="connsiteX12" fmla="*/ 153750 w 172500"/>
              <a:gd name="connsiteY12" fmla="*/ 71250 h 270000"/>
              <a:gd name="connsiteX13" fmla="*/ 165000 w 172500"/>
              <a:gd name="connsiteY13" fmla="*/ 82500 h 270000"/>
              <a:gd name="connsiteX14" fmla="*/ 165000 w 172500"/>
              <a:gd name="connsiteY14" fmla="*/ 112463 h 270000"/>
              <a:gd name="connsiteX15" fmla="*/ 45000 w 172500"/>
              <a:gd name="connsiteY15" fmla="*/ 112463 h 270000"/>
              <a:gd name="connsiteX16" fmla="*/ 37500 w 172500"/>
              <a:gd name="connsiteY16" fmla="*/ 119963 h 270000"/>
              <a:gd name="connsiteX17" fmla="*/ 37500 w 172500"/>
              <a:gd name="connsiteY17" fmla="*/ 187463 h 270000"/>
              <a:gd name="connsiteX18" fmla="*/ 45000 w 172500"/>
              <a:gd name="connsiteY18" fmla="*/ 194963 h 270000"/>
              <a:gd name="connsiteX19" fmla="*/ 165000 w 172500"/>
              <a:gd name="connsiteY19" fmla="*/ 194963 h 270000"/>
              <a:gd name="connsiteX20" fmla="*/ 165000 w 172500"/>
              <a:gd name="connsiteY20" fmla="*/ 228686 h 270000"/>
              <a:gd name="connsiteX21" fmla="*/ 172500 w 172500"/>
              <a:gd name="connsiteY21" fmla="*/ 228686 h 270000"/>
              <a:gd name="connsiteX22" fmla="*/ 172500 w 172500"/>
              <a:gd name="connsiteY22" fmla="*/ 82500 h 270000"/>
              <a:gd name="connsiteX23" fmla="*/ 153750 w 172500"/>
              <a:gd name="connsiteY23" fmla="*/ 63750 h 270000"/>
              <a:gd name="connsiteX24" fmla="*/ 142500 w 172500"/>
              <a:gd name="connsiteY24" fmla="*/ 63750 h 270000"/>
              <a:gd name="connsiteX25" fmla="*/ 142500 w 172500"/>
              <a:gd name="connsiteY25" fmla="*/ 48750 h 270000"/>
              <a:gd name="connsiteX26" fmla="*/ 150000 w 172500"/>
              <a:gd name="connsiteY26" fmla="*/ 48750 h 270000"/>
              <a:gd name="connsiteX27" fmla="*/ 157500 w 172500"/>
              <a:gd name="connsiteY27" fmla="*/ 41754 h 270000"/>
              <a:gd name="connsiteX28" fmla="*/ 157500 w 172500"/>
              <a:gd name="connsiteY28" fmla="*/ 41250 h 270000"/>
              <a:gd name="connsiteX29" fmla="*/ 157500 w 172500"/>
              <a:gd name="connsiteY29" fmla="*/ 18750 h 270000"/>
              <a:gd name="connsiteX30" fmla="*/ 138750 w 172500"/>
              <a:gd name="connsiteY30" fmla="*/ 0 h 270000"/>
              <a:gd name="connsiteX31" fmla="*/ 33750 w 172500"/>
              <a:gd name="connsiteY31" fmla="*/ 0 h 270000"/>
              <a:gd name="connsiteX32" fmla="*/ 15000 w 172500"/>
              <a:gd name="connsiteY32" fmla="*/ 18750 h 270000"/>
              <a:gd name="connsiteX33" fmla="*/ 15000 w 172500"/>
              <a:gd name="connsiteY33" fmla="*/ 41250 h 270000"/>
              <a:gd name="connsiteX34" fmla="*/ 21996 w 172500"/>
              <a:gd name="connsiteY34" fmla="*/ 48750 h 270000"/>
              <a:gd name="connsiteX35" fmla="*/ 22500 w 172500"/>
              <a:gd name="connsiteY35" fmla="*/ 48750 h 270000"/>
              <a:gd name="connsiteX36" fmla="*/ 30000 w 172500"/>
              <a:gd name="connsiteY36" fmla="*/ 48750 h 270000"/>
              <a:gd name="connsiteX37" fmla="*/ 30000 w 172500"/>
              <a:gd name="connsiteY37" fmla="*/ 63750 h 270000"/>
              <a:gd name="connsiteX38" fmla="*/ 18750 w 172500"/>
              <a:gd name="connsiteY38" fmla="*/ 63750 h 270000"/>
              <a:gd name="connsiteX39" fmla="*/ 0 w 172500"/>
              <a:gd name="connsiteY39" fmla="*/ 82500 h 270000"/>
              <a:gd name="connsiteX40" fmla="*/ 0 w 172500"/>
              <a:gd name="connsiteY40" fmla="*/ 251250 h 270000"/>
              <a:gd name="connsiteX41" fmla="*/ 18750 w 172500"/>
              <a:gd name="connsiteY41" fmla="*/ 270000 h 270000"/>
              <a:gd name="connsiteX42" fmla="*/ 86348 w 172500"/>
              <a:gd name="connsiteY42" fmla="*/ 270000 h 270000"/>
              <a:gd name="connsiteX43" fmla="*/ 86246 w 172500"/>
              <a:gd name="connsiteY43" fmla="*/ 268031 h 270000"/>
              <a:gd name="connsiteX44" fmla="*/ 86681 w 172500"/>
              <a:gd name="connsiteY44" fmla="*/ 262500 h 270000"/>
              <a:gd name="connsiteX45" fmla="*/ 45000 w 172500"/>
              <a:gd name="connsiteY45" fmla="*/ 187436 h 270000"/>
              <a:gd name="connsiteX46" fmla="*/ 45000 w 172500"/>
              <a:gd name="connsiteY46" fmla="*/ 119936 h 270000"/>
              <a:gd name="connsiteX47" fmla="*/ 165000 w 172500"/>
              <a:gd name="connsiteY47" fmla="*/ 119936 h 270000"/>
              <a:gd name="connsiteX48" fmla="*/ 165000 w 172500"/>
              <a:gd name="connsiteY48" fmla="*/ 187436 h 270000"/>
              <a:gd name="connsiteX49" fmla="*/ 22500 w 172500"/>
              <a:gd name="connsiteY49" fmla="*/ 41250 h 270000"/>
              <a:gd name="connsiteX50" fmla="*/ 22500 w 172500"/>
              <a:gd name="connsiteY50" fmla="*/ 18750 h 270000"/>
              <a:gd name="connsiteX51" fmla="*/ 33750 w 172500"/>
              <a:gd name="connsiteY51" fmla="*/ 7500 h 270000"/>
              <a:gd name="connsiteX52" fmla="*/ 138750 w 172500"/>
              <a:gd name="connsiteY52" fmla="*/ 7500 h 270000"/>
              <a:gd name="connsiteX53" fmla="*/ 150000 w 172500"/>
              <a:gd name="connsiteY53" fmla="*/ 18750 h 270000"/>
              <a:gd name="connsiteX54" fmla="*/ 150000 w 172500"/>
              <a:gd name="connsiteY54" fmla="*/ 41250 h 270000"/>
              <a:gd name="connsiteX55" fmla="*/ 22500 w 172500"/>
              <a:gd name="connsiteY55" fmla="*/ 41250 h 27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</a:cxnLst>
            <a:rect l="l" t="t" r="r" b="b"/>
            <a:pathLst>
              <a:path w="172500" h="270000">
                <a:moveTo>
                  <a:pt x="18750" y="262500"/>
                </a:moveTo>
                <a:cubicBezTo>
                  <a:pt x="12537" y="262500"/>
                  <a:pt x="7500" y="257463"/>
                  <a:pt x="7500" y="251250"/>
                </a:cubicBezTo>
                <a:lnTo>
                  <a:pt x="7500" y="82500"/>
                </a:lnTo>
                <a:cubicBezTo>
                  <a:pt x="7500" y="76287"/>
                  <a:pt x="12537" y="71250"/>
                  <a:pt x="18750" y="71250"/>
                </a:cubicBezTo>
                <a:lnTo>
                  <a:pt x="31875" y="71250"/>
                </a:lnTo>
                <a:cubicBezTo>
                  <a:pt x="34912" y="71319"/>
                  <a:pt x="37431" y="68913"/>
                  <a:pt x="37500" y="65876"/>
                </a:cubicBezTo>
                <a:cubicBezTo>
                  <a:pt x="37502" y="65792"/>
                  <a:pt x="37502" y="65708"/>
                  <a:pt x="37500" y="65625"/>
                </a:cubicBezTo>
                <a:lnTo>
                  <a:pt x="37500" y="48750"/>
                </a:lnTo>
                <a:lnTo>
                  <a:pt x="135000" y="48750"/>
                </a:lnTo>
                <a:lnTo>
                  <a:pt x="135000" y="65625"/>
                </a:lnTo>
                <a:cubicBezTo>
                  <a:pt x="134931" y="68663"/>
                  <a:pt x="137337" y="71181"/>
                  <a:pt x="140375" y="71250"/>
                </a:cubicBezTo>
                <a:cubicBezTo>
                  <a:pt x="140458" y="71252"/>
                  <a:pt x="140541" y="71252"/>
                  <a:pt x="140625" y="71250"/>
                </a:cubicBezTo>
                <a:lnTo>
                  <a:pt x="153750" y="71250"/>
                </a:lnTo>
                <a:cubicBezTo>
                  <a:pt x="159963" y="71250"/>
                  <a:pt x="165000" y="76287"/>
                  <a:pt x="165000" y="82500"/>
                </a:cubicBezTo>
                <a:lnTo>
                  <a:pt x="165000" y="112463"/>
                </a:lnTo>
                <a:lnTo>
                  <a:pt x="45000" y="112463"/>
                </a:lnTo>
                <a:cubicBezTo>
                  <a:pt x="40858" y="112463"/>
                  <a:pt x="37500" y="115820"/>
                  <a:pt x="37500" y="119963"/>
                </a:cubicBezTo>
                <a:lnTo>
                  <a:pt x="37500" y="187463"/>
                </a:lnTo>
                <a:cubicBezTo>
                  <a:pt x="37500" y="191605"/>
                  <a:pt x="40858" y="194963"/>
                  <a:pt x="45000" y="194963"/>
                </a:cubicBezTo>
                <a:lnTo>
                  <a:pt x="165000" y="194963"/>
                </a:lnTo>
                <a:lnTo>
                  <a:pt x="165000" y="228686"/>
                </a:lnTo>
                <a:lnTo>
                  <a:pt x="172500" y="228686"/>
                </a:lnTo>
                <a:lnTo>
                  <a:pt x="172500" y="82500"/>
                </a:lnTo>
                <a:cubicBezTo>
                  <a:pt x="172490" y="72149"/>
                  <a:pt x="164101" y="63761"/>
                  <a:pt x="153750" y="63750"/>
                </a:cubicBezTo>
                <a:lnTo>
                  <a:pt x="142500" y="63750"/>
                </a:lnTo>
                <a:lnTo>
                  <a:pt x="142500" y="48750"/>
                </a:lnTo>
                <a:lnTo>
                  <a:pt x="150000" y="48750"/>
                </a:lnTo>
                <a:cubicBezTo>
                  <a:pt x="154003" y="48889"/>
                  <a:pt x="157361" y="45757"/>
                  <a:pt x="157500" y="41754"/>
                </a:cubicBezTo>
                <a:cubicBezTo>
                  <a:pt x="157506" y="41586"/>
                  <a:pt x="157506" y="41418"/>
                  <a:pt x="157500" y="41250"/>
                </a:cubicBezTo>
                <a:lnTo>
                  <a:pt x="157500" y="18750"/>
                </a:lnTo>
                <a:cubicBezTo>
                  <a:pt x="157488" y="8400"/>
                  <a:pt x="149100" y="12"/>
                  <a:pt x="138750" y="0"/>
                </a:cubicBezTo>
                <a:lnTo>
                  <a:pt x="33750" y="0"/>
                </a:lnTo>
                <a:cubicBezTo>
                  <a:pt x="23400" y="12"/>
                  <a:pt x="15012" y="8400"/>
                  <a:pt x="15000" y="18750"/>
                </a:cubicBezTo>
                <a:lnTo>
                  <a:pt x="15000" y="41250"/>
                </a:lnTo>
                <a:cubicBezTo>
                  <a:pt x="14861" y="45253"/>
                  <a:pt x="17993" y="48611"/>
                  <a:pt x="21996" y="48750"/>
                </a:cubicBezTo>
                <a:cubicBezTo>
                  <a:pt x="22164" y="48756"/>
                  <a:pt x="22332" y="48756"/>
                  <a:pt x="22500" y="48750"/>
                </a:cubicBezTo>
                <a:lnTo>
                  <a:pt x="30000" y="48750"/>
                </a:lnTo>
                <a:lnTo>
                  <a:pt x="30000" y="63750"/>
                </a:lnTo>
                <a:lnTo>
                  <a:pt x="18750" y="63750"/>
                </a:lnTo>
                <a:cubicBezTo>
                  <a:pt x="8399" y="63761"/>
                  <a:pt x="10" y="72149"/>
                  <a:pt x="0" y="82500"/>
                </a:cubicBezTo>
                <a:lnTo>
                  <a:pt x="0" y="251250"/>
                </a:lnTo>
                <a:cubicBezTo>
                  <a:pt x="12" y="261600"/>
                  <a:pt x="8400" y="269988"/>
                  <a:pt x="18750" y="270000"/>
                </a:cubicBezTo>
                <a:lnTo>
                  <a:pt x="86348" y="270000"/>
                </a:lnTo>
                <a:cubicBezTo>
                  <a:pt x="86314" y="269344"/>
                  <a:pt x="86246" y="268695"/>
                  <a:pt x="86246" y="268031"/>
                </a:cubicBezTo>
                <a:cubicBezTo>
                  <a:pt x="86261" y="266180"/>
                  <a:pt x="86407" y="264331"/>
                  <a:pt x="86681" y="262500"/>
                </a:cubicBezTo>
                <a:close/>
                <a:moveTo>
                  <a:pt x="45000" y="187436"/>
                </a:moveTo>
                <a:lnTo>
                  <a:pt x="45000" y="119936"/>
                </a:lnTo>
                <a:lnTo>
                  <a:pt x="165000" y="119936"/>
                </a:lnTo>
                <a:lnTo>
                  <a:pt x="165000" y="187436"/>
                </a:lnTo>
                <a:close/>
                <a:moveTo>
                  <a:pt x="22500" y="41250"/>
                </a:moveTo>
                <a:lnTo>
                  <a:pt x="22500" y="18750"/>
                </a:lnTo>
                <a:cubicBezTo>
                  <a:pt x="22500" y="12537"/>
                  <a:pt x="27537" y="7500"/>
                  <a:pt x="33750" y="7500"/>
                </a:cubicBezTo>
                <a:lnTo>
                  <a:pt x="138750" y="7500"/>
                </a:lnTo>
                <a:cubicBezTo>
                  <a:pt x="144963" y="7500"/>
                  <a:pt x="150000" y="12537"/>
                  <a:pt x="150000" y="18750"/>
                </a:cubicBezTo>
                <a:lnTo>
                  <a:pt x="150000" y="41250"/>
                </a:lnTo>
                <a:lnTo>
                  <a:pt x="22500" y="41250"/>
                </a:ln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53" name="Freeform: Shape 252">
            <a:extLst>
              <a:ext uri="{FF2B5EF4-FFF2-40B4-BE49-F238E27FC236}">
                <a16:creationId xmlns:a16="http://schemas.microsoft.com/office/drawing/2014/main" id="{D0CFEEFA-297B-42F3-8DCA-D0169509FC6D}"/>
              </a:ext>
            </a:extLst>
          </xdr:cNvPr>
          <xdr:cNvSpPr/>
        </xdr:nvSpPr>
        <xdr:spPr>
          <a:xfrm>
            <a:off x="7572255" y="2371189"/>
            <a:ext cx="119535" cy="56250"/>
          </a:xfrm>
          <a:custGeom>
            <a:avLst/>
            <a:gdLst>
              <a:gd name="connsiteX0" fmla="*/ 91410 w 119535"/>
              <a:gd name="connsiteY0" fmla="*/ 0 h 56250"/>
              <a:gd name="connsiteX1" fmla="*/ 28125 w 119535"/>
              <a:gd name="connsiteY1" fmla="*/ 0 h 56250"/>
              <a:gd name="connsiteX2" fmla="*/ 0 w 119535"/>
              <a:gd name="connsiteY2" fmla="*/ 28125 h 56250"/>
              <a:gd name="connsiteX3" fmla="*/ 28125 w 119535"/>
              <a:gd name="connsiteY3" fmla="*/ 56250 h 56250"/>
              <a:gd name="connsiteX4" fmla="*/ 91410 w 119535"/>
              <a:gd name="connsiteY4" fmla="*/ 56250 h 56250"/>
              <a:gd name="connsiteX5" fmla="*/ 119535 w 119535"/>
              <a:gd name="connsiteY5" fmla="*/ 28125 h 56250"/>
              <a:gd name="connsiteX6" fmla="*/ 91410 w 119535"/>
              <a:gd name="connsiteY6" fmla="*/ 0 h 56250"/>
              <a:gd name="connsiteX7" fmla="*/ 7496 w 119535"/>
              <a:gd name="connsiteY7" fmla="*/ 28125 h 56250"/>
              <a:gd name="connsiteX8" fmla="*/ 28121 w 119535"/>
              <a:gd name="connsiteY8" fmla="*/ 7500 h 56250"/>
              <a:gd name="connsiteX9" fmla="*/ 56246 w 119535"/>
              <a:gd name="connsiteY9" fmla="*/ 7500 h 56250"/>
              <a:gd name="connsiteX10" fmla="*/ 56246 w 119535"/>
              <a:gd name="connsiteY10" fmla="*/ 48750 h 56250"/>
              <a:gd name="connsiteX11" fmla="*/ 28121 w 119535"/>
              <a:gd name="connsiteY11" fmla="*/ 48750 h 56250"/>
              <a:gd name="connsiteX12" fmla="*/ 7496 w 119535"/>
              <a:gd name="connsiteY12" fmla="*/ 28125 h 56250"/>
              <a:gd name="connsiteX13" fmla="*/ 91410 w 119535"/>
              <a:gd name="connsiteY13" fmla="*/ 48750 h 56250"/>
              <a:gd name="connsiteX14" fmla="*/ 63746 w 119535"/>
              <a:gd name="connsiteY14" fmla="*/ 48750 h 56250"/>
              <a:gd name="connsiteX15" fmla="*/ 63746 w 119535"/>
              <a:gd name="connsiteY15" fmla="*/ 7500 h 56250"/>
              <a:gd name="connsiteX16" fmla="*/ 91410 w 119535"/>
              <a:gd name="connsiteY16" fmla="*/ 7500 h 56250"/>
              <a:gd name="connsiteX17" fmla="*/ 112035 w 119535"/>
              <a:gd name="connsiteY17" fmla="*/ 28125 h 56250"/>
              <a:gd name="connsiteX18" fmla="*/ 91410 w 119535"/>
              <a:gd name="connsiteY18" fmla="*/ 48750 h 56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</a:cxnLst>
            <a:rect l="l" t="t" r="r" b="b"/>
            <a:pathLst>
              <a:path w="119535" h="56250">
                <a:moveTo>
                  <a:pt x="91410" y="0"/>
                </a:moveTo>
                <a:lnTo>
                  <a:pt x="28125" y="0"/>
                </a:lnTo>
                <a:cubicBezTo>
                  <a:pt x="12592" y="0"/>
                  <a:pt x="0" y="12592"/>
                  <a:pt x="0" y="28125"/>
                </a:cubicBezTo>
                <a:cubicBezTo>
                  <a:pt x="0" y="43658"/>
                  <a:pt x="12592" y="56250"/>
                  <a:pt x="28125" y="56250"/>
                </a:cubicBezTo>
                <a:lnTo>
                  <a:pt x="91410" y="56250"/>
                </a:lnTo>
                <a:cubicBezTo>
                  <a:pt x="106943" y="56250"/>
                  <a:pt x="119535" y="43658"/>
                  <a:pt x="119535" y="28125"/>
                </a:cubicBezTo>
                <a:cubicBezTo>
                  <a:pt x="119535" y="12592"/>
                  <a:pt x="106943" y="0"/>
                  <a:pt x="91410" y="0"/>
                </a:cubicBezTo>
                <a:close/>
                <a:moveTo>
                  <a:pt x="7496" y="28125"/>
                </a:moveTo>
                <a:cubicBezTo>
                  <a:pt x="7513" y="16741"/>
                  <a:pt x="16737" y="7517"/>
                  <a:pt x="28121" y="7500"/>
                </a:cubicBezTo>
                <a:lnTo>
                  <a:pt x="56246" y="7500"/>
                </a:lnTo>
                <a:lnTo>
                  <a:pt x="56246" y="48750"/>
                </a:lnTo>
                <a:lnTo>
                  <a:pt x="28121" y="48750"/>
                </a:lnTo>
                <a:cubicBezTo>
                  <a:pt x="16737" y="48733"/>
                  <a:pt x="7513" y="39509"/>
                  <a:pt x="7496" y="28125"/>
                </a:cubicBezTo>
                <a:close/>
                <a:moveTo>
                  <a:pt x="91410" y="48750"/>
                </a:moveTo>
                <a:lnTo>
                  <a:pt x="63746" y="48750"/>
                </a:lnTo>
                <a:lnTo>
                  <a:pt x="63746" y="7500"/>
                </a:lnTo>
                <a:lnTo>
                  <a:pt x="91410" y="7500"/>
                </a:lnTo>
                <a:cubicBezTo>
                  <a:pt x="102801" y="7500"/>
                  <a:pt x="112035" y="16734"/>
                  <a:pt x="112035" y="28125"/>
                </a:cubicBezTo>
                <a:cubicBezTo>
                  <a:pt x="112035" y="39516"/>
                  <a:pt x="102801" y="48750"/>
                  <a:pt x="91410" y="4875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8</xdr:col>
      <xdr:colOff>123341</xdr:colOff>
      <xdr:row>12</xdr:row>
      <xdr:rowOff>176540</xdr:rowOff>
    </xdr:from>
    <xdr:to>
      <xdr:col>8</xdr:col>
      <xdr:colOff>455826</xdr:colOff>
      <xdr:row>12</xdr:row>
      <xdr:rowOff>386539</xdr:rowOff>
    </xdr:to>
    <xdr:grpSp>
      <xdr:nvGrpSpPr>
        <xdr:cNvPr id="254" name="mask" descr="N95 mask outline">
          <a:extLst>
            <a:ext uri="{FF2B5EF4-FFF2-40B4-BE49-F238E27FC236}">
              <a16:creationId xmlns:a16="http://schemas.microsoft.com/office/drawing/2014/main" id="{B94700FC-088E-4F7C-8B0E-25308691883D}"/>
            </a:ext>
          </a:extLst>
        </xdr:cNvPr>
        <xdr:cNvGrpSpPr>
          <a:grpSpLocks noChangeAspect="1"/>
        </xdr:cNvGrpSpPr>
      </xdr:nvGrpSpPr>
      <xdr:grpSpPr>
        <a:xfrm>
          <a:off x="7238516" y="5586740"/>
          <a:ext cx="332485" cy="209999"/>
          <a:chOff x="5972599" y="3923090"/>
          <a:chExt cx="332485" cy="209999"/>
        </a:xfrm>
        <a:solidFill>
          <a:srgbClr val="1F4E78"/>
        </a:solidFill>
      </xdr:grpSpPr>
      <xdr:sp macro="" textlink="">
        <xdr:nvSpPr>
          <xdr:cNvPr id="255" name="Freeform: Shape 254">
            <a:extLst>
              <a:ext uri="{FF2B5EF4-FFF2-40B4-BE49-F238E27FC236}">
                <a16:creationId xmlns:a16="http://schemas.microsoft.com/office/drawing/2014/main" id="{44277BF8-91C5-4B72-B8E0-B78A1EEA4368}"/>
              </a:ext>
            </a:extLst>
          </xdr:cNvPr>
          <xdr:cNvSpPr/>
        </xdr:nvSpPr>
        <xdr:spPr>
          <a:xfrm>
            <a:off x="5972599" y="3923090"/>
            <a:ext cx="332485" cy="209999"/>
          </a:xfrm>
          <a:custGeom>
            <a:avLst/>
            <a:gdLst>
              <a:gd name="connsiteX0" fmla="*/ 331336 w 332485"/>
              <a:gd name="connsiteY0" fmla="*/ 60688 h 209999"/>
              <a:gd name="connsiteX1" fmla="*/ 318909 w 332485"/>
              <a:gd name="connsiteY1" fmla="*/ 40930 h 209999"/>
              <a:gd name="connsiteX2" fmla="*/ 298085 w 332485"/>
              <a:gd name="connsiteY2" fmla="*/ 38403 h 209999"/>
              <a:gd name="connsiteX3" fmla="*/ 270102 w 332485"/>
              <a:gd name="connsiteY3" fmla="*/ 56897 h 209999"/>
              <a:gd name="connsiteX4" fmla="*/ 266554 w 332485"/>
              <a:gd name="connsiteY4" fmla="*/ 54576 h 209999"/>
              <a:gd name="connsiteX5" fmla="*/ 222439 w 332485"/>
              <a:gd name="connsiteY5" fmla="*/ 24705 h 209999"/>
              <a:gd name="connsiteX6" fmla="*/ 166241 w 332485"/>
              <a:gd name="connsiteY6" fmla="*/ 0 h 209999"/>
              <a:gd name="connsiteX7" fmla="*/ 110047 w 332485"/>
              <a:gd name="connsiteY7" fmla="*/ 24705 h 209999"/>
              <a:gd name="connsiteX8" fmla="*/ 65932 w 332485"/>
              <a:gd name="connsiteY8" fmla="*/ 54576 h 209999"/>
              <a:gd name="connsiteX9" fmla="*/ 62384 w 332485"/>
              <a:gd name="connsiteY9" fmla="*/ 56897 h 209999"/>
              <a:gd name="connsiteX10" fmla="*/ 34399 w 332485"/>
              <a:gd name="connsiteY10" fmla="*/ 38403 h 209999"/>
              <a:gd name="connsiteX11" fmla="*/ 13576 w 332485"/>
              <a:gd name="connsiteY11" fmla="*/ 40930 h 209999"/>
              <a:gd name="connsiteX12" fmla="*/ 1149 w 332485"/>
              <a:gd name="connsiteY12" fmla="*/ 60690 h 209999"/>
              <a:gd name="connsiteX13" fmla="*/ 15779 w 332485"/>
              <a:gd name="connsiteY13" fmla="*/ 119592 h 209999"/>
              <a:gd name="connsiteX14" fmla="*/ 72725 w 332485"/>
              <a:gd name="connsiteY14" fmla="*/ 157289 h 209999"/>
              <a:gd name="connsiteX15" fmla="*/ 73574 w 332485"/>
              <a:gd name="connsiteY15" fmla="*/ 157331 h 209999"/>
              <a:gd name="connsiteX16" fmla="*/ 89936 w 332485"/>
              <a:gd name="connsiteY16" fmla="*/ 178160 h 209999"/>
              <a:gd name="connsiteX17" fmla="*/ 240947 w 332485"/>
              <a:gd name="connsiteY17" fmla="*/ 179747 h 209999"/>
              <a:gd name="connsiteX18" fmla="*/ 242548 w 332485"/>
              <a:gd name="connsiteY18" fmla="*/ 178158 h 209999"/>
              <a:gd name="connsiteX19" fmla="*/ 258910 w 332485"/>
              <a:gd name="connsiteY19" fmla="*/ 157332 h 209999"/>
              <a:gd name="connsiteX20" fmla="*/ 259761 w 332485"/>
              <a:gd name="connsiteY20" fmla="*/ 157290 h 209999"/>
              <a:gd name="connsiteX21" fmla="*/ 316707 w 332485"/>
              <a:gd name="connsiteY21" fmla="*/ 119592 h 209999"/>
              <a:gd name="connsiteX22" fmla="*/ 331336 w 332485"/>
              <a:gd name="connsiteY22" fmla="*/ 60688 h 209999"/>
              <a:gd name="connsiteX23" fmla="*/ 22055 w 332485"/>
              <a:gd name="connsiteY23" fmla="*/ 115413 h 209999"/>
              <a:gd name="connsiteX24" fmla="*/ 8537 w 332485"/>
              <a:gd name="connsiteY24" fmla="*/ 62260 h 209999"/>
              <a:gd name="connsiteX25" fmla="*/ 17579 w 332485"/>
              <a:gd name="connsiteY25" fmla="*/ 47291 h 209999"/>
              <a:gd name="connsiteX26" fmla="*/ 26542 w 332485"/>
              <a:gd name="connsiteY26" fmla="*/ 44903 h 209999"/>
              <a:gd name="connsiteX27" fmla="*/ 32571 w 332485"/>
              <a:gd name="connsiteY27" fmla="*/ 45680 h 209999"/>
              <a:gd name="connsiteX28" fmla="*/ 57174 w 332485"/>
              <a:gd name="connsiteY28" fmla="*/ 62348 h 209999"/>
              <a:gd name="connsiteX29" fmla="*/ 52804 w 332485"/>
              <a:gd name="connsiteY29" fmla="*/ 75641 h 209999"/>
              <a:gd name="connsiteX30" fmla="*/ 68954 w 332485"/>
              <a:gd name="connsiteY30" fmla="*/ 149107 h 209999"/>
              <a:gd name="connsiteX31" fmla="*/ 22055 w 332485"/>
              <a:gd name="connsiteY31" fmla="*/ 115413 h 209999"/>
              <a:gd name="connsiteX32" fmla="*/ 237165 w 332485"/>
              <a:gd name="connsiteY32" fmla="*/ 172896 h 209999"/>
              <a:gd name="connsiteX33" fmla="*/ 96840 w 332485"/>
              <a:gd name="connsiteY33" fmla="*/ 174405 h 209999"/>
              <a:gd name="connsiteX34" fmla="*/ 95322 w 332485"/>
              <a:gd name="connsiteY34" fmla="*/ 172898 h 209999"/>
              <a:gd name="connsiteX35" fmla="*/ 85380 w 332485"/>
              <a:gd name="connsiteY35" fmla="*/ 161250 h 209999"/>
              <a:gd name="connsiteX36" fmla="*/ 109570 w 332485"/>
              <a:gd name="connsiteY36" fmla="*/ 161250 h 209999"/>
              <a:gd name="connsiteX37" fmla="*/ 113348 w 332485"/>
              <a:gd name="connsiteY37" fmla="*/ 157500 h 209999"/>
              <a:gd name="connsiteX38" fmla="*/ 109570 w 332485"/>
              <a:gd name="connsiteY38" fmla="*/ 153750 h 209999"/>
              <a:gd name="connsiteX39" fmla="*/ 80234 w 332485"/>
              <a:gd name="connsiteY39" fmla="*/ 153750 h 209999"/>
              <a:gd name="connsiteX40" fmla="*/ 66766 w 332485"/>
              <a:gd name="connsiteY40" fmla="*/ 123750 h 209999"/>
              <a:gd name="connsiteX41" fmla="*/ 94456 w 332485"/>
              <a:gd name="connsiteY41" fmla="*/ 123750 h 209999"/>
              <a:gd name="connsiteX42" fmla="*/ 98235 w 332485"/>
              <a:gd name="connsiteY42" fmla="*/ 120000 h 209999"/>
              <a:gd name="connsiteX43" fmla="*/ 94456 w 332485"/>
              <a:gd name="connsiteY43" fmla="*/ 116250 h 209999"/>
              <a:gd name="connsiteX44" fmla="*/ 64740 w 332485"/>
              <a:gd name="connsiteY44" fmla="*/ 116250 h 209999"/>
              <a:gd name="connsiteX45" fmla="*/ 60360 w 332485"/>
              <a:gd name="connsiteY45" fmla="*/ 75755 h 209999"/>
              <a:gd name="connsiteX46" fmla="*/ 69475 w 332485"/>
              <a:gd name="connsiteY46" fmla="*/ 61202 h 209999"/>
              <a:gd name="connsiteX47" fmla="*/ 114783 w 332485"/>
              <a:gd name="connsiteY47" fmla="*/ 30549 h 209999"/>
              <a:gd name="connsiteX48" fmla="*/ 166241 w 332485"/>
              <a:gd name="connsiteY48" fmla="*/ 7500 h 209999"/>
              <a:gd name="connsiteX49" fmla="*/ 217703 w 332485"/>
              <a:gd name="connsiteY49" fmla="*/ 30551 h 209999"/>
              <a:gd name="connsiteX50" fmla="*/ 263012 w 332485"/>
              <a:gd name="connsiteY50" fmla="*/ 61202 h 209999"/>
              <a:gd name="connsiteX51" fmla="*/ 272125 w 332485"/>
              <a:gd name="connsiteY51" fmla="*/ 75755 h 209999"/>
              <a:gd name="connsiteX52" fmla="*/ 267746 w 332485"/>
              <a:gd name="connsiteY52" fmla="*/ 116250 h 209999"/>
              <a:gd name="connsiteX53" fmla="*/ 238030 w 332485"/>
              <a:gd name="connsiteY53" fmla="*/ 116250 h 209999"/>
              <a:gd name="connsiteX54" fmla="*/ 234252 w 332485"/>
              <a:gd name="connsiteY54" fmla="*/ 120000 h 209999"/>
              <a:gd name="connsiteX55" fmla="*/ 238030 w 332485"/>
              <a:gd name="connsiteY55" fmla="*/ 123750 h 209999"/>
              <a:gd name="connsiteX56" fmla="*/ 265720 w 332485"/>
              <a:gd name="connsiteY56" fmla="*/ 123750 h 209999"/>
              <a:gd name="connsiteX57" fmla="*/ 252251 w 332485"/>
              <a:gd name="connsiteY57" fmla="*/ 153750 h 209999"/>
              <a:gd name="connsiteX58" fmla="*/ 222917 w 332485"/>
              <a:gd name="connsiteY58" fmla="*/ 153750 h 209999"/>
              <a:gd name="connsiteX59" fmla="*/ 219138 w 332485"/>
              <a:gd name="connsiteY59" fmla="*/ 157500 h 209999"/>
              <a:gd name="connsiteX60" fmla="*/ 222917 w 332485"/>
              <a:gd name="connsiteY60" fmla="*/ 161250 h 209999"/>
              <a:gd name="connsiteX61" fmla="*/ 247104 w 332485"/>
              <a:gd name="connsiteY61" fmla="*/ 161250 h 209999"/>
              <a:gd name="connsiteX62" fmla="*/ 237165 w 332485"/>
              <a:gd name="connsiteY62" fmla="*/ 172896 h 209999"/>
              <a:gd name="connsiteX63" fmla="*/ 310431 w 332485"/>
              <a:gd name="connsiteY63" fmla="*/ 115413 h 209999"/>
              <a:gd name="connsiteX64" fmla="*/ 263532 w 332485"/>
              <a:gd name="connsiteY64" fmla="*/ 149108 h 209999"/>
              <a:gd name="connsiteX65" fmla="*/ 279682 w 332485"/>
              <a:gd name="connsiteY65" fmla="*/ 75641 h 209999"/>
              <a:gd name="connsiteX66" fmla="*/ 275312 w 332485"/>
              <a:gd name="connsiteY66" fmla="*/ 62348 h 209999"/>
              <a:gd name="connsiteX67" fmla="*/ 299913 w 332485"/>
              <a:gd name="connsiteY67" fmla="*/ 45680 h 209999"/>
              <a:gd name="connsiteX68" fmla="*/ 305942 w 332485"/>
              <a:gd name="connsiteY68" fmla="*/ 44903 h 209999"/>
              <a:gd name="connsiteX69" fmla="*/ 314905 w 332485"/>
              <a:gd name="connsiteY69" fmla="*/ 47291 h 209999"/>
              <a:gd name="connsiteX70" fmla="*/ 323947 w 332485"/>
              <a:gd name="connsiteY70" fmla="*/ 62258 h 209999"/>
              <a:gd name="connsiteX71" fmla="*/ 310431 w 332485"/>
              <a:gd name="connsiteY71" fmla="*/ 115413 h 2099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</a:cxnLst>
            <a:rect l="l" t="t" r="r" b="b"/>
            <a:pathLst>
              <a:path w="332485" h="209999">
                <a:moveTo>
                  <a:pt x="331336" y="60688"/>
                </a:moveTo>
                <a:cubicBezTo>
                  <a:pt x="330090" y="52693"/>
                  <a:pt x="325599" y="45553"/>
                  <a:pt x="318909" y="40930"/>
                </a:cubicBezTo>
                <a:cubicBezTo>
                  <a:pt x="312616" y="37272"/>
                  <a:pt x="305080" y="36358"/>
                  <a:pt x="298085" y="38403"/>
                </a:cubicBezTo>
                <a:cubicBezTo>
                  <a:pt x="287130" y="41706"/>
                  <a:pt x="277397" y="48138"/>
                  <a:pt x="270102" y="56897"/>
                </a:cubicBezTo>
                <a:cubicBezTo>
                  <a:pt x="268988" y="56025"/>
                  <a:pt x="267801" y="55248"/>
                  <a:pt x="266554" y="54576"/>
                </a:cubicBezTo>
                <a:cubicBezTo>
                  <a:pt x="250859" y="46142"/>
                  <a:pt x="236076" y="36133"/>
                  <a:pt x="222439" y="24705"/>
                </a:cubicBezTo>
                <a:cubicBezTo>
                  <a:pt x="205136" y="10902"/>
                  <a:pt x="191470" y="0"/>
                  <a:pt x="166241" y="0"/>
                </a:cubicBezTo>
                <a:cubicBezTo>
                  <a:pt x="141012" y="0"/>
                  <a:pt x="127349" y="10902"/>
                  <a:pt x="110047" y="24705"/>
                </a:cubicBezTo>
                <a:cubicBezTo>
                  <a:pt x="96410" y="36133"/>
                  <a:pt x="81628" y="46143"/>
                  <a:pt x="65932" y="54576"/>
                </a:cubicBezTo>
                <a:cubicBezTo>
                  <a:pt x="64685" y="55248"/>
                  <a:pt x="63498" y="56025"/>
                  <a:pt x="62384" y="56897"/>
                </a:cubicBezTo>
                <a:cubicBezTo>
                  <a:pt x="55088" y="48139"/>
                  <a:pt x="45355" y="41706"/>
                  <a:pt x="34399" y="38403"/>
                </a:cubicBezTo>
                <a:cubicBezTo>
                  <a:pt x="27404" y="36358"/>
                  <a:pt x="19868" y="37272"/>
                  <a:pt x="13576" y="40930"/>
                </a:cubicBezTo>
                <a:cubicBezTo>
                  <a:pt x="6886" y="45553"/>
                  <a:pt x="2395" y="52694"/>
                  <a:pt x="1149" y="60690"/>
                </a:cubicBezTo>
                <a:cubicBezTo>
                  <a:pt x="-2608" y="78119"/>
                  <a:pt x="2999" y="100688"/>
                  <a:pt x="15779" y="119592"/>
                </a:cubicBezTo>
                <a:cubicBezTo>
                  <a:pt x="29922" y="140511"/>
                  <a:pt x="52274" y="155308"/>
                  <a:pt x="72725" y="157289"/>
                </a:cubicBezTo>
                <a:cubicBezTo>
                  <a:pt x="73016" y="157317"/>
                  <a:pt x="73287" y="157309"/>
                  <a:pt x="73574" y="157331"/>
                </a:cubicBezTo>
                <a:cubicBezTo>
                  <a:pt x="78215" y="164868"/>
                  <a:pt x="83704" y="171855"/>
                  <a:pt x="89936" y="178160"/>
                </a:cubicBezTo>
                <a:cubicBezTo>
                  <a:pt x="131195" y="219986"/>
                  <a:pt x="198805" y="220696"/>
                  <a:pt x="240947" y="179747"/>
                </a:cubicBezTo>
                <a:cubicBezTo>
                  <a:pt x="241486" y="179223"/>
                  <a:pt x="242020" y="178693"/>
                  <a:pt x="242548" y="178158"/>
                </a:cubicBezTo>
                <a:cubicBezTo>
                  <a:pt x="248780" y="171854"/>
                  <a:pt x="254270" y="164867"/>
                  <a:pt x="258910" y="157332"/>
                </a:cubicBezTo>
                <a:cubicBezTo>
                  <a:pt x="259198" y="157309"/>
                  <a:pt x="259469" y="157317"/>
                  <a:pt x="259761" y="157290"/>
                </a:cubicBezTo>
                <a:cubicBezTo>
                  <a:pt x="280212" y="155309"/>
                  <a:pt x="302564" y="140512"/>
                  <a:pt x="316707" y="119592"/>
                </a:cubicBezTo>
                <a:cubicBezTo>
                  <a:pt x="329487" y="100686"/>
                  <a:pt x="335094" y="78115"/>
                  <a:pt x="331336" y="60688"/>
                </a:cubicBezTo>
                <a:close/>
                <a:moveTo>
                  <a:pt x="22055" y="115413"/>
                </a:moveTo>
                <a:cubicBezTo>
                  <a:pt x="10375" y="98138"/>
                  <a:pt x="5194" y="77769"/>
                  <a:pt x="8537" y="62260"/>
                </a:cubicBezTo>
                <a:cubicBezTo>
                  <a:pt x="9422" y="56274"/>
                  <a:pt x="12676" y="50886"/>
                  <a:pt x="17579" y="47291"/>
                </a:cubicBezTo>
                <a:cubicBezTo>
                  <a:pt x="20279" y="45669"/>
                  <a:pt x="23387" y="44841"/>
                  <a:pt x="26542" y="44903"/>
                </a:cubicBezTo>
                <a:cubicBezTo>
                  <a:pt x="28576" y="44918"/>
                  <a:pt x="30601" y="45178"/>
                  <a:pt x="32571" y="45680"/>
                </a:cubicBezTo>
                <a:cubicBezTo>
                  <a:pt x="42257" y="48689"/>
                  <a:pt x="50822" y="54492"/>
                  <a:pt x="57174" y="62348"/>
                </a:cubicBezTo>
                <a:cubicBezTo>
                  <a:pt x="54419" y="66249"/>
                  <a:pt x="52897" y="70877"/>
                  <a:pt x="52804" y="75641"/>
                </a:cubicBezTo>
                <a:cubicBezTo>
                  <a:pt x="52028" y="101074"/>
                  <a:pt x="57575" y="126306"/>
                  <a:pt x="68954" y="149107"/>
                </a:cubicBezTo>
                <a:cubicBezTo>
                  <a:pt x="54351" y="146096"/>
                  <a:pt x="35351" y="135081"/>
                  <a:pt x="22055" y="115413"/>
                </a:cubicBezTo>
                <a:close/>
                <a:moveTo>
                  <a:pt x="237165" y="172896"/>
                </a:moveTo>
                <a:cubicBezTo>
                  <a:pt x="198835" y="211771"/>
                  <a:pt x="136010" y="212447"/>
                  <a:pt x="96840" y="174405"/>
                </a:cubicBezTo>
                <a:cubicBezTo>
                  <a:pt x="96329" y="173908"/>
                  <a:pt x="95822" y="173405"/>
                  <a:pt x="95322" y="172898"/>
                </a:cubicBezTo>
                <a:cubicBezTo>
                  <a:pt x="91732" y="169255"/>
                  <a:pt x="88410" y="165363"/>
                  <a:pt x="85380" y="161250"/>
                </a:cubicBezTo>
                <a:lnTo>
                  <a:pt x="109570" y="161250"/>
                </a:lnTo>
                <a:cubicBezTo>
                  <a:pt x="111656" y="161250"/>
                  <a:pt x="113348" y="159571"/>
                  <a:pt x="113348" y="157500"/>
                </a:cubicBezTo>
                <a:cubicBezTo>
                  <a:pt x="113348" y="155429"/>
                  <a:pt x="111656" y="153750"/>
                  <a:pt x="109570" y="153750"/>
                </a:cubicBezTo>
                <a:lnTo>
                  <a:pt x="80234" y="153750"/>
                </a:lnTo>
                <a:cubicBezTo>
                  <a:pt x="74441" y="144378"/>
                  <a:pt x="69913" y="134292"/>
                  <a:pt x="66766" y="123750"/>
                </a:cubicBezTo>
                <a:lnTo>
                  <a:pt x="94456" y="123750"/>
                </a:lnTo>
                <a:cubicBezTo>
                  <a:pt x="96543" y="123750"/>
                  <a:pt x="98235" y="122071"/>
                  <a:pt x="98235" y="120000"/>
                </a:cubicBezTo>
                <a:cubicBezTo>
                  <a:pt x="98235" y="117929"/>
                  <a:pt x="96543" y="116250"/>
                  <a:pt x="94456" y="116250"/>
                </a:cubicBezTo>
                <a:lnTo>
                  <a:pt x="64740" y="116250"/>
                </a:lnTo>
                <a:cubicBezTo>
                  <a:pt x="61567" y="102989"/>
                  <a:pt x="60096" y="89382"/>
                  <a:pt x="60360" y="75755"/>
                </a:cubicBezTo>
                <a:cubicBezTo>
                  <a:pt x="60498" y="69617"/>
                  <a:pt x="63990" y="64040"/>
                  <a:pt x="69475" y="61202"/>
                </a:cubicBezTo>
                <a:cubicBezTo>
                  <a:pt x="85582" y="52530"/>
                  <a:pt x="100763" y="42260"/>
                  <a:pt x="114783" y="30549"/>
                </a:cubicBezTo>
                <a:cubicBezTo>
                  <a:pt x="132181" y="16670"/>
                  <a:pt x="143673" y="7500"/>
                  <a:pt x="166241" y="7500"/>
                </a:cubicBezTo>
                <a:cubicBezTo>
                  <a:pt x="188810" y="7500"/>
                  <a:pt x="200303" y="16670"/>
                  <a:pt x="217703" y="30551"/>
                </a:cubicBezTo>
                <a:cubicBezTo>
                  <a:pt x="231723" y="42261"/>
                  <a:pt x="246904" y="52531"/>
                  <a:pt x="263012" y="61202"/>
                </a:cubicBezTo>
                <a:cubicBezTo>
                  <a:pt x="268496" y="64040"/>
                  <a:pt x="271989" y="69617"/>
                  <a:pt x="272125" y="75755"/>
                </a:cubicBezTo>
                <a:cubicBezTo>
                  <a:pt x="272390" y="89382"/>
                  <a:pt x="270919" y="102989"/>
                  <a:pt x="267746" y="116250"/>
                </a:cubicBezTo>
                <a:lnTo>
                  <a:pt x="238030" y="116250"/>
                </a:lnTo>
                <a:cubicBezTo>
                  <a:pt x="235943" y="116250"/>
                  <a:pt x="234252" y="117929"/>
                  <a:pt x="234252" y="120000"/>
                </a:cubicBezTo>
                <a:cubicBezTo>
                  <a:pt x="234252" y="122071"/>
                  <a:pt x="235943" y="123750"/>
                  <a:pt x="238030" y="123750"/>
                </a:cubicBezTo>
                <a:lnTo>
                  <a:pt x="265720" y="123750"/>
                </a:lnTo>
                <a:cubicBezTo>
                  <a:pt x="262573" y="134292"/>
                  <a:pt x="258044" y="144378"/>
                  <a:pt x="252251" y="153750"/>
                </a:cubicBezTo>
                <a:lnTo>
                  <a:pt x="222917" y="153750"/>
                </a:lnTo>
                <a:cubicBezTo>
                  <a:pt x="220830" y="153750"/>
                  <a:pt x="219138" y="155429"/>
                  <a:pt x="219138" y="157500"/>
                </a:cubicBezTo>
                <a:cubicBezTo>
                  <a:pt x="219138" y="159571"/>
                  <a:pt x="220830" y="161250"/>
                  <a:pt x="222917" y="161250"/>
                </a:cubicBezTo>
                <a:lnTo>
                  <a:pt x="247104" y="161250"/>
                </a:lnTo>
                <a:cubicBezTo>
                  <a:pt x="244075" y="165362"/>
                  <a:pt x="240753" y="169254"/>
                  <a:pt x="237165" y="172896"/>
                </a:cubicBezTo>
                <a:close/>
                <a:moveTo>
                  <a:pt x="310431" y="115413"/>
                </a:moveTo>
                <a:cubicBezTo>
                  <a:pt x="297135" y="135082"/>
                  <a:pt x="278134" y="146096"/>
                  <a:pt x="263532" y="149108"/>
                </a:cubicBezTo>
                <a:cubicBezTo>
                  <a:pt x="274911" y="126306"/>
                  <a:pt x="280458" y="101075"/>
                  <a:pt x="279682" y="75641"/>
                </a:cubicBezTo>
                <a:cubicBezTo>
                  <a:pt x="279589" y="70878"/>
                  <a:pt x="278067" y="66249"/>
                  <a:pt x="275312" y="62348"/>
                </a:cubicBezTo>
                <a:cubicBezTo>
                  <a:pt x="281664" y="54492"/>
                  <a:pt x="290228" y="48690"/>
                  <a:pt x="299913" y="45680"/>
                </a:cubicBezTo>
                <a:cubicBezTo>
                  <a:pt x="301884" y="45179"/>
                  <a:pt x="303909" y="44918"/>
                  <a:pt x="305942" y="44903"/>
                </a:cubicBezTo>
                <a:cubicBezTo>
                  <a:pt x="309097" y="44842"/>
                  <a:pt x="312205" y="45670"/>
                  <a:pt x="314905" y="47291"/>
                </a:cubicBezTo>
                <a:cubicBezTo>
                  <a:pt x="319808" y="50885"/>
                  <a:pt x="323063" y="56273"/>
                  <a:pt x="323947" y="62258"/>
                </a:cubicBezTo>
                <a:cubicBezTo>
                  <a:pt x="327290" y="77767"/>
                  <a:pt x="322111" y="98136"/>
                  <a:pt x="310431" y="11541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56" name="Freeform: Shape 255">
            <a:extLst>
              <a:ext uri="{FF2B5EF4-FFF2-40B4-BE49-F238E27FC236}">
                <a16:creationId xmlns:a16="http://schemas.microsoft.com/office/drawing/2014/main" id="{829EAC38-C9C9-48E4-9D10-AC5C74DB86FC}"/>
              </a:ext>
            </a:extLst>
          </xdr:cNvPr>
          <xdr:cNvSpPr/>
        </xdr:nvSpPr>
        <xdr:spPr>
          <a:xfrm>
            <a:off x="6108850" y="4001841"/>
            <a:ext cx="59981" cy="63750"/>
          </a:xfrm>
          <a:custGeom>
            <a:avLst/>
            <a:gdLst>
              <a:gd name="connsiteX0" fmla="*/ 52425 w 59981"/>
              <a:gd name="connsiteY0" fmla="*/ 0 h 63750"/>
              <a:gd name="connsiteX1" fmla="*/ 7557 w 59981"/>
              <a:gd name="connsiteY1" fmla="*/ 0 h 63750"/>
              <a:gd name="connsiteX2" fmla="*/ 0 w 59981"/>
              <a:gd name="connsiteY2" fmla="*/ 7500 h 63750"/>
              <a:gd name="connsiteX3" fmla="*/ 0 w 59981"/>
              <a:gd name="connsiteY3" fmla="*/ 56250 h 63750"/>
              <a:gd name="connsiteX4" fmla="*/ 7557 w 59981"/>
              <a:gd name="connsiteY4" fmla="*/ 63750 h 63750"/>
              <a:gd name="connsiteX5" fmla="*/ 52425 w 59981"/>
              <a:gd name="connsiteY5" fmla="*/ 63750 h 63750"/>
              <a:gd name="connsiteX6" fmla="*/ 59981 w 59981"/>
              <a:gd name="connsiteY6" fmla="*/ 56250 h 63750"/>
              <a:gd name="connsiteX7" fmla="*/ 59981 w 59981"/>
              <a:gd name="connsiteY7" fmla="*/ 7500 h 63750"/>
              <a:gd name="connsiteX8" fmla="*/ 52425 w 59981"/>
              <a:gd name="connsiteY8" fmla="*/ 0 h 63750"/>
              <a:gd name="connsiteX9" fmla="*/ 7557 w 59981"/>
              <a:gd name="connsiteY9" fmla="*/ 56250 h 63750"/>
              <a:gd name="connsiteX10" fmla="*/ 7557 w 59981"/>
              <a:gd name="connsiteY10" fmla="*/ 7500 h 63750"/>
              <a:gd name="connsiteX11" fmla="*/ 52425 w 59981"/>
              <a:gd name="connsiteY11" fmla="*/ 7500 h 63750"/>
              <a:gd name="connsiteX12" fmla="*/ 52430 w 59981"/>
              <a:gd name="connsiteY12" fmla="*/ 56250 h 637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59981" h="63750">
                <a:moveTo>
                  <a:pt x="52425" y="0"/>
                </a:moveTo>
                <a:lnTo>
                  <a:pt x="7557" y="0"/>
                </a:lnTo>
                <a:cubicBezTo>
                  <a:pt x="3385" y="4"/>
                  <a:pt x="4" y="3359"/>
                  <a:pt x="0" y="7500"/>
                </a:cubicBezTo>
                <a:lnTo>
                  <a:pt x="0" y="56250"/>
                </a:lnTo>
                <a:cubicBezTo>
                  <a:pt x="4" y="60390"/>
                  <a:pt x="3385" y="63746"/>
                  <a:pt x="7557" y="63750"/>
                </a:cubicBezTo>
                <a:lnTo>
                  <a:pt x="52425" y="63750"/>
                </a:lnTo>
                <a:cubicBezTo>
                  <a:pt x="56596" y="63746"/>
                  <a:pt x="59977" y="60390"/>
                  <a:pt x="59981" y="56250"/>
                </a:cubicBezTo>
                <a:lnTo>
                  <a:pt x="59981" y="7500"/>
                </a:lnTo>
                <a:cubicBezTo>
                  <a:pt x="59977" y="3359"/>
                  <a:pt x="56596" y="4"/>
                  <a:pt x="52425" y="0"/>
                </a:cubicBezTo>
                <a:close/>
                <a:moveTo>
                  <a:pt x="7557" y="56250"/>
                </a:moveTo>
                <a:lnTo>
                  <a:pt x="7557" y="7500"/>
                </a:lnTo>
                <a:lnTo>
                  <a:pt x="52425" y="7500"/>
                </a:lnTo>
                <a:lnTo>
                  <a:pt x="52430" y="5625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6</xdr:col>
      <xdr:colOff>142823</xdr:colOff>
      <xdr:row>17</xdr:row>
      <xdr:rowOff>145712</xdr:rowOff>
    </xdr:from>
    <xdr:to>
      <xdr:col>6</xdr:col>
      <xdr:colOff>441221</xdr:colOff>
      <xdr:row>17</xdr:row>
      <xdr:rowOff>441967</xdr:rowOff>
    </xdr:to>
    <xdr:sp macro="" textlink="">
      <xdr:nvSpPr>
        <xdr:cNvPr id="257" name="injection" descr="Needle outline">
          <a:extLst>
            <a:ext uri="{FF2B5EF4-FFF2-40B4-BE49-F238E27FC236}">
              <a16:creationId xmlns:a16="http://schemas.microsoft.com/office/drawing/2014/main" id="{CB32575E-2044-4854-9CD4-90BDAD3D7C0C}"/>
            </a:ext>
          </a:extLst>
        </xdr:cNvPr>
        <xdr:cNvSpPr>
          <a:spLocks noChangeAspect="1"/>
        </xdr:cNvSpPr>
      </xdr:nvSpPr>
      <xdr:spPr>
        <a:xfrm>
          <a:off x="4895798" y="8013362"/>
          <a:ext cx="298398" cy="296255"/>
        </a:xfrm>
        <a:custGeom>
          <a:avLst/>
          <a:gdLst>
            <a:gd name="connsiteX0" fmla="*/ 297333 w 298398"/>
            <a:gd name="connsiteY0" fmla="*/ 49568 h 296255"/>
            <a:gd name="connsiteX1" fmla="*/ 248458 w 298398"/>
            <a:gd name="connsiteY1" fmla="*/ 1058 h 296255"/>
            <a:gd name="connsiteX2" fmla="*/ 243115 w 298398"/>
            <a:gd name="connsiteY2" fmla="*/ 1139 h 296255"/>
            <a:gd name="connsiteX3" fmla="*/ 243115 w 298398"/>
            <a:gd name="connsiteY3" fmla="*/ 6361 h 296255"/>
            <a:gd name="connsiteX4" fmla="*/ 255125 w 298398"/>
            <a:gd name="connsiteY4" fmla="*/ 18281 h 296255"/>
            <a:gd name="connsiteX5" fmla="*/ 230796 w 298398"/>
            <a:gd name="connsiteY5" fmla="*/ 42405 h 296255"/>
            <a:gd name="connsiteX6" fmla="*/ 204000 w 298398"/>
            <a:gd name="connsiteY6" fmla="*/ 16058 h 296255"/>
            <a:gd name="connsiteX7" fmla="*/ 198656 w 298398"/>
            <a:gd name="connsiteY7" fmla="*/ 16058 h 296255"/>
            <a:gd name="connsiteX8" fmla="*/ 198655 w 298398"/>
            <a:gd name="connsiteY8" fmla="*/ 21361 h 296255"/>
            <a:gd name="connsiteX9" fmla="*/ 210746 w 298398"/>
            <a:gd name="connsiteY9" fmla="*/ 33361 h 296255"/>
            <a:gd name="connsiteX10" fmla="*/ 100389 w 298398"/>
            <a:gd name="connsiteY10" fmla="*/ 142940 h 296255"/>
            <a:gd name="connsiteX11" fmla="*/ 89008 w 298398"/>
            <a:gd name="connsiteY11" fmla="*/ 169775 h 296255"/>
            <a:gd name="connsiteX12" fmla="*/ 90786 w 298398"/>
            <a:gd name="connsiteY12" fmla="*/ 181427 h 296255"/>
            <a:gd name="connsiteX13" fmla="*/ 68512 w 298398"/>
            <a:gd name="connsiteY13" fmla="*/ 203538 h 296255"/>
            <a:gd name="connsiteX14" fmla="*/ 64600 w 298398"/>
            <a:gd name="connsiteY14" fmla="*/ 222251 h 296255"/>
            <a:gd name="connsiteX15" fmla="*/ 66909 w 298398"/>
            <a:gd name="connsiteY15" fmla="*/ 224543 h 296255"/>
            <a:gd name="connsiteX16" fmla="*/ 1153 w 298398"/>
            <a:gd name="connsiteY16" fmla="*/ 289808 h 296255"/>
            <a:gd name="connsiteX17" fmla="*/ 1061 w 298398"/>
            <a:gd name="connsiteY17" fmla="*/ 295111 h 296255"/>
            <a:gd name="connsiteX18" fmla="*/ 6403 w 298398"/>
            <a:gd name="connsiteY18" fmla="*/ 295203 h 296255"/>
            <a:gd name="connsiteX19" fmla="*/ 6496 w 298398"/>
            <a:gd name="connsiteY19" fmla="*/ 295111 h 296255"/>
            <a:gd name="connsiteX20" fmla="*/ 72251 w 298398"/>
            <a:gd name="connsiteY20" fmla="*/ 229848 h 296255"/>
            <a:gd name="connsiteX21" fmla="*/ 74559 w 298398"/>
            <a:gd name="connsiteY21" fmla="*/ 232139 h 296255"/>
            <a:gd name="connsiteX22" fmla="*/ 93410 w 298398"/>
            <a:gd name="connsiteY22" fmla="*/ 228255 h 296255"/>
            <a:gd name="connsiteX23" fmla="*/ 115683 w 298398"/>
            <a:gd name="connsiteY23" fmla="*/ 206144 h 296255"/>
            <a:gd name="connsiteX24" fmla="*/ 127421 w 298398"/>
            <a:gd name="connsiteY24" fmla="*/ 207909 h 296255"/>
            <a:gd name="connsiteX25" fmla="*/ 154453 w 298398"/>
            <a:gd name="connsiteY25" fmla="*/ 196610 h 296255"/>
            <a:gd name="connsiteX26" fmla="*/ 264814 w 298398"/>
            <a:gd name="connsiteY26" fmla="*/ 87023 h 296255"/>
            <a:gd name="connsiteX27" fmla="*/ 278000 w 298398"/>
            <a:gd name="connsiteY27" fmla="*/ 100111 h 296255"/>
            <a:gd name="connsiteX28" fmla="*/ 283343 w 298398"/>
            <a:gd name="connsiteY28" fmla="*/ 100192 h 296255"/>
            <a:gd name="connsiteX29" fmla="*/ 283424 w 298398"/>
            <a:gd name="connsiteY29" fmla="*/ 94889 h 296255"/>
            <a:gd name="connsiteX30" fmla="*/ 283343 w 298398"/>
            <a:gd name="connsiteY30" fmla="*/ 94808 h 296255"/>
            <a:gd name="connsiteX31" fmla="*/ 255691 w 298398"/>
            <a:gd name="connsiteY31" fmla="*/ 67115 h 296255"/>
            <a:gd name="connsiteX32" fmla="*/ 280023 w 298398"/>
            <a:gd name="connsiteY32" fmla="*/ 42995 h 296255"/>
            <a:gd name="connsiteX33" fmla="*/ 291989 w 298398"/>
            <a:gd name="connsiteY33" fmla="*/ 54871 h 296255"/>
            <a:gd name="connsiteX34" fmla="*/ 297332 w 298398"/>
            <a:gd name="connsiteY34" fmla="*/ 54790 h 296255"/>
            <a:gd name="connsiteX35" fmla="*/ 297332 w 298398"/>
            <a:gd name="connsiteY35" fmla="*/ 49568 h 296255"/>
            <a:gd name="connsiteX36" fmla="*/ 88066 w 298398"/>
            <a:gd name="connsiteY36" fmla="*/ 222952 h 296255"/>
            <a:gd name="connsiteX37" fmla="*/ 80975 w 298398"/>
            <a:gd name="connsiteY37" fmla="*/ 225830 h 296255"/>
            <a:gd name="connsiteX38" fmla="*/ 78614 w 298398"/>
            <a:gd name="connsiteY38" fmla="*/ 225557 h 296255"/>
            <a:gd name="connsiteX39" fmla="*/ 71230 w 298398"/>
            <a:gd name="connsiteY39" fmla="*/ 218226 h 296255"/>
            <a:gd name="connsiteX40" fmla="*/ 73856 w 298398"/>
            <a:gd name="connsiteY40" fmla="*/ 208841 h 296255"/>
            <a:gd name="connsiteX41" fmla="*/ 96008 w 298398"/>
            <a:gd name="connsiteY41" fmla="*/ 186850 h 296255"/>
            <a:gd name="connsiteX42" fmla="*/ 110223 w 298398"/>
            <a:gd name="connsiteY42" fmla="*/ 200957 h 296255"/>
            <a:gd name="connsiteX43" fmla="*/ 148986 w 298398"/>
            <a:gd name="connsiteY43" fmla="*/ 191432 h 296255"/>
            <a:gd name="connsiteX44" fmla="*/ 127421 w 298398"/>
            <a:gd name="connsiteY44" fmla="*/ 200409 h 296255"/>
            <a:gd name="connsiteX45" fmla="*/ 119170 w 298398"/>
            <a:gd name="connsiteY45" fmla="*/ 199232 h 296255"/>
            <a:gd name="connsiteX46" fmla="*/ 97751 w 298398"/>
            <a:gd name="connsiteY46" fmla="*/ 177974 h 296255"/>
            <a:gd name="connsiteX47" fmla="*/ 96564 w 298398"/>
            <a:gd name="connsiteY47" fmla="*/ 169775 h 296255"/>
            <a:gd name="connsiteX48" fmla="*/ 105734 w 298398"/>
            <a:gd name="connsiteY48" fmla="*/ 148243 h 296255"/>
            <a:gd name="connsiteX49" fmla="*/ 121091 w 298398"/>
            <a:gd name="connsiteY49" fmla="*/ 132994 h 296255"/>
            <a:gd name="connsiteX50" fmla="*/ 164475 w 298398"/>
            <a:gd name="connsiteY50" fmla="*/ 176052 h 296255"/>
            <a:gd name="connsiteX51" fmla="*/ 259364 w 298398"/>
            <a:gd name="connsiteY51" fmla="*/ 81827 h 296255"/>
            <a:gd name="connsiteX52" fmla="*/ 239593 w 298398"/>
            <a:gd name="connsiteY52" fmla="*/ 101460 h 296255"/>
            <a:gd name="connsiteX53" fmla="*/ 215349 w 298398"/>
            <a:gd name="connsiteY53" fmla="*/ 77397 h 296255"/>
            <a:gd name="connsiteX54" fmla="*/ 210006 w 298398"/>
            <a:gd name="connsiteY54" fmla="*/ 82700 h 296255"/>
            <a:gd name="connsiteX55" fmla="*/ 234251 w 298398"/>
            <a:gd name="connsiteY55" fmla="*/ 106763 h 296255"/>
            <a:gd name="connsiteX56" fmla="*/ 216929 w 298398"/>
            <a:gd name="connsiteY56" fmla="*/ 123964 h 296255"/>
            <a:gd name="connsiteX57" fmla="*/ 192713 w 298398"/>
            <a:gd name="connsiteY57" fmla="*/ 99928 h 296255"/>
            <a:gd name="connsiteX58" fmla="*/ 187370 w 298398"/>
            <a:gd name="connsiteY58" fmla="*/ 105231 h 296255"/>
            <a:gd name="connsiteX59" fmla="*/ 211586 w 298398"/>
            <a:gd name="connsiteY59" fmla="*/ 129269 h 296255"/>
            <a:gd name="connsiteX60" fmla="*/ 194264 w 298398"/>
            <a:gd name="connsiteY60" fmla="*/ 146472 h 296255"/>
            <a:gd name="connsiteX61" fmla="*/ 170042 w 298398"/>
            <a:gd name="connsiteY61" fmla="*/ 122431 h 296255"/>
            <a:gd name="connsiteX62" fmla="*/ 164699 w 298398"/>
            <a:gd name="connsiteY62" fmla="*/ 127733 h 296255"/>
            <a:gd name="connsiteX63" fmla="*/ 188922 w 298398"/>
            <a:gd name="connsiteY63" fmla="*/ 151776 h 296255"/>
            <a:gd name="connsiteX64" fmla="*/ 169816 w 298398"/>
            <a:gd name="connsiteY64" fmla="*/ 170751 h 296255"/>
            <a:gd name="connsiteX65" fmla="*/ 126432 w 298398"/>
            <a:gd name="connsiteY65" fmla="*/ 127690 h 296255"/>
            <a:gd name="connsiteX66" fmla="*/ 215986 w 298398"/>
            <a:gd name="connsiteY66" fmla="*/ 38765 h 296255"/>
            <a:gd name="connsiteX67" fmla="*/ 250352 w 298398"/>
            <a:gd name="connsiteY67" fmla="*/ 61808 h 296255"/>
            <a:gd name="connsiteX68" fmla="*/ 250224 w 298398"/>
            <a:gd name="connsiteY68" fmla="*/ 61936 h 296255"/>
            <a:gd name="connsiteX69" fmla="*/ 236014 w 298398"/>
            <a:gd name="connsiteY69" fmla="*/ 47833 h 296255"/>
            <a:gd name="connsiteX70" fmla="*/ 236137 w 298398"/>
            <a:gd name="connsiteY70" fmla="*/ 47711 h 296255"/>
            <a:gd name="connsiteX71" fmla="*/ 260469 w 298398"/>
            <a:gd name="connsiteY71" fmla="*/ 23585 h 296255"/>
            <a:gd name="connsiteX72" fmla="*/ 274682 w 298398"/>
            <a:gd name="connsiteY72" fmla="*/ 37691 h 29625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</a:cxnLst>
          <a:rect l="l" t="t" r="r" b="b"/>
          <a:pathLst>
            <a:path w="298398" h="296255">
              <a:moveTo>
                <a:pt x="297333" y="49568"/>
              </a:moveTo>
              <a:lnTo>
                <a:pt x="248458" y="1058"/>
              </a:lnTo>
              <a:cubicBezTo>
                <a:pt x="246960" y="-384"/>
                <a:pt x="244568" y="-348"/>
                <a:pt x="243115" y="1139"/>
              </a:cubicBezTo>
              <a:cubicBezTo>
                <a:pt x="241693" y="2594"/>
                <a:pt x="241693" y="4906"/>
                <a:pt x="243115" y="6361"/>
              </a:cubicBezTo>
              <a:lnTo>
                <a:pt x="255125" y="18281"/>
              </a:lnTo>
              <a:lnTo>
                <a:pt x="230796" y="42405"/>
              </a:lnTo>
              <a:lnTo>
                <a:pt x="204000" y="16058"/>
              </a:lnTo>
              <a:cubicBezTo>
                <a:pt x="202524" y="14594"/>
                <a:pt x="200132" y="14593"/>
                <a:pt x="198656" y="16058"/>
              </a:cubicBezTo>
              <a:cubicBezTo>
                <a:pt x="197180" y="17522"/>
                <a:pt x="197180" y="19896"/>
                <a:pt x="198655" y="21361"/>
              </a:cubicBezTo>
              <a:lnTo>
                <a:pt x="210746" y="33361"/>
              </a:lnTo>
              <a:lnTo>
                <a:pt x="100389" y="142940"/>
              </a:lnTo>
              <a:cubicBezTo>
                <a:pt x="93152" y="150028"/>
                <a:pt x="89057" y="159685"/>
                <a:pt x="89008" y="169775"/>
              </a:cubicBezTo>
              <a:cubicBezTo>
                <a:pt x="89076" y="173720"/>
                <a:pt x="89674" y="177639"/>
                <a:pt x="90786" y="181427"/>
              </a:cubicBezTo>
              <a:lnTo>
                <a:pt x="68512" y="203538"/>
              </a:lnTo>
              <a:cubicBezTo>
                <a:pt x="63601" y="208462"/>
                <a:pt x="62068" y="215794"/>
                <a:pt x="64600" y="222251"/>
              </a:cubicBezTo>
              <a:lnTo>
                <a:pt x="66909" y="224543"/>
              </a:lnTo>
              <a:lnTo>
                <a:pt x="1153" y="289808"/>
              </a:lnTo>
              <a:cubicBezTo>
                <a:pt x="-347" y="291247"/>
                <a:pt x="-389" y="293621"/>
                <a:pt x="1061" y="295111"/>
              </a:cubicBezTo>
              <a:cubicBezTo>
                <a:pt x="2510" y="296601"/>
                <a:pt x="4902" y="296642"/>
                <a:pt x="6403" y="295203"/>
              </a:cubicBezTo>
              <a:cubicBezTo>
                <a:pt x="6435" y="295173"/>
                <a:pt x="6466" y="295142"/>
                <a:pt x="6496" y="295111"/>
              </a:cubicBezTo>
              <a:lnTo>
                <a:pt x="72251" y="229848"/>
              </a:lnTo>
              <a:lnTo>
                <a:pt x="74559" y="232139"/>
              </a:lnTo>
              <a:cubicBezTo>
                <a:pt x="81064" y="234646"/>
                <a:pt x="88448" y="233125"/>
                <a:pt x="93410" y="228255"/>
              </a:cubicBezTo>
              <a:lnTo>
                <a:pt x="115683" y="206144"/>
              </a:lnTo>
              <a:cubicBezTo>
                <a:pt x="119500" y="207247"/>
                <a:pt x="123447" y="207841"/>
                <a:pt x="127421" y="207909"/>
              </a:cubicBezTo>
              <a:cubicBezTo>
                <a:pt x="137625" y="208050"/>
                <a:pt x="147424" y="203954"/>
                <a:pt x="154453" y="196610"/>
              </a:cubicBezTo>
              <a:lnTo>
                <a:pt x="264814" y="87023"/>
              </a:lnTo>
              <a:lnTo>
                <a:pt x="278000" y="100111"/>
              </a:lnTo>
              <a:cubicBezTo>
                <a:pt x="279453" y="101597"/>
                <a:pt x="281845" y="101633"/>
                <a:pt x="283343" y="100192"/>
              </a:cubicBezTo>
              <a:cubicBezTo>
                <a:pt x="284841" y="98749"/>
                <a:pt x="284877" y="96375"/>
                <a:pt x="283424" y="94889"/>
              </a:cubicBezTo>
              <a:cubicBezTo>
                <a:pt x="283398" y="94861"/>
                <a:pt x="283371" y="94835"/>
                <a:pt x="283343" y="94808"/>
              </a:cubicBezTo>
              <a:lnTo>
                <a:pt x="255691" y="67115"/>
              </a:lnTo>
              <a:lnTo>
                <a:pt x="280023" y="42995"/>
              </a:lnTo>
              <a:lnTo>
                <a:pt x="291989" y="54871"/>
              </a:lnTo>
              <a:cubicBezTo>
                <a:pt x="293487" y="56313"/>
                <a:pt x="295879" y="56277"/>
                <a:pt x="297332" y="54790"/>
              </a:cubicBezTo>
              <a:cubicBezTo>
                <a:pt x="298754" y="53335"/>
                <a:pt x="298754" y="51023"/>
                <a:pt x="297332" y="49568"/>
              </a:cubicBezTo>
              <a:close/>
              <a:moveTo>
                <a:pt x="88066" y="222952"/>
              </a:moveTo>
              <a:cubicBezTo>
                <a:pt x="86185" y="224813"/>
                <a:pt x="83631" y="225849"/>
                <a:pt x="80975" y="225830"/>
              </a:cubicBezTo>
              <a:cubicBezTo>
                <a:pt x="80180" y="225831"/>
                <a:pt x="79388" y="225739"/>
                <a:pt x="78614" y="225557"/>
              </a:cubicBezTo>
              <a:lnTo>
                <a:pt x="71230" y="218226"/>
              </a:lnTo>
              <a:cubicBezTo>
                <a:pt x="70401" y="214857"/>
                <a:pt x="71395" y="211303"/>
                <a:pt x="73856" y="208841"/>
              </a:cubicBezTo>
              <a:lnTo>
                <a:pt x="96008" y="186850"/>
              </a:lnTo>
              <a:lnTo>
                <a:pt x="110223" y="200957"/>
              </a:lnTo>
              <a:close/>
              <a:moveTo>
                <a:pt x="148986" y="191432"/>
              </a:moveTo>
              <a:cubicBezTo>
                <a:pt x="143380" y="197288"/>
                <a:pt x="135558" y="200544"/>
                <a:pt x="127421" y="200409"/>
              </a:cubicBezTo>
              <a:cubicBezTo>
                <a:pt x="124634" y="200336"/>
                <a:pt x="121865" y="199942"/>
                <a:pt x="119170" y="199232"/>
              </a:cubicBezTo>
              <a:lnTo>
                <a:pt x="97751" y="177974"/>
              </a:lnTo>
              <a:cubicBezTo>
                <a:pt x="97036" y="175296"/>
                <a:pt x="96638" y="172545"/>
                <a:pt x="96564" y="169775"/>
              </a:cubicBezTo>
              <a:cubicBezTo>
                <a:pt x="96602" y="161671"/>
                <a:pt x="99904" y="153917"/>
                <a:pt x="105734" y="148243"/>
              </a:cubicBezTo>
              <a:lnTo>
                <a:pt x="121091" y="132994"/>
              </a:lnTo>
              <a:lnTo>
                <a:pt x="164475" y="176052"/>
              </a:lnTo>
              <a:close/>
              <a:moveTo>
                <a:pt x="259364" y="81827"/>
              </a:moveTo>
              <a:lnTo>
                <a:pt x="239593" y="101460"/>
              </a:lnTo>
              <a:lnTo>
                <a:pt x="215349" y="77397"/>
              </a:lnTo>
              <a:lnTo>
                <a:pt x="210006" y="82700"/>
              </a:lnTo>
              <a:lnTo>
                <a:pt x="234251" y="106763"/>
              </a:lnTo>
              <a:lnTo>
                <a:pt x="216929" y="123964"/>
              </a:lnTo>
              <a:lnTo>
                <a:pt x="192713" y="99928"/>
              </a:lnTo>
              <a:lnTo>
                <a:pt x="187370" y="105231"/>
              </a:lnTo>
              <a:lnTo>
                <a:pt x="211586" y="129269"/>
              </a:lnTo>
              <a:lnTo>
                <a:pt x="194264" y="146472"/>
              </a:lnTo>
              <a:lnTo>
                <a:pt x="170042" y="122431"/>
              </a:lnTo>
              <a:lnTo>
                <a:pt x="164699" y="127733"/>
              </a:lnTo>
              <a:lnTo>
                <a:pt x="188922" y="151776"/>
              </a:lnTo>
              <a:lnTo>
                <a:pt x="169816" y="170751"/>
              </a:lnTo>
              <a:lnTo>
                <a:pt x="126432" y="127690"/>
              </a:lnTo>
              <a:lnTo>
                <a:pt x="215986" y="38765"/>
              </a:lnTo>
              <a:close/>
              <a:moveTo>
                <a:pt x="250352" y="61808"/>
              </a:moveTo>
              <a:lnTo>
                <a:pt x="250224" y="61936"/>
              </a:lnTo>
              <a:lnTo>
                <a:pt x="236014" y="47833"/>
              </a:lnTo>
              <a:lnTo>
                <a:pt x="236137" y="47711"/>
              </a:lnTo>
              <a:lnTo>
                <a:pt x="260469" y="23585"/>
              </a:lnTo>
              <a:lnTo>
                <a:pt x="274682" y="37691"/>
              </a:ln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2</xdr:col>
      <xdr:colOff>162497</xdr:colOff>
      <xdr:row>13</xdr:row>
      <xdr:rowOff>103287</xdr:rowOff>
    </xdr:from>
    <xdr:to>
      <xdr:col>2</xdr:col>
      <xdr:colOff>406306</xdr:colOff>
      <xdr:row>13</xdr:row>
      <xdr:rowOff>426716</xdr:rowOff>
    </xdr:to>
    <xdr:grpSp>
      <xdr:nvGrpSpPr>
        <xdr:cNvPr id="258" name="broken_hand" descr="Sling outline">
          <a:extLst>
            <a:ext uri="{FF2B5EF4-FFF2-40B4-BE49-F238E27FC236}">
              <a16:creationId xmlns:a16="http://schemas.microsoft.com/office/drawing/2014/main" id="{FDB03187-66D5-4783-9DF7-F0B4269FAE0A}"/>
            </a:ext>
          </a:extLst>
        </xdr:cNvPr>
        <xdr:cNvGrpSpPr>
          <a:grpSpLocks noChangeAspect="1"/>
        </xdr:cNvGrpSpPr>
      </xdr:nvGrpSpPr>
      <xdr:grpSpPr>
        <a:xfrm>
          <a:off x="1591247" y="6142137"/>
          <a:ext cx="243809" cy="323429"/>
          <a:chOff x="10501801" y="6067110"/>
          <a:chExt cx="243809" cy="323429"/>
        </a:xfrm>
        <a:solidFill>
          <a:srgbClr val="1F4E78"/>
        </a:solidFill>
      </xdr:grpSpPr>
      <xdr:sp macro="" textlink="">
        <xdr:nvSpPr>
          <xdr:cNvPr id="259" name="Freeform: Shape 258">
            <a:extLst>
              <a:ext uri="{FF2B5EF4-FFF2-40B4-BE49-F238E27FC236}">
                <a16:creationId xmlns:a16="http://schemas.microsoft.com/office/drawing/2014/main" id="{F30A4531-E4BF-47F8-B7F3-00E4D378E26E}"/>
              </a:ext>
            </a:extLst>
          </xdr:cNvPr>
          <xdr:cNvSpPr/>
        </xdr:nvSpPr>
        <xdr:spPr>
          <a:xfrm>
            <a:off x="10591051" y="6067110"/>
            <a:ext cx="101062" cy="101166"/>
          </a:xfrm>
          <a:custGeom>
            <a:avLst/>
            <a:gdLst>
              <a:gd name="connsiteX0" fmla="*/ 50523 w 101062"/>
              <a:gd name="connsiteY0" fmla="*/ 7500 h 101166"/>
              <a:gd name="connsiteX1" fmla="*/ 50523 w 101062"/>
              <a:gd name="connsiteY1" fmla="*/ 7500 h 101166"/>
              <a:gd name="connsiteX2" fmla="*/ 71028 w 101062"/>
              <a:gd name="connsiteY2" fmla="*/ 12604 h 101166"/>
              <a:gd name="connsiteX3" fmla="*/ 88448 w 101062"/>
              <a:gd name="connsiteY3" fmla="*/ 70951 h 101166"/>
              <a:gd name="connsiteX4" fmla="*/ 30100 w 101062"/>
              <a:gd name="connsiteY4" fmla="*/ 88371 h 101166"/>
              <a:gd name="connsiteX5" fmla="*/ 7507 w 101062"/>
              <a:gd name="connsiteY5" fmla="*/ 50513 h 101166"/>
              <a:gd name="connsiteX6" fmla="*/ 50523 w 101062"/>
              <a:gd name="connsiteY6" fmla="*/ 7500 h 101166"/>
              <a:gd name="connsiteX7" fmla="*/ 50523 w 101062"/>
              <a:gd name="connsiteY7" fmla="*/ 0 h 101166"/>
              <a:gd name="connsiteX8" fmla="*/ 3 w 101062"/>
              <a:gd name="connsiteY8" fmla="*/ 50513 h 101166"/>
              <a:gd name="connsiteX9" fmla="*/ 3 w 101062"/>
              <a:gd name="connsiteY9" fmla="*/ 50513 h 101166"/>
              <a:gd name="connsiteX10" fmla="*/ 34345 w 101062"/>
              <a:gd name="connsiteY10" fmla="*/ 98513 h 101166"/>
              <a:gd name="connsiteX11" fmla="*/ 98409 w 101062"/>
              <a:gd name="connsiteY11" fmla="*/ 66703 h 101166"/>
              <a:gd name="connsiteX12" fmla="*/ 66599 w 101062"/>
              <a:gd name="connsiteY12" fmla="*/ 2640 h 101166"/>
              <a:gd name="connsiteX13" fmla="*/ 50527 w 101062"/>
              <a:gd name="connsiteY13" fmla="*/ 0 h 10116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101062" h="101166">
                <a:moveTo>
                  <a:pt x="50523" y="7500"/>
                </a:moveTo>
                <a:lnTo>
                  <a:pt x="50523" y="7500"/>
                </a:lnTo>
                <a:cubicBezTo>
                  <a:pt x="57684" y="7407"/>
                  <a:pt x="64747" y="9165"/>
                  <a:pt x="71028" y="12604"/>
                </a:cubicBezTo>
                <a:cubicBezTo>
                  <a:pt x="91951" y="23906"/>
                  <a:pt x="99750" y="50029"/>
                  <a:pt x="88448" y="70951"/>
                </a:cubicBezTo>
                <a:cubicBezTo>
                  <a:pt x="77146" y="91874"/>
                  <a:pt x="51023" y="99673"/>
                  <a:pt x="30100" y="88371"/>
                </a:cubicBezTo>
                <a:cubicBezTo>
                  <a:pt x="16189" y="80857"/>
                  <a:pt x="7516" y="66323"/>
                  <a:pt x="7507" y="50513"/>
                </a:cubicBezTo>
                <a:cubicBezTo>
                  <a:pt x="7511" y="26758"/>
                  <a:pt x="26768" y="7502"/>
                  <a:pt x="50523" y="7500"/>
                </a:cubicBezTo>
                <a:moveTo>
                  <a:pt x="50523" y="0"/>
                </a:moveTo>
                <a:cubicBezTo>
                  <a:pt x="22624" y="-2"/>
                  <a:pt x="5" y="22613"/>
                  <a:pt x="3" y="50513"/>
                </a:cubicBezTo>
                <a:lnTo>
                  <a:pt x="3" y="50513"/>
                </a:lnTo>
                <a:cubicBezTo>
                  <a:pt x="-231" y="72286"/>
                  <a:pt x="13662" y="91704"/>
                  <a:pt x="34345" y="98513"/>
                </a:cubicBezTo>
                <a:cubicBezTo>
                  <a:pt x="60820" y="107419"/>
                  <a:pt x="89502" y="93177"/>
                  <a:pt x="98409" y="66703"/>
                </a:cubicBezTo>
                <a:cubicBezTo>
                  <a:pt x="107315" y="40229"/>
                  <a:pt x="93073" y="11546"/>
                  <a:pt x="66599" y="2640"/>
                </a:cubicBezTo>
                <a:cubicBezTo>
                  <a:pt x="61419" y="897"/>
                  <a:pt x="55992" y="6"/>
                  <a:pt x="50527" y="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60" name="Freeform: Shape 259">
            <a:extLst>
              <a:ext uri="{FF2B5EF4-FFF2-40B4-BE49-F238E27FC236}">
                <a16:creationId xmlns:a16="http://schemas.microsoft.com/office/drawing/2014/main" id="{35B3B8BE-2DCA-4B3C-921E-13CEAD243937}"/>
              </a:ext>
            </a:extLst>
          </xdr:cNvPr>
          <xdr:cNvSpPr/>
        </xdr:nvSpPr>
        <xdr:spPr>
          <a:xfrm>
            <a:off x="10704611" y="6350839"/>
            <a:ext cx="7500" cy="39637"/>
          </a:xfrm>
          <a:custGeom>
            <a:avLst/>
            <a:gdLst>
              <a:gd name="connsiteX0" fmla="*/ 0 w 7500"/>
              <a:gd name="connsiteY0" fmla="*/ 750 h 39637"/>
              <a:gd name="connsiteX1" fmla="*/ 0 w 7500"/>
              <a:gd name="connsiteY1" fmla="*/ 39638 h 39637"/>
              <a:gd name="connsiteX2" fmla="*/ 7500 w 7500"/>
              <a:gd name="connsiteY2" fmla="*/ 39638 h 39637"/>
              <a:gd name="connsiteX3" fmla="*/ 7500 w 7500"/>
              <a:gd name="connsiteY3" fmla="*/ 0 h 39637"/>
              <a:gd name="connsiteX4" fmla="*/ 0 w 7500"/>
              <a:gd name="connsiteY4" fmla="*/ 750 h 3963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500" h="39637">
                <a:moveTo>
                  <a:pt x="0" y="750"/>
                </a:moveTo>
                <a:lnTo>
                  <a:pt x="0" y="39638"/>
                </a:lnTo>
                <a:lnTo>
                  <a:pt x="7500" y="39638"/>
                </a:lnTo>
                <a:lnTo>
                  <a:pt x="7500" y="0"/>
                </a:lnTo>
                <a:cubicBezTo>
                  <a:pt x="5028" y="480"/>
                  <a:pt x="2518" y="731"/>
                  <a:pt x="0" y="75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61" name="Freeform: Shape 260">
            <a:extLst>
              <a:ext uri="{FF2B5EF4-FFF2-40B4-BE49-F238E27FC236}">
                <a16:creationId xmlns:a16="http://schemas.microsoft.com/office/drawing/2014/main" id="{8DF88CE1-D19A-4E0C-B010-51DDA87030F5}"/>
              </a:ext>
            </a:extLst>
          </xdr:cNvPr>
          <xdr:cNvSpPr/>
        </xdr:nvSpPr>
        <xdr:spPr>
          <a:xfrm>
            <a:off x="10501801" y="6177026"/>
            <a:ext cx="243809" cy="213513"/>
          </a:xfrm>
          <a:custGeom>
            <a:avLst/>
            <a:gdLst>
              <a:gd name="connsiteX0" fmla="*/ 139747 w 243809"/>
              <a:gd name="connsiteY0" fmla="*/ 0 h 213513"/>
              <a:gd name="connsiteX1" fmla="*/ 41662 w 243809"/>
              <a:gd name="connsiteY1" fmla="*/ 35025 h 213513"/>
              <a:gd name="connsiteX2" fmla="*/ 37087 w 243809"/>
              <a:gd name="connsiteY2" fmla="*/ 42225 h 213513"/>
              <a:gd name="connsiteX3" fmla="*/ 35122 w 243809"/>
              <a:gd name="connsiteY3" fmla="*/ 47813 h 213513"/>
              <a:gd name="connsiteX4" fmla="*/ 1109 w 243809"/>
              <a:gd name="connsiteY4" fmla="*/ 176276 h 213513"/>
              <a:gd name="connsiteX5" fmla="*/ 20337 w 243809"/>
              <a:gd name="connsiteY5" fmla="*/ 211095 h 213513"/>
              <a:gd name="connsiteX6" fmla="*/ 55155 w 243809"/>
              <a:gd name="connsiteY6" fmla="*/ 191868 h 213513"/>
              <a:gd name="connsiteX7" fmla="*/ 55282 w 243809"/>
              <a:gd name="connsiteY7" fmla="*/ 191415 h 213513"/>
              <a:gd name="connsiteX8" fmla="*/ 67556 w 243809"/>
              <a:gd name="connsiteY8" fmla="*/ 145564 h 213513"/>
              <a:gd name="connsiteX9" fmla="*/ 67631 w 243809"/>
              <a:gd name="connsiteY9" fmla="*/ 145564 h 213513"/>
              <a:gd name="connsiteX10" fmla="*/ 67631 w 243809"/>
              <a:gd name="connsiteY10" fmla="*/ 213514 h 213513"/>
              <a:gd name="connsiteX11" fmla="*/ 75131 w 243809"/>
              <a:gd name="connsiteY11" fmla="*/ 213514 h 213513"/>
              <a:gd name="connsiteX12" fmla="*/ 75131 w 243809"/>
              <a:gd name="connsiteY12" fmla="*/ 117270 h 213513"/>
              <a:gd name="connsiteX13" fmla="*/ 79057 w 243809"/>
              <a:gd name="connsiteY13" fmla="*/ 102600 h 213513"/>
              <a:gd name="connsiteX14" fmla="*/ 79057 w 243809"/>
              <a:gd name="connsiteY14" fmla="*/ 102600 h 213513"/>
              <a:gd name="connsiteX15" fmla="*/ 76407 w 243809"/>
              <a:gd name="connsiteY15" fmla="*/ 98004 h 213513"/>
              <a:gd name="connsiteX16" fmla="*/ 71812 w 243809"/>
              <a:gd name="connsiteY16" fmla="*/ 100654 h 213513"/>
              <a:gd name="connsiteX17" fmla="*/ 67747 w 243809"/>
              <a:gd name="connsiteY17" fmla="*/ 115733 h 213513"/>
              <a:gd name="connsiteX18" fmla="*/ 67668 w 243809"/>
              <a:gd name="connsiteY18" fmla="*/ 116107 h 213513"/>
              <a:gd name="connsiteX19" fmla="*/ 48209 w 243809"/>
              <a:gd name="connsiteY19" fmla="*/ 188813 h 213513"/>
              <a:gd name="connsiteX20" fmla="*/ 48116 w 243809"/>
              <a:gd name="connsiteY20" fmla="*/ 189187 h 213513"/>
              <a:gd name="connsiteX21" fmla="*/ 29793 w 243809"/>
              <a:gd name="connsiteY21" fmla="*/ 204484 h 213513"/>
              <a:gd name="connsiteX22" fmla="*/ 7628 w 243809"/>
              <a:gd name="connsiteY22" fmla="*/ 185336 h 213513"/>
              <a:gd name="connsiteX23" fmla="*/ 8343 w 243809"/>
              <a:gd name="connsiteY23" fmla="*/ 178234 h 213513"/>
              <a:gd name="connsiteX24" fmla="*/ 42367 w 243809"/>
              <a:gd name="connsiteY24" fmla="*/ 49714 h 213513"/>
              <a:gd name="connsiteX25" fmla="*/ 43931 w 243809"/>
              <a:gd name="connsiteY25" fmla="*/ 45277 h 213513"/>
              <a:gd name="connsiteX26" fmla="*/ 47306 w 243809"/>
              <a:gd name="connsiteY26" fmla="*/ 39945 h 213513"/>
              <a:gd name="connsiteX27" fmla="*/ 104062 w 243809"/>
              <a:gd name="connsiteY27" fmla="*/ 11677 h 213513"/>
              <a:gd name="connsiteX28" fmla="*/ 137186 w 243809"/>
              <a:gd name="connsiteY28" fmla="*/ 91459 h 213513"/>
              <a:gd name="connsiteX29" fmla="*/ 112559 w 243809"/>
              <a:gd name="connsiteY29" fmla="*/ 129187 h 213513"/>
              <a:gd name="connsiteX30" fmla="*/ 112559 w 243809"/>
              <a:gd name="connsiteY30" fmla="*/ 163312 h 213513"/>
              <a:gd name="connsiteX31" fmla="*/ 202559 w 243809"/>
              <a:gd name="connsiteY31" fmla="*/ 163312 h 213513"/>
              <a:gd name="connsiteX32" fmla="*/ 243809 w 243809"/>
              <a:gd name="connsiteY32" fmla="*/ 122062 h 213513"/>
              <a:gd name="connsiteX33" fmla="*/ 243809 w 243809"/>
              <a:gd name="connsiteY33" fmla="*/ 47437 h 213513"/>
              <a:gd name="connsiteX34" fmla="*/ 139747 w 243809"/>
              <a:gd name="connsiteY34" fmla="*/ 0 h 213513"/>
              <a:gd name="connsiteX35" fmla="*/ 202559 w 243809"/>
              <a:gd name="connsiteY35" fmla="*/ 155812 h 213513"/>
              <a:gd name="connsiteX36" fmla="*/ 120059 w 243809"/>
              <a:gd name="connsiteY36" fmla="*/ 155812 h 213513"/>
              <a:gd name="connsiteX37" fmla="*/ 120059 w 243809"/>
              <a:gd name="connsiteY37" fmla="*/ 129187 h 213513"/>
              <a:gd name="connsiteX38" fmla="*/ 153809 w 243809"/>
              <a:gd name="connsiteY38" fmla="*/ 95437 h 213513"/>
              <a:gd name="connsiteX39" fmla="*/ 236309 w 243809"/>
              <a:gd name="connsiteY39" fmla="*/ 95437 h 213513"/>
              <a:gd name="connsiteX40" fmla="*/ 236309 w 243809"/>
              <a:gd name="connsiteY40" fmla="*/ 122062 h 213513"/>
              <a:gd name="connsiteX41" fmla="*/ 202559 w 243809"/>
              <a:gd name="connsiteY41" fmla="*/ 155812 h 213513"/>
              <a:gd name="connsiteX42" fmla="*/ 153809 w 243809"/>
              <a:gd name="connsiteY42" fmla="*/ 87937 h 213513"/>
              <a:gd name="connsiteX43" fmla="*/ 144318 w 243809"/>
              <a:gd name="connsiteY43" fmla="*/ 89085 h 213513"/>
              <a:gd name="connsiteX44" fmla="*/ 111539 w 243809"/>
              <a:gd name="connsiteY44" fmla="*/ 10136 h 213513"/>
              <a:gd name="connsiteX45" fmla="*/ 139747 w 243809"/>
              <a:gd name="connsiteY45" fmla="*/ 7511 h 213513"/>
              <a:gd name="connsiteX46" fmla="*/ 236309 w 243809"/>
              <a:gd name="connsiteY46" fmla="*/ 47700 h 213513"/>
              <a:gd name="connsiteX47" fmla="*/ 236309 w 243809"/>
              <a:gd name="connsiteY47" fmla="*/ 87937 h 21351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</a:cxnLst>
            <a:rect l="l" t="t" r="r" b="b"/>
            <a:pathLst>
              <a:path w="243809" h="213513">
                <a:moveTo>
                  <a:pt x="139747" y="0"/>
                </a:moveTo>
                <a:cubicBezTo>
                  <a:pt x="96337" y="0"/>
                  <a:pt x="56838" y="18000"/>
                  <a:pt x="41662" y="35025"/>
                </a:cubicBezTo>
                <a:cubicBezTo>
                  <a:pt x="39839" y="37222"/>
                  <a:pt x="38301" y="39641"/>
                  <a:pt x="37087" y="42225"/>
                </a:cubicBezTo>
                <a:cubicBezTo>
                  <a:pt x="36307" y="44042"/>
                  <a:pt x="35651" y="45908"/>
                  <a:pt x="35122" y="47813"/>
                </a:cubicBezTo>
                <a:lnTo>
                  <a:pt x="1109" y="176276"/>
                </a:lnTo>
                <a:cubicBezTo>
                  <a:pt x="-3196" y="191201"/>
                  <a:pt x="5412" y="206790"/>
                  <a:pt x="20337" y="211095"/>
                </a:cubicBezTo>
                <a:cubicBezTo>
                  <a:pt x="35261" y="215400"/>
                  <a:pt x="50850" y="206792"/>
                  <a:pt x="55155" y="191868"/>
                </a:cubicBezTo>
                <a:cubicBezTo>
                  <a:pt x="55199" y="191717"/>
                  <a:pt x="55241" y="191566"/>
                  <a:pt x="55282" y="191415"/>
                </a:cubicBezTo>
                <a:lnTo>
                  <a:pt x="67556" y="145564"/>
                </a:lnTo>
                <a:cubicBezTo>
                  <a:pt x="67597" y="145410"/>
                  <a:pt x="67631" y="145414"/>
                  <a:pt x="67631" y="145564"/>
                </a:cubicBezTo>
                <a:lnTo>
                  <a:pt x="67631" y="213514"/>
                </a:lnTo>
                <a:lnTo>
                  <a:pt x="75131" y="213514"/>
                </a:lnTo>
                <a:lnTo>
                  <a:pt x="75131" y="117270"/>
                </a:lnTo>
                <a:lnTo>
                  <a:pt x="79057" y="102600"/>
                </a:lnTo>
                <a:lnTo>
                  <a:pt x="79057" y="102600"/>
                </a:lnTo>
                <a:cubicBezTo>
                  <a:pt x="79594" y="100599"/>
                  <a:pt x="78408" y="98542"/>
                  <a:pt x="76407" y="98004"/>
                </a:cubicBezTo>
                <a:cubicBezTo>
                  <a:pt x="74407" y="97467"/>
                  <a:pt x="72349" y="98653"/>
                  <a:pt x="71812" y="100654"/>
                </a:cubicBezTo>
                <a:lnTo>
                  <a:pt x="67747" y="115733"/>
                </a:lnTo>
                <a:cubicBezTo>
                  <a:pt x="67717" y="115852"/>
                  <a:pt x="67687" y="115972"/>
                  <a:pt x="67668" y="116107"/>
                </a:cubicBezTo>
                <a:lnTo>
                  <a:pt x="48209" y="188813"/>
                </a:lnTo>
                <a:lnTo>
                  <a:pt x="48116" y="189187"/>
                </a:lnTo>
                <a:cubicBezTo>
                  <a:pt x="45956" y="197711"/>
                  <a:pt x="38565" y="203881"/>
                  <a:pt x="29793" y="204484"/>
                </a:cubicBezTo>
                <a:cubicBezTo>
                  <a:pt x="18385" y="205317"/>
                  <a:pt x="8462" y="196744"/>
                  <a:pt x="7628" y="185336"/>
                </a:cubicBezTo>
                <a:cubicBezTo>
                  <a:pt x="7454" y="182945"/>
                  <a:pt x="7695" y="180542"/>
                  <a:pt x="8343" y="178234"/>
                </a:cubicBezTo>
                <a:lnTo>
                  <a:pt x="42367" y="49714"/>
                </a:lnTo>
                <a:cubicBezTo>
                  <a:pt x="42795" y="48204"/>
                  <a:pt x="43317" y="46722"/>
                  <a:pt x="43931" y="45277"/>
                </a:cubicBezTo>
                <a:cubicBezTo>
                  <a:pt x="44838" y="43371"/>
                  <a:pt x="45971" y="41581"/>
                  <a:pt x="47306" y="39945"/>
                </a:cubicBezTo>
                <a:cubicBezTo>
                  <a:pt x="55859" y="30356"/>
                  <a:pt x="76893" y="18019"/>
                  <a:pt x="104062" y="11677"/>
                </a:cubicBezTo>
                <a:lnTo>
                  <a:pt x="137186" y="91459"/>
                </a:lnTo>
                <a:cubicBezTo>
                  <a:pt x="122234" y="98054"/>
                  <a:pt x="112579" y="112846"/>
                  <a:pt x="112559" y="129187"/>
                </a:cubicBezTo>
                <a:lnTo>
                  <a:pt x="112559" y="163312"/>
                </a:lnTo>
                <a:lnTo>
                  <a:pt x="202559" y="163312"/>
                </a:lnTo>
                <a:cubicBezTo>
                  <a:pt x="225341" y="163312"/>
                  <a:pt x="243809" y="144844"/>
                  <a:pt x="243809" y="122062"/>
                </a:cubicBezTo>
                <a:lnTo>
                  <a:pt x="243809" y="47437"/>
                </a:lnTo>
                <a:cubicBezTo>
                  <a:pt x="243809" y="29565"/>
                  <a:pt x="195172" y="0"/>
                  <a:pt x="139747" y="0"/>
                </a:cubicBezTo>
                <a:close/>
                <a:moveTo>
                  <a:pt x="202559" y="155812"/>
                </a:moveTo>
                <a:lnTo>
                  <a:pt x="120059" y="155812"/>
                </a:lnTo>
                <a:lnTo>
                  <a:pt x="120059" y="129187"/>
                </a:lnTo>
                <a:cubicBezTo>
                  <a:pt x="120059" y="110548"/>
                  <a:pt x="135170" y="95437"/>
                  <a:pt x="153809" y="95437"/>
                </a:cubicBezTo>
                <a:lnTo>
                  <a:pt x="236309" y="95437"/>
                </a:lnTo>
                <a:lnTo>
                  <a:pt x="236309" y="122062"/>
                </a:lnTo>
                <a:cubicBezTo>
                  <a:pt x="236309" y="140702"/>
                  <a:pt x="221199" y="155812"/>
                  <a:pt x="202559" y="155812"/>
                </a:cubicBezTo>
                <a:close/>
                <a:moveTo>
                  <a:pt x="153809" y="87937"/>
                </a:moveTo>
                <a:cubicBezTo>
                  <a:pt x="150612" y="87949"/>
                  <a:pt x="147426" y="88334"/>
                  <a:pt x="144318" y="89085"/>
                </a:cubicBezTo>
                <a:lnTo>
                  <a:pt x="111539" y="10136"/>
                </a:lnTo>
                <a:cubicBezTo>
                  <a:pt x="120843" y="8408"/>
                  <a:pt x="130284" y="7529"/>
                  <a:pt x="139747" y="7511"/>
                </a:cubicBezTo>
                <a:cubicBezTo>
                  <a:pt x="193492" y="7511"/>
                  <a:pt x="236309" y="36191"/>
                  <a:pt x="236309" y="47700"/>
                </a:cubicBezTo>
                <a:lnTo>
                  <a:pt x="236309" y="87937"/>
                </a:ln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2</xdr:col>
      <xdr:colOff>156996</xdr:colOff>
      <xdr:row>14</xdr:row>
      <xdr:rowOff>144601</xdr:rowOff>
    </xdr:from>
    <xdr:to>
      <xdr:col>2</xdr:col>
      <xdr:colOff>411807</xdr:colOff>
      <xdr:row>14</xdr:row>
      <xdr:rowOff>385576</xdr:rowOff>
    </xdr:to>
    <xdr:sp macro="" textlink="">
      <xdr:nvSpPr>
        <xdr:cNvPr id="263" name="broken_heart" descr="Broken Heart outline">
          <a:extLst>
            <a:ext uri="{FF2B5EF4-FFF2-40B4-BE49-F238E27FC236}">
              <a16:creationId xmlns:a16="http://schemas.microsoft.com/office/drawing/2014/main" id="{AF1B6CAC-D042-4D28-92D4-2F5860B0E034}"/>
            </a:ext>
          </a:extLst>
        </xdr:cNvPr>
        <xdr:cNvSpPr>
          <a:spLocks noChangeAspect="1"/>
        </xdr:cNvSpPr>
      </xdr:nvSpPr>
      <xdr:spPr>
        <a:xfrm>
          <a:off x="1519071" y="6297751"/>
          <a:ext cx="254811" cy="240975"/>
        </a:xfrm>
        <a:custGeom>
          <a:avLst/>
          <a:gdLst>
            <a:gd name="connsiteX0" fmla="*/ 202100 w 254811"/>
            <a:gd name="connsiteY0" fmla="*/ 1538 h 240975"/>
            <a:gd name="connsiteX1" fmla="*/ 124047 w 254811"/>
            <a:gd name="connsiteY1" fmla="*/ 50505 h 240975"/>
            <a:gd name="connsiteX2" fmla="*/ 122815 w 254811"/>
            <a:gd name="connsiteY2" fmla="*/ 52928 h 240975"/>
            <a:gd name="connsiteX3" fmla="*/ 158468 w 254811"/>
            <a:gd name="connsiteY3" fmla="*/ 88178 h 240975"/>
            <a:gd name="connsiteX4" fmla="*/ 123189 w 254811"/>
            <a:gd name="connsiteY4" fmla="*/ 123195 h 240975"/>
            <a:gd name="connsiteX5" fmla="*/ 129507 w 254811"/>
            <a:gd name="connsiteY5" fmla="*/ 148189 h 240975"/>
            <a:gd name="connsiteX6" fmla="*/ 105389 w 254811"/>
            <a:gd name="connsiteY6" fmla="*/ 124339 h 240975"/>
            <a:gd name="connsiteX7" fmla="*/ 141831 w 254811"/>
            <a:gd name="connsiteY7" fmla="*/ 88170 h 240975"/>
            <a:gd name="connsiteX8" fmla="*/ 104981 w 254811"/>
            <a:gd name="connsiteY8" fmla="*/ 51724 h 240975"/>
            <a:gd name="connsiteX9" fmla="*/ 119418 w 254811"/>
            <a:gd name="connsiteY9" fmla="*/ 31729 h 240975"/>
            <a:gd name="connsiteX10" fmla="*/ 117733 w 254811"/>
            <a:gd name="connsiteY10" fmla="*/ 29528 h 240975"/>
            <a:gd name="connsiteX11" fmla="*/ 47498 w 254811"/>
            <a:gd name="connsiteY11" fmla="*/ 3019 h 240975"/>
            <a:gd name="connsiteX12" fmla="*/ 0 w 254811"/>
            <a:gd name="connsiteY12" fmla="*/ 66649 h 240975"/>
            <a:gd name="connsiteX13" fmla="*/ 125105 w 254811"/>
            <a:gd name="connsiteY13" fmla="*/ 239232 h 240975"/>
            <a:gd name="connsiteX14" fmla="*/ 127398 w 254811"/>
            <a:gd name="connsiteY14" fmla="*/ 240975 h 240975"/>
            <a:gd name="connsiteX15" fmla="*/ 129692 w 254811"/>
            <a:gd name="connsiteY15" fmla="*/ 239232 h 240975"/>
            <a:gd name="connsiteX16" fmla="*/ 254812 w 254811"/>
            <a:gd name="connsiteY16" fmla="*/ 66649 h 240975"/>
            <a:gd name="connsiteX17" fmla="*/ 202100 w 254811"/>
            <a:gd name="connsiteY17" fmla="*/ 1538 h 240975"/>
            <a:gd name="connsiteX18" fmla="*/ 127394 w 254811"/>
            <a:gd name="connsiteY18" fmla="*/ 231503 h 240975"/>
            <a:gd name="connsiteX19" fmla="*/ 7553 w 254811"/>
            <a:gd name="connsiteY19" fmla="*/ 66664 h 240975"/>
            <a:gd name="connsiteX20" fmla="*/ 49904 w 254811"/>
            <a:gd name="connsiteY20" fmla="*/ 10140 h 240975"/>
            <a:gd name="connsiteX21" fmla="*/ 65634 w 254811"/>
            <a:gd name="connsiteY21" fmla="*/ 7515 h 240975"/>
            <a:gd name="connsiteX22" fmla="*/ 110014 w 254811"/>
            <a:gd name="connsiteY22" fmla="*/ 31894 h 240975"/>
            <a:gd name="connsiteX23" fmla="*/ 95112 w 254811"/>
            <a:gd name="connsiteY23" fmla="*/ 52542 h 240975"/>
            <a:gd name="connsiteX24" fmla="*/ 131150 w 254811"/>
            <a:gd name="connsiteY24" fmla="*/ 88167 h 240975"/>
            <a:gd name="connsiteX25" fmla="*/ 94708 w 254811"/>
            <a:gd name="connsiteY25" fmla="*/ 124335 h 240975"/>
            <a:gd name="connsiteX26" fmla="*/ 143468 w 254811"/>
            <a:gd name="connsiteY26" fmla="*/ 172594 h 240975"/>
            <a:gd name="connsiteX27" fmla="*/ 131551 w 254811"/>
            <a:gd name="connsiteY27" fmla="*/ 125509 h 240975"/>
            <a:gd name="connsiteX28" fmla="*/ 169153 w 254811"/>
            <a:gd name="connsiteY28" fmla="*/ 88185 h 240975"/>
            <a:gd name="connsiteX29" fmla="*/ 132034 w 254811"/>
            <a:gd name="connsiteY29" fmla="*/ 51473 h 240975"/>
            <a:gd name="connsiteX30" fmla="*/ 200347 w 254811"/>
            <a:gd name="connsiteY30" fmla="*/ 8835 h 240975"/>
            <a:gd name="connsiteX31" fmla="*/ 247247 w 254811"/>
            <a:gd name="connsiteY31" fmla="*/ 66664 h 240975"/>
            <a:gd name="connsiteX32" fmla="*/ 127394 w 254811"/>
            <a:gd name="connsiteY32" fmla="*/ 231503 h 24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254811" h="240975">
              <a:moveTo>
                <a:pt x="202100" y="1538"/>
              </a:moveTo>
              <a:cubicBezTo>
                <a:pt x="171949" y="-5587"/>
                <a:pt x="143483" y="12267"/>
                <a:pt x="124047" y="50505"/>
              </a:cubicBezTo>
              <a:lnTo>
                <a:pt x="122815" y="52928"/>
              </a:lnTo>
              <a:lnTo>
                <a:pt x="158468" y="88178"/>
              </a:lnTo>
              <a:lnTo>
                <a:pt x="123189" y="123195"/>
              </a:lnTo>
              <a:lnTo>
                <a:pt x="129507" y="148189"/>
              </a:lnTo>
              <a:lnTo>
                <a:pt x="105389" y="124339"/>
              </a:lnTo>
              <a:lnTo>
                <a:pt x="141831" y="88170"/>
              </a:lnTo>
              <a:lnTo>
                <a:pt x="104981" y="51724"/>
              </a:lnTo>
              <a:lnTo>
                <a:pt x="119418" y="31729"/>
              </a:lnTo>
              <a:lnTo>
                <a:pt x="117733" y="29528"/>
              </a:lnTo>
              <a:cubicBezTo>
                <a:pt x="98384" y="4249"/>
                <a:pt x="72797" y="-5422"/>
                <a:pt x="47498" y="3019"/>
              </a:cubicBezTo>
              <a:cubicBezTo>
                <a:pt x="20864" y="11918"/>
                <a:pt x="0" y="39867"/>
                <a:pt x="0" y="66649"/>
              </a:cubicBezTo>
              <a:cubicBezTo>
                <a:pt x="0" y="143412"/>
                <a:pt x="119996" y="235358"/>
                <a:pt x="125105" y="239232"/>
              </a:cubicBezTo>
              <a:lnTo>
                <a:pt x="127398" y="240975"/>
              </a:lnTo>
              <a:lnTo>
                <a:pt x="129692" y="239232"/>
              </a:lnTo>
              <a:cubicBezTo>
                <a:pt x="134804" y="235358"/>
                <a:pt x="254812" y="143400"/>
                <a:pt x="254812" y="66649"/>
              </a:cubicBezTo>
              <a:cubicBezTo>
                <a:pt x="254812" y="37617"/>
                <a:pt x="231167" y="8400"/>
                <a:pt x="202100" y="1538"/>
              </a:cubicBezTo>
              <a:close/>
              <a:moveTo>
                <a:pt x="127394" y="231503"/>
              </a:moveTo>
              <a:cubicBezTo>
                <a:pt x="110588" y="218235"/>
                <a:pt x="7553" y="134138"/>
                <a:pt x="7553" y="66664"/>
              </a:cubicBezTo>
              <a:cubicBezTo>
                <a:pt x="7553" y="42904"/>
                <a:pt x="26157" y="18075"/>
                <a:pt x="49904" y="10140"/>
              </a:cubicBezTo>
              <a:cubicBezTo>
                <a:pt x="54969" y="8422"/>
                <a:pt x="60282" y="7536"/>
                <a:pt x="65634" y="7515"/>
              </a:cubicBezTo>
              <a:cubicBezTo>
                <a:pt x="81676" y="7519"/>
                <a:pt x="96990" y="15844"/>
                <a:pt x="110014" y="31894"/>
              </a:cubicBezTo>
              <a:lnTo>
                <a:pt x="95112" y="52542"/>
              </a:lnTo>
              <a:lnTo>
                <a:pt x="131150" y="88167"/>
              </a:lnTo>
              <a:lnTo>
                <a:pt x="94708" y="124335"/>
              </a:lnTo>
              <a:lnTo>
                <a:pt x="143468" y="172594"/>
              </a:lnTo>
              <a:lnTo>
                <a:pt x="131551" y="125509"/>
              </a:lnTo>
              <a:lnTo>
                <a:pt x="169153" y="88185"/>
              </a:lnTo>
              <a:lnTo>
                <a:pt x="132034" y="51473"/>
              </a:lnTo>
              <a:cubicBezTo>
                <a:pt x="156072" y="6098"/>
                <a:pt x="185063" y="5239"/>
                <a:pt x="200347" y="8835"/>
              </a:cubicBezTo>
              <a:cubicBezTo>
                <a:pt x="225767" y="14835"/>
                <a:pt x="247247" y="41322"/>
                <a:pt x="247247" y="66664"/>
              </a:cubicBezTo>
              <a:cubicBezTo>
                <a:pt x="247255" y="134100"/>
                <a:pt x="144208" y="218228"/>
                <a:pt x="127394" y="231503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6</xdr:col>
      <xdr:colOff>163558</xdr:colOff>
      <xdr:row>13</xdr:row>
      <xdr:rowOff>144195</xdr:rowOff>
    </xdr:from>
    <xdr:to>
      <xdr:col>6</xdr:col>
      <xdr:colOff>420486</xdr:colOff>
      <xdr:row>13</xdr:row>
      <xdr:rowOff>385807</xdr:rowOff>
    </xdr:to>
    <xdr:sp macro="" textlink="">
      <xdr:nvSpPr>
        <xdr:cNvPr id="264" name="heart" descr="Heart outline">
          <a:extLst>
            <a:ext uri="{FF2B5EF4-FFF2-40B4-BE49-F238E27FC236}">
              <a16:creationId xmlns:a16="http://schemas.microsoft.com/office/drawing/2014/main" id="{4C7F7695-1114-44E3-B977-7CE5DDE518B5}"/>
            </a:ext>
          </a:extLst>
        </xdr:cNvPr>
        <xdr:cNvSpPr>
          <a:spLocks noChangeAspect="1"/>
        </xdr:cNvSpPr>
      </xdr:nvSpPr>
      <xdr:spPr>
        <a:xfrm>
          <a:off x="4916533" y="5725845"/>
          <a:ext cx="256928" cy="241612"/>
        </a:xfrm>
        <a:custGeom>
          <a:avLst/>
          <a:gdLst>
            <a:gd name="connsiteX0" fmla="*/ 192696 w 256928"/>
            <a:gd name="connsiteY0" fmla="*/ 0 h 241612"/>
            <a:gd name="connsiteX1" fmla="*/ 128464 w 256928"/>
            <a:gd name="connsiteY1" fmla="*/ 50363 h 241612"/>
            <a:gd name="connsiteX2" fmla="*/ 64232 w 256928"/>
            <a:gd name="connsiteY2" fmla="*/ 0 h 241612"/>
            <a:gd name="connsiteX3" fmla="*/ 0 w 256928"/>
            <a:gd name="connsiteY3" fmla="*/ 65363 h 241612"/>
            <a:gd name="connsiteX4" fmla="*/ 128464 w 256928"/>
            <a:gd name="connsiteY4" fmla="*/ 241612 h 241612"/>
            <a:gd name="connsiteX5" fmla="*/ 256928 w 256928"/>
            <a:gd name="connsiteY5" fmla="*/ 65363 h 241612"/>
            <a:gd name="connsiteX6" fmla="*/ 192696 w 256928"/>
            <a:gd name="connsiteY6" fmla="*/ 0 h 241612"/>
            <a:gd name="connsiteX7" fmla="*/ 128464 w 256928"/>
            <a:gd name="connsiteY7" fmla="*/ 232039 h 241612"/>
            <a:gd name="connsiteX8" fmla="*/ 7557 w 256928"/>
            <a:gd name="connsiteY8" fmla="*/ 65363 h 241612"/>
            <a:gd name="connsiteX9" fmla="*/ 24771 w 256928"/>
            <a:gd name="connsiteY9" fmla="*/ 25845 h 241612"/>
            <a:gd name="connsiteX10" fmla="*/ 64232 w 256928"/>
            <a:gd name="connsiteY10" fmla="*/ 7500 h 241612"/>
            <a:gd name="connsiteX11" fmla="*/ 121716 w 256928"/>
            <a:gd name="connsiteY11" fmla="*/ 53738 h 241612"/>
            <a:gd name="connsiteX12" fmla="*/ 128464 w 256928"/>
            <a:gd name="connsiteY12" fmla="*/ 67028 h 241612"/>
            <a:gd name="connsiteX13" fmla="*/ 135212 w 256928"/>
            <a:gd name="connsiteY13" fmla="*/ 53738 h 241612"/>
            <a:gd name="connsiteX14" fmla="*/ 192696 w 256928"/>
            <a:gd name="connsiteY14" fmla="*/ 7500 h 241612"/>
            <a:gd name="connsiteX15" fmla="*/ 249371 w 256928"/>
            <a:gd name="connsiteY15" fmla="*/ 65363 h 241612"/>
            <a:gd name="connsiteX16" fmla="*/ 128464 w 256928"/>
            <a:gd name="connsiteY16" fmla="*/ 232039 h 2416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256928" h="241612">
              <a:moveTo>
                <a:pt x="192696" y="0"/>
              </a:moveTo>
              <a:cubicBezTo>
                <a:pt x="170744" y="0"/>
                <a:pt x="147069" y="13725"/>
                <a:pt x="128464" y="50363"/>
              </a:cubicBezTo>
              <a:cubicBezTo>
                <a:pt x="109863" y="13732"/>
                <a:pt x="86180" y="0"/>
                <a:pt x="64232" y="0"/>
              </a:cubicBezTo>
              <a:cubicBezTo>
                <a:pt x="30011" y="0"/>
                <a:pt x="0" y="33375"/>
                <a:pt x="0" y="65363"/>
              </a:cubicBezTo>
              <a:cubicBezTo>
                <a:pt x="0" y="144113"/>
                <a:pt x="128464" y="241612"/>
                <a:pt x="128464" y="241612"/>
              </a:cubicBezTo>
              <a:cubicBezTo>
                <a:pt x="128464" y="241612"/>
                <a:pt x="256928" y="144113"/>
                <a:pt x="256928" y="65363"/>
              </a:cubicBezTo>
              <a:cubicBezTo>
                <a:pt x="256928" y="33379"/>
                <a:pt x="226913" y="0"/>
                <a:pt x="192696" y="0"/>
              </a:cubicBezTo>
              <a:close/>
              <a:moveTo>
                <a:pt x="128464" y="232039"/>
              </a:moveTo>
              <a:cubicBezTo>
                <a:pt x="105851" y="213911"/>
                <a:pt x="7557" y="131299"/>
                <a:pt x="7557" y="65363"/>
              </a:cubicBezTo>
              <a:cubicBezTo>
                <a:pt x="8151" y="50525"/>
                <a:pt x="14287" y="36439"/>
                <a:pt x="24771" y="25845"/>
              </a:cubicBezTo>
              <a:cubicBezTo>
                <a:pt x="34863" y="14657"/>
                <a:pt x="49112" y="8033"/>
                <a:pt x="64232" y="7500"/>
              </a:cubicBezTo>
              <a:cubicBezTo>
                <a:pt x="86479" y="7500"/>
                <a:pt x="106357" y="23490"/>
                <a:pt x="121716" y="53738"/>
              </a:cubicBezTo>
              <a:lnTo>
                <a:pt x="128464" y="67028"/>
              </a:lnTo>
              <a:lnTo>
                <a:pt x="135212" y="53738"/>
              </a:lnTo>
              <a:cubicBezTo>
                <a:pt x="150571" y="23490"/>
                <a:pt x="170449" y="7500"/>
                <a:pt x="192696" y="7500"/>
              </a:cubicBezTo>
              <a:cubicBezTo>
                <a:pt x="221298" y="7500"/>
                <a:pt x="249371" y="36161"/>
                <a:pt x="249371" y="65363"/>
              </a:cubicBezTo>
              <a:cubicBezTo>
                <a:pt x="249371" y="131299"/>
                <a:pt x="151078" y="213911"/>
                <a:pt x="128464" y="232039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4</xdr:col>
      <xdr:colOff>149484</xdr:colOff>
      <xdr:row>8</xdr:row>
      <xdr:rowOff>154008</xdr:rowOff>
    </xdr:from>
    <xdr:to>
      <xdr:col>4</xdr:col>
      <xdr:colOff>429837</xdr:colOff>
      <xdr:row>8</xdr:row>
      <xdr:rowOff>411235</xdr:rowOff>
    </xdr:to>
    <xdr:grpSp>
      <xdr:nvGrpSpPr>
        <xdr:cNvPr id="265" name="cupid's_ arrow" descr="Heart With Arrow outline">
          <a:extLst>
            <a:ext uri="{FF2B5EF4-FFF2-40B4-BE49-F238E27FC236}">
              <a16:creationId xmlns:a16="http://schemas.microsoft.com/office/drawing/2014/main" id="{1A846EB2-6B09-48F5-A57E-8AA009F4427D}"/>
            </a:ext>
          </a:extLst>
        </xdr:cNvPr>
        <xdr:cNvGrpSpPr>
          <a:grpSpLocks noChangeAspect="1"/>
        </xdr:cNvGrpSpPr>
      </xdr:nvGrpSpPr>
      <xdr:grpSpPr>
        <a:xfrm>
          <a:off x="3473709" y="3049608"/>
          <a:ext cx="280353" cy="257227"/>
          <a:chOff x="13065648" y="6093349"/>
          <a:chExt cx="280353" cy="257227"/>
        </a:xfrm>
        <a:solidFill>
          <a:srgbClr val="1F4E78"/>
        </a:solidFill>
      </xdr:grpSpPr>
      <xdr:sp macro="" textlink="">
        <xdr:nvSpPr>
          <xdr:cNvPr id="266" name="Freeform: Shape 265">
            <a:extLst>
              <a:ext uri="{FF2B5EF4-FFF2-40B4-BE49-F238E27FC236}">
                <a16:creationId xmlns:a16="http://schemas.microsoft.com/office/drawing/2014/main" id="{DDF27919-8E3F-4213-A832-1A26F662BC96}"/>
              </a:ext>
            </a:extLst>
          </xdr:cNvPr>
          <xdr:cNvSpPr/>
        </xdr:nvSpPr>
        <xdr:spPr>
          <a:xfrm>
            <a:off x="13226794" y="6093349"/>
            <a:ext cx="119208" cy="119078"/>
          </a:xfrm>
          <a:custGeom>
            <a:avLst/>
            <a:gdLst>
              <a:gd name="connsiteX0" fmla="*/ 61165 w 119208"/>
              <a:gd name="connsiteY0" fmla="*/ 24169 h 119078"/>
              <a:gd name="connsiteX1" fmla="*/ 55588 w 119208"/>
              <a:gd name="connsiteY1" fmla="*/ 29704 h 119078"/>
              <a:gd name="connsiteX2" fmla="*/ 55588 w 119208"/>
              <a:gd name="connsiteY2" fmla="*/ 29704 h 119078"/>
              <a:gd name="connsiteX3" fmla="*/ 47117 w 119208"/>
              <a:gd name="connsiteY3" fmla="*/ 38115 h 119078"/>
              <a:gd name="connsiteX4" fmla="*/ 47117 w 119208"/>
              <a:gd name="connsiteY4" fmla="*/ 67012 h 119078"/>
              <a:gd name="connsiteX5" fmla="*/ 1154 w 119208"/>
              <a:gd name="connsiteY5" fmla="*/ 112631 h 119078"/>
              <a:gd name="connsiteX6" fmla="*/ 1061 w 119208"/>
              <a:gd name="connsiteY6" fmla="*/ 117934 h 119078"/>
              <a:gd name="connsiteX7" fmla="*/ 6403 w 119208"/>
              <a:gd name="connsiteY7" fmla="*/ 118026 h 119078"/>
              <a:gd name="connsiteX8" fmla="*/ 6496 w 119208"/>
              <a:gd name="connsiteY8" fmla="*/ 117934 h 119078"/>
              <a:gd name="connsiteX9" fmla="*/ 52460 w 119208"/>
              <a:gd name="connsiteY9" fmla="*/ 72315 h 119078"/>
              <a:gd name="connsiteX10" fmla="*/ 81617 w 119208"/>
              <a:gd name="connsiteY10" fmla="*/ 72315 h 119078"/>
              <a:gd name="connsiteX11" fmla="*/ 86246 w 119208"/>
              <a:gd name="connsiteY11" fmla="*/ 67534 h 119078"/>
              <a:gd name="connsiteX12" fmla="*/ 86246 w 119208"/>
              <a:gd name="connsiteY12" fmla="*/ 67534 h 119078"/>
              <a:gd name="connsiteX13" fmla="*/ 92144 w 119208"/>
              <a:gd name="connsiteY13" fmla="*/ 61444 h 119078"/>
              <a:gd name="connsiteX14" fmla="*/ 92144 w 119208"/>
              <a:gd name="connsiteY14" fmla="*/ 61444 h 119078"/>
              <a:gd name="connsiteX15" fmla="*/ 119208 w 119208"/>
              <a:gd name="connsiteY15" fmla="*/ 33491 h 119078"/>
              <a:gd name="connsiteX16" fmla="*/ 95782 w 119208"/>
              <a:gd name="connsiteY16" fmla="*/ 24491 h 119078"/>
              <a:gd name="connsiteX17" fmla="*/ 95593 w 119208"/>
              <a:gd name="connsiteY17" fmla="*/ 24210 h 119078"/>
              <a:gd name="connsiteX18" fmla="*/ 94838 w 119208"/>
              <a:gd name="connsiteY18" fmla="*/ 23711 h 119078"/>
              <a:gd name="connsiteX19" fmla="*/ 85532 w 119208"/>
              <a:gd name="connsiteY19" fmla="*/ 0 h 119078"/>
              <a:gd name="connsiteX20" fmla="*/ 61180 w 119208"/>
              <a:gd name="connsiteY20" fmla="*/ 24165 h 119078"/>
              <a:gd name="connsiteX21" fmla="*/ 105889 w 119208"/>
              <a:gd name="connsiteY21" fmla="*/ 36420 h 119078"/>
              <a:gd name="connsiteX22" fmla="*/ 78402 w 119208"/>
              <a:gd name="connsiteY22" fmla="*/ 64815 h 119078"/>
              <a:gd name="connsiteX23" fmla="*/ 60016 w 119208"/>
              <a:gd name="connsiteY23" fmla="*/ 64815 h 119078"/>
              <a:gd name="connsiteX24" fmla="*/ 93440 w 119208"/>
              <a:gd name="connsiteY24" fmla="*/ 31639 h 119078"/>
              <a:gd name="connsiteX25" fmla="*/ 87848 w 119208"/>
              <a:gd name="connsiteY25" fmla="*/ 26591 h 119078"/>
              <a:gd name="connsiteX26" fmla="*/ 54674 w 119208"/>
              <a:gd name="connsiteY26" fmla="*/ 59512 h 119078"/>
              <a:gd name="connsiteX27" fmla="*/ 54674 w 119208"/>
              <a:gd name="connsiteY27" fmla="*/ 41220 h 119078"/>
              <a:gd name="connsiteX28" fmla="*/ 82675 w 119208"/>
              <a:gd name="connsiteY28" fmla="*/ 13429 h 11907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</a:cxnLst>
            <a:rect l="l" t="t" r="r" b="b"/>
            <a:pathLst>
              <a:path w="119208" h="119078">
                <a:moveTo>
                  <a:pt x="61165" y="24169"/>
                </a:moveTo>
                <a:lnTo>
                  <a:pt x="55588" y="29704"/>
                </a:lnTo>
                <a:lnTo>
                  <a:pt x="55588" y="29704"/>
                </a:lnTo>
                <a:lnTo>
                  <a:pt x="47117" y="38115"/>
                </a:lnTo>
                <a:lnTo>
                  <a:pt x="47117" y="67012"/>
                </a:lnTo>
                <a:lnTo>
                  <a:pt x="1154" y="112631"/>
                </a:lnTo>
                <a:cubicBezTo>
                  <a:pt x="-347" y="114070"/>
                  <a:pt x="-389" y="116444"/>
                  <a:pt x="1061" y="117934"/>
                </a:cubicBezTo>
                <a:cubicBezTo>
                  <a:pt x="2510" y="119424"/>
                  <a:pt x="4902" y="119465"/>
                  <a:pt x="6403" y="118026"/>
                </a:cubicBezTo>
                <a:cubicBezTo>
                  <a:pt x="6435" y="117996"/>
                  <a:pt x="6466" y="117965"/>
                  <a:pt x="6496" y="117934"/>
                </a:cubicBezTo>
                <a:lnTo>
                  <a:pt x="52460" y="72315"/>
                </a:lnTo>
                <a:lnTo>
                  <a:pt x="81617" y="72315"/>
                </a:lnTo>
                <a:lnTo>
                  <a:pt x="86246" y="67534"/>
                </a:lnTo>
                <a:lnTo>
                  <a:pt x="86246" y="67534"/>
                </a:lnTo>
                <a:lnTo>
                  <a:pt x="92144" y="61444"/>
                </a:lnTo>
                <a:lnTo>
                  <a:pt x="92144" y="61444"/>
                </a:lnTo>
                <a:lnTo>
                  <a:pt x="119208" y="33491"/>
                </a:lnTo>
                <a:lnTo>
                  <a:pt x="95782" y="24491"/>
                </a:lnTo>
                <a:cubicBezTo>
                  <a:pt x="95707" y="24405"/>
                  <a:pt x="95677" y="24292"/>
                  <a:pt x="95593" y="24210"/>
                </a:cubicBezTo>
                <a:cubicBezTo>
                  <a:pt x="95364" y="24013"/>
                  <a:pt x="95110" y="23845"/>
                  <a:pt x="94838" y="23711"/>
                </a:cubicBezTo>
                <a:lnTo>
                  <a:pt x="85532" y="0"/>
                </a:lnTo>
                <a:lnTo>
                  <a:pt x="61180" y="24165"/>
                </a:lnTo>
                <a:close/>
                <a:moveTo>
                  <a:pt x="105889" y="36420"/>
                </a:moveTo>
                <a:lnTo>
                  <a:pt x="78402" y="64815"/>
                </a:lnTo>
                <a:lnTo>
                  <a:pt x="60016" y="64815"/>
                </a:lnTo>
                <a:lnTo>
                  <a:pt x="93440" y="31639"/>
                </a:lnTo>
                <a:close/>
                <a:moveTo>
                  <a:pt x="87848" y="26591"/>
                </a:moveTo>
                <a:lnTo>
                  <a:pt x="54674" y="59512"/>
                </a:lnTo>
                <a:lnTo>
                  <a:pt x="54674" y="41220"/>
                </a:lnTo>
                <a:lnTo>
                  <a:pt x="82675" y="13429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67" name="Freeform: Shape 266">
            <a:extLst>
              <a:ext uri="{FF2B5EF4-FFF2-40B4-BE49-F238E27FC236}">
                <a16:creationId xmlns:a16="http://schemas.microsoft.com/office/drawing/2014/main" id="{F59EDE90-B9E4-4227-80DA-1E85BF1CD1A3}"/>
              </a:ext>
            </a:extLst>
          </xdr:cNvPr>
          <xdr:cNvSpPr/>
        </xdr:nvSpPr>
        <xdr:spPr>
          <a:xfrm>
            <a:off x="13065648" y="6108964"/>
            <a:ext cx="256928" cy="241612"/>
          </a:xfrm>
          <a:custGeom>
            <a:avLst/>
            <a:gdLst>
              <a:gd name="connsiteX0" fmla="*/ 249126 w 256928"/>
              <a:gd name="connsiteY0" fmla="*/ 60967 h 241612"/>
              <a:gd name="connsiteX1" fmla="*/ 249371 w 256928"/>
              <a:gd name="connsiteY1" fmla="*/ 65363 h 241612"/>
              <a:gd name="connsiteX2" fmla="*/ 128464 w 256928"/>
              <a:gd name="connsiteY2" fmla="*/ 232039 h 241612"/>
              <a:gd name="connsiteX3" fmla="*/ 7557 w 256928"/>
              <a:gd name="connsiteY3" fmla="*/ 65363 h 241612"/>
              <a:gd name="connsiteX4" fmla="*/ 24771 w 256928"/>
              <a:gd name="connsiteY4" fmla="*/ 25845 h 241612"/>
              <a:gd name="connsiteX5" fmla="*/ 64232 w 256928"/>
              <a:gd name="connsiteY5" fmla="*/ 7500 h 241612"/>
              <a:gd name="connsiteX6" fmla="*/ 121716 w 256928"/>
              <a:gd name="connsiteY6" fmla="*/ 53738 h 241612"/>
              <a:gd name="connsiteX7" fmla="*/ 128464 w 256928"/>
              <a:gd name="connsiteY7" fmla="*/ 67028 h 241612"/>
              <a:gd name="connsiteX8" fmla="*/ 135212 w 256928"/>
              <a:gd name="connsiteY8" fmla="*/ 53738 h 241612"/>
              <a:gd name="connsiteX9" fmla="*/ 192696 w 256928"/>
              <a:gd name="connsiteY9" fmla="*/ 7500 h 241612"/>
              <a:gd name="connsiteX10" fmla="*/ 209434 w 256928"/>
              <a:gd name="connsiteY10" fmla="*/ 10729 h 241612"/>
              <a:gd name="connsiteX11" fmla="*/ 215276 w 256928"/>
              <a:gd name="connsiteY11" fmla="*/ 4927 h 241612"/>
              <a:gd name="connsiteX12" fmla="*/ 192696 w 256928"/>
              <a:gd name="connsiteY12" fmla="*/ 0 h 241612"/>
              <a:gd name="connsiteX13" fmla="*/ 128464 w 256928"/>
              <a:gd name="connsiteY13" fmla="*/ 50363 h 241612"/>
              <a:gd name="connsiteX14" fmla="*/ 64232 w 256928"/>
              <a:gd name="connsiteY14" fmla="*/ 0 h 241612"/>
              <a:gd name="connsiteX15" fmla="*/ 0 w 256928"/>
              <a:gd name="connsiteY15" fmla="*/ 65363 h 241612"/>
              <a:gd name="connsiteX16" fmla="*/ 69325 w 256928"/>
              <a:gd name="connsiteY16" fmla="*/ 188363 h 241612"/>
              <a:gd name="connsiteX17" fmla="*/ 50962 w 256928"/>
              <a:gd name="connsiteY17" fmla="*/ 206587 h 241612"/>
              <a:gd name="connsiteX18" fmla="*/ 42223 w 256928"/>
              <a:gd name="connsiteY18" fmla="*/ 183454 h 241612"/>
              <a:gd name="connsiteX19" fmla="*/ 28602 w 256928"/>
              <a:gd name="connsiteY19" fmla="*/ 235579 h 241612"/>
              <a:gd name="connsiteX20" fmla="*/ 79191 w 256928"/>
              <a:gd name="connsiteY20" fmla="*/ 220125 h 241612"/>
              <a:gd name="connsiteX21" fmla="*/ 56331 w 256928"/>
              <a:gd name="connsiteY21" fmla="*/ 211875 h 241612"/>
              <a:gd name="connsiteX22" fmla="*/ 74600 w 256928"/>
              <a:gd name="connsiteY22" fmla="*/ 193744 h 241612"/>
              <a:gd name="connsiteX23" fmla="*/ 128464 w 256928"/>
              <a:gd name="connsiteY23" fmla="*/ 241613 h 241612"/>
              <a:gd name="connsiteX24" fmla="*/ 256928 w 256928"/>
              <a:gd name="connsiteY24" fmla="*/ 65363 h 241612"/>
              <a:gd name="connsiteX25" fmla="*/ 255666 w 256928"/>
              <a:gd name="connsiteY25" fmla="*/ 54214 h 241612"/>
              <a:gd name="connsiteX26" fmla="*/ 39314 w 256928"/>
              <a:gd name="connsiteY26" fmla="*/ 224468 h 241612"/>
              <a:gd name="connsiteX27" fmla="*/ 43538 w 256928"/>
              <a:gd name="connsiteY27" fmla="*/ 208294 h 241612"/>
              <a:gd name="connsiteX28" fmla="*/ 45340 w 256928"/>
              <a:gd name="connsiteY28" fmla="*/ 213068 h 241612"/>
              <a:gd name="connsiteX29" fmla="*/ 46561 w 256928"/>
              <a:gd name="connsiteY29" fmla="*/ 216300 h 241612"/>
              <a:gd name="connsiteX30" fmla="*/ 49825 w 256928"/>
              <a:gd name="connsiteY30" fmla="*/ 217481 h 241612"/>
              <a:gd name="connsiteX31" fmla="*/ 55493 w 256928"/>
              <a:gd name="connsiteY31" fmla="*/ 219533 h 2416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</a:cxnLst>
            <a:rect l="l" t="t" r="r" b="b"/>
            <a:pathLst>
              <a:path w="256928" h="241612">
                <a:moveTo>
                  <a:pt x="249126" y="60967"/>
                </a:moveTo>
                <a:cubicBezTo>
                  <a:pt x="249269" y="62426"/>
                  <a:pt x="249371" y="63892"/>
                  <a:pt x="249371" y="65363"/>
                </a:cubicBezTo>
                <a:cubicBezTo>
                  <a:pt x="249371" y="131299"/>
                  <a:pt x="151078" y="213911"/>
                  <a:pt x="128464" y="232039"/>
                </a:cubicBezTo>
                <a:cubicBezTo>
                  <a:pt x="105851" y="213911"/>
                  <a:pt x="7557" y="131299"/>
                  <a:pt x="7557" y="65363"/>
                </a:cubicBezTo>
                <a:cubicBezTo>
                  <a:pt x="8151" y="50525"/>
                  <a:pt x="14287" y="36439"/>
                  <a:pt x="24771" y="25845"/>
                </a:cubicBezTo>
                <a:cubicBezTo>
                  <a:pt x="34863" y="14657"/>
                  <a:pt x="49112" y="8033"/>
                  <a:pt x="64232" y="7500"/>
                </a:cubicBezTo>
                <a:cubicBezTo>
                  <a:pt x="86479" y="7500"/>
                  <a:pt x="106357" y="23490"/>
                  <a:pt x="121716" y="53738"/>
                </a:cubicBezTo>
                <a:lnTo>
                  <a:pt x="128464" y="67028"/>
                </a:lnTo>
                <a:lnTo>
                  <a:pt x="135212" y="53738"/>
                </a:lnTo>
                <a:cubicBezTo>
                  <a:pt x="150575" y="23490"/>
                  <a:pt x="170449" y="7500"/>
                  <a:pt x="192696" y="7500"/>
                </a:cubicBezTo>
                <a:cubicBezTo>
                  <a:pt x="198427" y="7553"/>
                  <a:pt x="204100" y="8647"/>
                  <a:pt x="209434" y="10729"/>
                </a:cubicBezTo>
                <a:lnTo>
                  <a:pt x="215276" y="4927"/>
                </a:lnTo>
                <a:cubicBezTo>
                  <a:pt x="208181" y="1731"/>
                  <a:pt x="200487" y="52"/>
                  <a:pt x="192696" y="0"/>
                </a:cubicBezTo>
                <a:cubicBezTo>
                  <a:pt x="170744" y="0"/>
                  <a:pt x="147069" y="13725"/>
                  <a:pt x="128464" y="50363"/>
                </a:cubicBezTo>
                <a:cubicBezTo>
                  <a:pt x="109863" y="13733"/>
                  <a:pt x="86180" y="0"/>
                  <a:pt x="64232" y="0"/>
                </a:cubicBezTo>
                <a:cubicBezTo>
                  <a:pt x="30011" y="0"/>
                  <a:pt x="0" y="33375"/>
                  <a:pt x="0" y="65363"/>
                </a:cubicBezTo>
                <a:cubicBezTo>
                  <a:pt x="0" y="106823"/>
                  <a:pt x="35603" y="153461"/>
                  <a:pt x="69325" y="188363"/>
                </a:cubicBezTo>
                <a:lnTo>
                  <a:pt x="50962" y="206587"/>
                </a:lnTo>
                <a:lnTo>
                  <a:pt x="42223" y="183454"/>
                </a:lnTo>
                <a:lnTo>
                  <a:pt x="28602" y="235579"/>
                </a:lnTo>
                <a:lnTo>
                  <a:pt x="79191" y="220125"/>
                </a:lnTo>
                <a:lnTo>
                  <a:pt x="56331" y="211875"/>
                </a:lnTo>
                <a:lnTo>
                  <a:pt x="74600" y="193744"/>
                </a:lnTo>
                <a:cubicBezTo>
                  <a:pt x="91537" y="210794"/>
                  <a:pt x="109526" y="226781"/>
                  <a:pt x="128464" y="241613"/>
                </a:cubicBezTo>
                <a:cubicBezTo>
                  <a:pt x="128464" y="241613"/>
                  <a:pt x="256928" y="144113"/>
                  <a:pt x="256928" y="65363"/>
                </a:cubicBezTo>
                <a:cubicBezTo>
                  <a:pt x="256902" y="61613"/>
                  <a:pt x="256479" y="57876"/>
                  <a:pt x="255666" y="54214"/>
                </a:cubicBezTo>
                <a:close/>
                <a:moveTo>
                  <a:pt x="39314" y="224468"/>
                </a:moveTo>
                <a:lnTo>
                  <a:pt x="43538" y="208294"/>
                </a:lnTo>
                <a:lnTo>
                  <a:pt x="45340" y="213068"/>
                </a:lnTo>
                <a:lnTo>
                  <a:pt x="46561" y="216300"/>
                </a:lnTo>
                <a:lnTo>
                  <a:pt x="49825" y="217481"/>
                </a:lnTo>
                <a:lnTo>
                  <a:pt x="55493" y="219533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10</xdr:col>
      <xdr:colOff>160470</xdr:colOff>
      <xdr:row>6</xdr:row>
      <xdr:rowOff>155995</xdr:rowOff>
    </xdr:from>
    <xdr:to>
      <xdr:col>10</xdr:col>
      <xdr:colOff>432510</xdr:colOff>
      <xdr:row>6</xdr:row>
      <xdr:rowOff>425995</xdr:rowOff>
    </xdr:to>
    <xdr:sp macro="" textlink="">
      <xdr:nvSpPr>
        <xdr:cNvPr id="268" name="peace" descr="Peace Sign outline">
          <a:extLst>
            <a:ext uri="{FF2B5EF4-FFF2-40B4-BE49-F238E27FC236}">
              <a16:creationId xmlns:a16="http://schemas.microsoft.com/office/drawing/2014/main" id="{FD44E99E-0595-43D0-9012-5BCBD5354D4F}"/>
            </a:ext>
          </a:extLst>
        </xdr:cNvPr>
        <xdr:cNvSpPr>
          <a:spLocks noChangeAspect="1"/>
        </xdr:cNvSpPr>
      </xdr:nvSpPr>
      <xdr:spPr>
        <a:xfrm>
          <a:off x="8304345" y="1737145"/>
          <a:ext cx="272040" cy="270000"/>
        </a:xfrm>
        <a:custGeom>
          <a:avLst/>
          <a:gdLst>
            <a:gd name="connsiteX0" fmla="*/ 136020 w 272040"/>
            <a:gd name="connsiteY0" fmla="*/ 0 h 270000"/>
            <a:gd name="connsiteX1" fmla="*/ 0 w 272040"/>
            <a:gd name="connsiteY1" fmla="*/ 135000 h 270000"/>
            <a:gd name="connsiteX2" fmla="*/ 136020 w 272040"/>
            <a:gd name="connsiteY2" fmla="*/ 270000 h 270000"/>
            <a:gd name="connsiteX3" fmla="*/ 272041 w 272040"/>
            <a:gd name="connsiteY3" fmla="*/ 135000 h 270000"/>
            <a:gd name="connsiteX4" fmla="*/ 136020 w 272040"/>
            <a:gd name="connsiteY4" fmla="*/ 0 h 270000"/>
            <a:gd name="connsiteX5" fmla="*/ 264484 w 272040"/>
            <a:gd name="connsiteY5" fmla="*/ 135000 h 270000"/>
            <a:gd name="connsiteX6" fmla="*/ 233010 w 272040"/>
            <a:gd name="connsiteY6" fmla="*/ 218460 h 270000"/>
            <a:gd name="connsiteX7" fmla="*/ 139799 w 272040"/>
            <a:gd name="connsiteY7" fmla="*/ 125947 h 270000"/>
            <a:gd name="connsiteX8" fmla="*/ 139799 w 272040"/>
            <a:gd name="connsiteY8" fmla="*/ 7594 h 270000"/>
            <a:gd name="connsiteX9" fmla="*/ 264484 w 272040"/>
            <a:gd name="connsiteY9" fmla="*/ 135000 h 270000"/>
            <a:gd name="connsiteX10" fmla="*/ 132242 w 272040"/>
            <a:gd name="connsiteY10" fmla="*/ 7594 h 270000"/>
            <a:gd name="connsiteX11" fmla="*/ 132242 w 272040"/>
            <a:gd name="connsiteY11" fmla="*/ 125947 h 270000"/>
            <a:gd name="connsiteX12" fmla="*/ 39030 w 272040"/>
            <a:gd name="connsiteY12" fmla="*/ 218460 h 270000"/>
            <a:gd name="connsiteX13" fmla="*/ 51702 w 272040"/>
            <a:gd name="connsiteY13" fmla="*/ 38778 h 270000"/>
            <a:gd name="connsiteX14" fmla="*/ 132242 w 272040"/>
            <a:gd name="connsiteY14" fmla="*/ 7594 h 270000"/>
            <a:gd name="connsiteX15" fmla="*/ 44146 w 272040"/>
            <a:gd name="connsiteY15" fmla="*/ 223988 h 270000"/>
            <a:gd name="connsiteX16" fmla="*/ 132242 w 272040"/>
            <a:gd name="connsiteY16" fmla="*/ 136553 h 270000"/>
            <a:gd name="connsiteX17" fmla="*/ 132242 w 272040"/>
            <a:gd name="connsiteY17" fmla="*/ 262406 h 270000"/>
            <a:gd name="connsiteX18" fmla="*/ 44146 w 272040"/>
            <a:gd name="connsiteY18" fmla="*/ 223988 h 270000"/>
            <a:gd name="connsiteX19" fmla="*/ 139799 w 272040"/>
            <a:gd name="connsiteY19" fmla="*/ 262406 h 270000"/>
            <a:gd name="connsiteX20" fmla="*/ 139799 w 272040"/>
            <a:gd name="connsiteY20" fmla="*/ 136553 h 270000"/>
            <a:gd name="connsiteX21" fmla="*/ 227895 w 272040"/>
            <a:gd name="connsiteY21" fmla="*/ 223988 h 270000"/>
            <a:gd name="connsiteX22" fmla="*/ 139799 w 272040"/>
            <a:gd name="connsiteY22" fmla="*/ 262406 h 27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</a:cxnLst>
          <a:rect l="l" t="t" r="r" b="b"/>
          <a:pathLst>
            <a:path w="272040" h="270000">
              <a:moveTo>
                <a:pt x="136020" y="0"/>
              </a:moveTo>
              <a:cubicBezTo>
                <a:pt x="60898" y="0"/>
                <a:pt x="0" y="60441"/>
                <a:pt x="0" y="135000"/>
              </a:cubicBezTo>
              <a:cubicBezTo>
                <a:pt x="0" y="209558"/>
                <a:pt x="60898" y="270000"/>
                <a:pt x="136020" y="270000"/>
              </a:cubicBezTo>
              <a:cubicBezTo>
                <a:pt x="211142" y="270000"/>
                <a:pt x="272041" y="209558"/>
                <a:pt x="272041" y="135000"/>
              </a:cubicBezTo>
              <a:cubicBezTo>
                <a:pt x="272041" y="60441"/>
                <a:pt x="211142" y="0"/>
                <a:pt x="136020" y="0"/>
              </a:cubicBezTo>
              <a:close/>
              <a:moveTo>
                <a:pt x="264484" y="135000"/>
              </a:moveTo>
              <a:cubicBezTo>
                <a:pt x="264503" y="165681"/>
                <a:pt x="253322" y="195331"/>
                <a:pt x="233010" y="218460"/>
              </a:cubicBezTo>
              <a:lnTo>
                <a:pt x="139799" y="125947"/>
              </a:lnTo>
              <a:lnTo>
                <a:pt x="139799" y="7594"/>
              </a:lnTo>
              <a:cubicBezTo>
                <a:pt x="209202" y="9687"/>
                <a:pt x="264396" y="66086"/>
                <a:pt x="264484" y="135000"/>
              </a:cubicBezTo>
              <a:close/>
              <a:moveTo>
                <a:pt x="132242" y="7594"/>
              </a:moveTo>
              <a:lnTo>
                <a:pt x="132242" y="125947"/>
              </a:lnTo>
              <a:lnTo>
                <a:pt x="39030" y="218460"/>
              </a:lnTo>
              <a:cubicBezTo>
                <a:pt x="-7463" y="165369"/>
                <a:pt x="-1790" y="84923"/>
                <a:pt x="51702" y="38778"/>
              </a:cubicBezTo>
              <a:cubicBezTo>
                <a:pt x="74107" y="19451"/>
                <a:pt x="102569" y="8430"/>
                <a:pt x="132242" y="7594"/>
              </a:cubicBezTo>
              <a:close/>
              <a:moveTo>
                <a:pt x="44146" y="223988"/>
              </a:moveTo>
              <a:lnTo>
                <a:pt x="132242" y="136553"/>
              </a:lnTo>
              <a:lnTo>
                <a:pt x="132242" y="262406"/>
              </a:lnTo>
              <a:cubicBezTo>
                <a:pt x="98961" y="261455"/>
                <a:pt x="67362" y="247674"/>
                <a:pt x="44146" y="223988"/>
              </a:cubicBezTo>
              <a:close/>
              <a:moveTo>
                <a:pt x="139799" y="262406"/>
              </a:moveTo>
              <a:lnTo>
                <a:pt x="139799" y="136553"/>
              </a:lnTo>
              <a:lnTo>
                <a:pt x="227895" y="223988"/>
              </a:lnTo>
              <a:cubicBezTo>
                <a:pt x="204679" y="247674"/>
                <a:pt x="173080" y="261455"/>
                <a:pt x="139799" y="262406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4</xdr:col>
      <xdr:colOff>138526</xdr:colOff>
      <xdr:row>12</xdr:row>
      <xdr:rowOff>150383</xdr:rowOff>
    </xdr:from>
    <xdr:to>
      <xdr:col>4</xdr:col>
      <xdr:colOff>440795</xdr:colOff>
      <xdr:row>12</xdr:row>
      <xdr:rowOff>412696</xdr:rowOff>
    </xdr:to>
    <xdr:sp macro="" textlink="">
      <xdr:nvSpPr>
        <xdr:cNvPr id="269" name="like" descr="Thumbs Down outline">
          <a:extLst>
            <a:ext uri="{FF2B5EF4-FFF2-40B4-BE49-F238E27FC236}">
              <a16:creationId xmlns:a16="http://schemas.microsoft.com/office/drawing/2014/main" id="{105937AD-E811-4FE9-B132-3A991E22FABC}"/>
            </a:ext>
          </a:extLst>
        </xdr:cNvPr>
        <xdr:cNvSpPr>
          <a:spLocks noChangeAspect="1"/>
        </xdr:cNvSpPr>
      </xdr:nvSpPr>
      <xdr:spPr>
        <a:xfrm>
          <a:off x="3196051" y="5160533"/>
          <a:ext cx="302269" cy="262313"/>
        </a:xfrm>
        <a:custGeom>
          <a:avLst/>
          <a:gdLst>
            <a:gd name="connsiteX0" fmla="*/ 287585 w 302269"/>
            <a:gd name="connsiteY0" fmla="*/ 114019 h 262313"/>
            <a:gd name="connsiteX1" fmla="*/ 287575 w 302269"/>
            <a:gd name="connsiteY1" fmla="*/ 113972 h 262313"/>
            <a:gd name="connsiteX2" fmla="*/ 287585 w 302269"/>
            <a:gd name="connsiteY2" fmla="*/ 113963 h 262313"/>
            <a:gd name="connsiteX3" fmla="*/ 288625 w 302269"/>
            <a:gd name="connsiteY3" fmla="*/ 82324 h 262313"/>
            <a:gd name="connsiteX4" fmla="*/ 277006 w 302269"/>
            <a:gd name="connsiteY4" fmla="*/ 75765 h 262313"/>
            <a:gd name="connsiteX5" fmla="*/ 276998 w 302269"/>
            <a:gd name="connsiteY5" fmla="*/ 75712 h 262313"/>
            <a:gd name="connsiteX6" fmla="*/ 277006 w 302269"/>
            <a:gd name="connsiteY6" fmla="*/ 75705 h 262313"/>
            <a:gd name="connsiteX7" fmla="*/ 283376 w 302269"/>
            <a:gd name="connsiteY7" fmla="*/ 60000 h 262313"/>
            <a:gd name="connsiteX8" fmla="*/ 260706 w 302269"/>
            <a:gd name="connsiteY8" fmla="*/ 37500 h 262313"/>
            <a:gd name="connsiteX9" fmla="*/ 258526 w 302269"/>
            <a:gd name="connsiteY9" fmla="*/ 37500 h 262313"/>
            <a:gd name="connsiteX10" fmla="*/ 258488 w 302269"/>
            <a:gd name="connsiteY10" fmla="*/ 37462 h 262313"/>
            <a:gd name="connsiteX11" fmla="*/ 258499 w 302269"/>
            <a:gd name="connsiteY11" fmla="*/ 37436 h 262313"/>
            <a:gd name="connsiteX12" fmla="*/ 264484 w 302269"/>
            <a:gd name="connsiteY12" fmla="*/ 22500 h 262313"/>
            <a:gd name="connsiteX13" fmla="*/ 241814 w 302269"/>
            <a:gd name="connsiteY13" fmla="*/ 0 h 262313"/>
            <a:gd name="connsiteX14" fmla="*/ 173804 w 302269"/>
            <a:gd name="connsiteY14" fmla="*/ 0 h 262313"/>
            <a:gd name="connsiteX15" fmla="*/ 94459 w 302269"/>
            <a:gd name="connsiteY15" fmla="*/ 30000 h 262313"/>
            <a:gd name="connsiteX16" fmla="*/ 79345 w 302269"/>
            <a:gd name="connsiteY16" fmla="*/ 30000 h 262313"/>
            <a:gd name="connsiteX17" fmla="*/ 79345 w 302269"/>
            <a:gd name="connsiteY17" fmla="*/ 26250 h 262313"/>
            <a:gd name="connsiteX18" fmla="*/ 64232 w 302269"/>
            <a:gd name="connsiteY18" fmla="*/ 11250 h 262313"/>
            <a:gd name="connsiteX19" fmla="*/ 0 w 302269"/>
            <a:gd name="connsiteY19" fmla="*/ 11250 h 262313"/>
            <a:gd name="connsiteX20" fmla="*/ 0 w 302269"/>
            <a:gd name="connsiteY20" fmla="*/ 168750 h 262313"/>
            <a:gd name="connsiteX21" fmla="*/ 64232 w 302269"/>
            <a:gd name="connsiteY21" fmla="*/ 168750 h 262313"/>
            <a:gd name="connsiteX22" fmla="*/ 79345 w 302269"/>
            <a:gd name="connsiteY22" fmla="*/ 153750 h 262313"/>
            <a:gd name="connsiteX23" fmla="*/ 79345 w 302269"/>
            <a:gd name="connsiteY23" fmla="*/ 150000 h 262313"/>
            <a:gd name="connsiteX24" fmla="*/ 87454 w 302269"/>
            <a:gd name="connsiteY24" fmla="*/ 150000 h 262313"/>
            <a:gd name="connsiteX25" fmla="*/ 101112 w 302269"/>
            <a:gd name="connsiteY25" fmla="*/ 153675 h 262313"/>
            <a:gd name="connsiteX26" fmla="*/ 162469 w 302269"/>
            <a:gd name="connsiteY26" fmla="*/ 240000 h 262313"/>
            <a:gd name="connsiteX27" fmla="*/ 185328 w 302269"/>
            <a:gd name="connsiteY27" fmla="*/ 262313 h 262313"/>
            <a:gd name="connsiteX28" fmla="*/ 207809 w 302269"/>
            <a:gd name="connsiteY28" fmla="*/ 239625 h 262313"/>
            <a:gd name="connsiteX29" fmla="*/ 196474 w 302269"/>
            <a:gd name="connsiteY29" fmla="*/ 168375 h 262313"/>
            <a:gd name="connsiteX30" fmla="*/ 207809 w 302269"/>
            <a:gd name="connsiteY30" fmla="*/ 157500 h 262313"/>
            <a:gd name="connsiteX31" fmla="*/ 279597 w 302269"/>
            <a:gd name="connsiteY31" fmla="*/ 157500 h 262313"/>
            <a:gd name="connsiteX32" fmla="*/ 302268 w 302269"/>
            <a:gd name="connsiteY32" fmla="*/ 135000 h 262313"/>
            <a:gd name="connsiteX33" fmla="*/ 287585 w 302269"/>
            <a:gd name="connsiteY33" fmla="*/ 114019 h 262313"/>
            <a:gd name="connsiteX34" fmla="*/ 71789 w 302269"/>
            <a:gd name="connsiteY34" fmla="*/ 153728 h 262313"/>
            <a:gd name="connsiteX35" fmla="*/ 64232 w 302269"/>
            <a:gd name="connsiteY35" fmla="*/ 161250 h 262313"/>
            <a:gd name="connsiteX36" fmla="*/ 7557 w 302269"/>
            <a:gd name="connsiteY36" fmla="*/ 161250 h 262313"/>
            <a:gd name="connsiteX37" fmla="*/ 7557 w 302269"/>
            <a:gd name="connsiteY37" fmla="*/ 18750 h 262313"/>
            <a:gd name="connsiteX38" fmla="*/ 64232 w 302269"/>
            <a:gd name="connsiteY38" fmla="*/ 18750 h 262313"/>
            <a:gd name="connsiteX39" fmla="*/ 71789 w 302269"/>
            <a:gd name="connsiteY39" fmla="*/ 26250 h 262313"/>
            <a:gd name="connsiteX40" fmla="*/ 71789 w 302269"/>
            <a:gd name="connsiteY40" fmla="*/ 153728 h 262313"/>
            <a:gd name="connsiteX41" fmla="*/ 279597 w 302269"/>
            <a:gd name="connsiteY41" fmla="*/ 150000 h 262313"/>
            <a:gd name="connsiteX42" fmla="*/ 207677 w 302269"/>
            <a:gd name="connsiteY42" fmla="*/ 150000 h 262313"/>
            <a:gd name="connsiteX43" fmla="*/ 188917 w 302269"/>
            <a:gd name="connsiteY43" fmla="*/ 168000 h 262313"/>
            <a:gd name="connsiteX44" fmla="*/ 188917 w 302269"/>
            <a:gd name="connsiteY44" fmla="*/ 168803 h 262313"/>
            <a:gd name="connsiteX45" fmla="*/ 191271 w 302269"/>
            <a:gd name="connsiteY45" fmla="*/ 177705 h 262313"/>
            <a:gd name="connsiteX46" fmla="*/ 200252 w 302269"/>
            <a:gd name="connsiteY46" fmla="*/ 239093 h 262313"/>
            <a:gd name="connsiteX47" fmla="*/ 186081 w 302269"/>
            <a:gd name="connsiteY47" fmla="*/ 254973 h 262313"/>
            <a:gd name="connsiteX48" fmla="*/ 185139 w 302269"/>
            <a:gd name="connsiteY48" fmla="*/ 255000 h 262313"/>
            <a:gd name="connsiteX49" fmla="*/ 170025 w 302269"/>
            <a:gd name="connsiteY49" fmla="*/ 240000 h 262313"/>
            <a:gd name="connsiteX50" fmla="*/ 104966 w 302269"/>
            <a:gd name="connsiteY50" fmla="*/ 147221 h 262313"/>
            <a:gd name="connsiteX51" fmla="*/ 87454 w 302269"/>
            <a:gd name="connsiteY51" fmla="*/ 142500 h 262313"/>
            <a:gd name="connsiteX52" fmla="*/ 79345 w 302269"/>
            <a:gd name="connsiteY52" fmla="*/ 142500 h 262313"/>
            <a:gd name="connsiteX53" fmla="*/ 79345 w 302269"/>
            <a:gd name="connsiteY53" fmla="*/ 37500 h 262313"/>
            <a:gd name="connsiteX54" fmla="*/ 94459 w 302269"/>
            <a:gd name="connsiteY54" fmla="*/ 37500 h 262313"/>
            <a:gd name="connsiteX55" fmla="*/ 125241 w 302269"/>
            <a:gd name="connsiteY55" fmla="*/ 24428 h 262313"/>
            <a:gd name="connsiteX56" fmla="*/ 173804 w 302269"/>
            <a:gd name="connsiteY56" fmla="*/ 7500 h 262313"/>
            <a:gd name="connsiteX57" fmla="*/ 241814 w 302269"/>
            <a:gd name="connsiteY57" fmla="*/ 7500 h 262313"/>
            <a:gd name="connsiteX58" fmla="*/ 256927 w 302269"/>
            <a:gd name="connsiteY58" fmla="*/ 22616 h 262313"/>
            <a:gd name="connsiteX59" fmla="*/ 253047 w 302269"/>
            <a:gd name="connsiteY59" fmla="*/ 32250 h 262313"/>
            <a:gd name="connsiteX60" fmla="*/ 253154 w 302269"/>
            <a:gd name="connsiteY60" fmla="*/ 42856 h 262313"/>
            <a:gd name="connsiteX61" fmla="*/ 258439 w 302269"/>
            <a:gd name="connsiteY61" fmla="*/ 45000 h 262313"/>
            <a:gd name="connsiteX62" fmla="*/ 260683 w 302269"/>
            <a:gd name="connsiteY62" fmla="*/ 45000 h 262313"/>
            <a:gd name="connsiteX63" fmla="*/ 275819 w 302269"/>
            <a:gd name="connsiteY63" fmla="*/ 60071 h 262313"/>
            <a:gd name="connsiteX64" fmla="*/ 271572 w 302269"/>
            <a:gd name="connsiteY64" fmla="*/ 70500 h 262313"/>
            <a:gd name="connsiteX65" fmla="*/ 271646 w 302269"/>
            <a:gd name="connsiteY65" fmla="*/ 81106 h 262313"/>
            <a:gd name="connsiteX66" fmla="*/ 275351 w 302269"/>
            <a:gd name="connsiteY66" fmla="*/ 83096 h 262313"/>
            <a:gd name="connsiteX67" fmla="*/ 286820 w 302269"/>
            <a:gd name="connsiteY67" fmla="*/ 100802 h 262313"/>
            <a:gd name="connsiteX68" fmla="*/ 282386 w 302269"/>
            <a:gd name="connsiteY68" fmla="*/ 108533 h 262313"/>
            <a:gd name="connsiteX69" fmla="*/ 282010 w 302269"/>
            <a:gd name="connsiteY69" fmla="*/ 119133 h 262313"/>
            <a:gd name="connsiteX70" fmla="*/ 285000 w 302269"/>
            <a:gd name="connsiteY70" fmla="*/ 121084 h 262313"/>
            <a:gd name="connsiteX71" fmla="*/ 294711 w 302269"/>
            <a:gd name="connsiteY71" fmla="*/ 134978 h 262313"/>
            <a:gd name="connsiteX72" fmla="*/ 279597 w 302269"/>
            <a:gd name="connsiteY72" fmla="*/ 150000 h 2623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</a:cxnLst>
          <a:rect l="l" t="t" r="r" b="b"/>
          <a:pathLst>
            <a:path w="302269" h="262313">
              <a:moveTo>
                <a:pt x="287585" y="114019"/>
              </a:moveTo>
              <a:cubicBezTo>
                <a:pt x="287569" y="114009"/>
                <a:pt x="287565" y="113988"/>
                <a:pt x="287575" y="113972"/>
              </a:cubicBezTo>
              <a:cubicBezTo>
                <a:pt x="287578" y="113968"/>
                <a:pt x="287581" y="113965"/>
                <a:pt x="287585" y="113963"/>
              </a:cubicBezTo>
              <a:cubicBezTo>
                <a:pt x="296675" y="105511"/>
                <a:pt x="297140" y="91346"/>
                <a:pt x="288625" y="82324"/>
              </a:cubicBezTo>
              <a:cubicBezTo>
                <a:pt x="285508" y="79023"/>
                <a:pt x="281457" y="76736"/>
                <a:pt x="277006" y="75765"/>
              </a:cubicBezTo>
              <a:cubicBezTo>
                <a:pt x="276989" y="75753"/>
                <a:pt x="276985" y="75729"/>
                <a:pt x="276998" y="75712"/>
              </a:cubicBezTo>
              <a:cubicBezTo>
                <a:pt x="277000" y="75710"/>
                <a:pt x="277002" y="75707"/>
                <a:pt x="277006" y="75705"/>
              </a:cubicBezTo>
              <a:cubicBezTo>
                <a:pt x="281143" y="71515"/>
                <a:pt x="283434" y="65866"/>
                <a:pt x="283376" y="60000"/>
              </a:cubicBezTo>
              <a:cubicBezTo>
                <a:pt x="283338" y="47589"/>
                <a:pt x="273211" y="37537"/>
                <a:pt x="260706" y="37500"/>
              </a:cubicBezTo>
              <a:lnTo>
                <a:pt x="258526" y="37500"/>
              </a:lnTo>
              <a:cubicBezTo>
                <a:pt x="258505" y="37500"/>
                <a:pt x="258488" y="37483"/>
                <a:pt x="258488" y="37462"/>
              </a:cubicBezTo>
              <a:cubicBezTo>
                <a:pt x="258489" y="37452"/>
                <a:pt x="258492" y="37443"/>
                <a:pt x="258499" y="37436"/>
              </a:cubicBezTo>
              <a:cubicBezTo>
                <a:pt x="262417" y="33446"/>
                <a:pt x="264571" y="28071"/>
                <a:pt x="264484" y="22500"/>
              </a:cubicBezTo>
              <a:cubicBezTo>
                <a:pt x="264447" y="10089"/>
                <a:pt x="254319" y="37"/>
                <a:pt x="241814" y="0"/>
              </a:cubicBezTo>
              <a:lnTo>
                <a:pt x="173804" y="0"/>
              </a:lnTo>
              <a:cubicBezTo>
                <a:pt x="123174" y="0"/>
                <a:pt x="121285" y="30000"/>
                <a:pt x="94459" y="30000"/>
              </a:cubicBezTo>
              <a:lnTo>
                <a:pt x="79345" y="30000"/>
              </a:lnTo>
              <a:lnTo>
                <a:pt x="79345" y="26250"/>
              </a:lnTo>
              <a:cubicBezTo>
                <a:pt x="79318" y="17977"/>
                <a:pt x="72568" y="11277"/>
                <a:pt x="64232" y="11250"/>
              </a:cubicBezTo>
              <a:lnTo>
                <a:pt x="0" y="11250"/>
              </a:lnTo>
              <a:lnTo>
                <a:pt x="0" y="168750"/>
              </a:lnTo>
              <a:lnTo>
                <a:pt x="64232" y="168750"/>
              </a:lnTo>
              <a:cubicBezTo>
                <a:pt x="72568" y="168723"/>
                <a:pt x="79318" y="162023"/>
                <a:pt x="79345" y="153750"/>
              </a:cubicBezTo>
              <a:lnTo>
                <a:pt x="79345" y="150000"/>
              </a:lnTo>
              <a:lnTo>
                <a:pt x="87454" y="150000"/>
              </a:lnTo>
              <a:cubicBezTo>
                <a:pt x="92255" y="149995"/>
                <a:pt x="96971" y="151264"/>
                <a:pt x="101112" y="153675"/>
              </a:cubicBezTo>
              <a:cubicBezTo>
                <a:pt x="118262" y="163665"/>
                <a:pt x="162469" y="193650"/>
                <a:pt x="162469" y="240000"/>
              </a:cubicBezTo>
              <a:cubicBezTo>
                <a:pt x="162573" y="252426"/>
                <a:pt x="172807" y="262416"/>
                <a:pt x="185328" y="262313"/>
              </a:cubicBezTo>
              <a:cubicBezTo>
                <a:pt x="197848" y="262209"/>
                <a:pt x="207913" y="252051"/>
                <a:pt x="207809" y="239625"/>
              </a:cubicBezTo>
              <a:cubicBezTo>
                <a:pt x="207760" y="188546"/>
                <a:pt x="196852" y="175095"/>
                <a:pt x="196474" y="168375"/>
              </a:cubicBezTo>
              <a:cubicBezTo>
                <a:pt x="196785" y="162357"/>
                <a:pt x="201738" y="157605"/>
                <a:pt x="207809" y="157500"/>
              </a:cubicBezTo>
              <a:lnTo>
                <a:pt x="279597" y="157500"/>
              </a:lnTo>
              <a:cubicBezTo>
                <a:pt x="292102" y="157463"/>
                <a:pt x="302230" y="147411"/>
                <a:pt x="302268" y="135000"/>
              </a:cubicBezTo>
              <a:cubicBezTo>
                <a:pt x="302381" y="125615"/>
                <a:pt x="296486" y="117191"/>
                <a:pt x="287585" y="114019"/>
              </a:cubicBezTo>
              <a:close/>
              <a:moveTo>
                <a:pt x="71789" y="153728"/>
              </a:moveTo>
              <a:cubicBezTo>
                <a:pt x="71770" y="157866"/>
                <a:pt x="68401" y="161219"/>
                <a:pt x="64232" y="161250"/>
              </a:cubicBezTo>
              <a:lnTo>
                <a:pt x="7557" y="161250"/>
              </a:lnTo>
              <a:lnTo>
                <a:pt x="7557" y="18750"/>
              </a:lnTo>
              <a:lnTo>
                <a:pt x="64232" y="18750"/>
              </a:lnTo>
              <a:cubicBezTo>
                <a:pt x="68391" y="18783"/>
                <a:pt x="71756" y="22122"/>
                <a:pt x="71789" y="26250"/>
              </a:cubicBezTo>
              <a:lnTo>
                <a:pt x="71789" y="153728"/>
              </a:lnTo>
              <a:close/>
              <a:moveTo>
                <a:pt x="279597" y="150000"/>
              </a:moveTo>
              <a:lnTo>
                <a:pt x="207677" y="150000"/>
              </a:lnTo>
              <a:cubicBezTo>
                <a:pt x="197639" y="150200"/>
                <a:pt x="189457" y="158051"/>
                <a:pt x="188917" y="168000"/>
              </a:cubicBezTo>
              <a:cubicBezTo>
                <a:pt x="188902" y="168267"/>
                <a:pt x="188902" y="168535"/>
                <a:pt x="188917" y="168803"/>
              </a:cubicBezTo>
              <a:cubicBezTo>
                <a:pt x="189269" y="171867"/>
                <a:pt x="190061" y="174865"/>
                <a:pt x="191271" y="177705"/>
              </a:cubicBezTo>
              <a:cubicBezTo>
                <a:pt x="194384" y="186375"/>
                <a:pt x="200158" y="202500"/>
                <a:pt x="200252" y="239093"/>
              </a:cubicBezTo>
              <a:cubicBezTo>
                <a:pt x="200757" y="247362"/>
                <a:pt x="194412" y="254471"/>
                <a:pt x="186081" y="254973"/>
              </a:cubicBezTo>
              <a:cubicBezTo>
                <a:pt x="185767" y="254991"/>
                <a:pt x="185453" y="255001"/>
                <a:pt x="185139" y="255000"/>
              </a:cubicBezTo>
              <a:cubicBezTo>
                <a:pt x="176792" y="255000"/>
                <a:pt x="170025" y="248284"/>
                <a:pt x="170025" y="240000"/>
              </a:cubicBezTo>
              <a:cubicBezTo>
                <a:pt x="170025" y="190500"/>
                <a:pt x="124527" y="158625"/>
                <a:pt x="104966" y="147221"/>
              </a:cubicBezTo>
              <a:cubicBezTo>
                <a:pt x="99656" y="144129"/>
                <a:pt x="93610" y="142499"/>
                <a:pt x="87454" y="142500"/>
              </a:cubicBezTo>
              <a:lnTo>
                <a:pt x="79345" y="142500"/>
              </a:lnTo>
              <a:lnTo>
                <a:pt x="79345" y="37500"/>
              </a:lnTo>
              <a:lnTo>
                <a:pt x="94459" y="37500"/>
              </a:lnTo>
              <a:cubicBezTo>
                <a:pt x="108359" y="37500"/>
                <a:pt x="116940" y="30855"/>
                <a:pt x="125241" y="24428"/>
              </a:cubicBezTo>
              <a:cubicBezTo>
                <a:pt x="135990" y="16125"/>
                <a:pt x="147102" y="7500"/>
                <a:pt x="173804" y="7500"/>
              </a:cubicBezTo>
              <a:lnTo>
                <a:pt x="241814" y="7500"/>
              </a:lnTo>
              <a:cubicBezTo>
                <a:pt x="250177" y="7570"/>
                <a:pt x="256921" y="14316"/>
                <a:pt x="256927" y="22616"/>
              </a:cubicBezTo>
              <a:cubicBezTo>
                <a:pt x="256978" y="26212"/>
                <a:pt x="255582" y="29680"/>
                <a:pt x="253047" y="32250"/>
              </a:cubicBezTo>
              <a:cubicBezTo>
                <a:pt x="250126" y="35208"/>
                <a:pt x="250174" y="39957"/>
                <a:pt x="253154" y="42856"/>
              </a:cubicBezTo>
              <a:cubicBezTo>
                <a:pt x="254565" y="44229"/>
                <a:pt x="256462" y="44999"/>
                <a:pt x="258439" y="45000"/>
              </a:cubicBezTo>
              <a:lnTo>
                <a:pt x="260683" y="45000"/>
              </a:lnTo>
              <a:cubicBezTo>
                <a:pt x="269040" y="45051"/>
                <a:pt x="275795" y="51777"/>
                <a:pt x="275819" y="60071"/>
              </a:cubicBezTo>
              <a:cubicBezTo>
                <a:pt x="275851" y="63969"/>
                <a:pt x="274324" y="67719"/>
                <a:pt x="271572" y="70500"/>
              </a:cubicBezTo>
              <a:cubicBezTo>
                <a:pt x="268641" y="73449"/>
                <a:pt x="268675" y="78198"/>
                <a:pt x="271646" y="81106"/>
              </a:cubicBezTo>
              <a:cubicBezTo>
                <a:pt x="272666" y="82105"/>
                <a:pt x="273951" y="82795"/>
                <a:pt x="275351" y="83096"/>
              </a:cubicBezTo>
              <a:cubicBezTo>
                <a:pt x="283444" y="84842"/>
                <a:pt x="288579" y="92769"/>
                <a:pt x="286820" y="100802"/>
              </a:cubicBezTo>
              <a:cubicBezTo>
                <a:pt x="286171" y="103767"/>
                <a:pt x="284623" y="106464"/>
                <a:pt x="282386" y="108533"/>
              </a:cubicBezTo>
              <a:cubicBezTo>
                <a:pt x="279333" y="111357"/>
                <a:pt x="279164" y="116102"/>
                <a:pt x="282010" y="119133"/>
              </a:cubicBezTo>
              <a:cubicBezTo>
                <a:pt x="282835" y="120011"/>
                <a:pt x="283861" y="120680"/>
                <a:pt x="285000" y="121084"/>
              </a:cubicBezTo>
              <a:cubicBezTo>
                <a:pt x="290898" y="123177"/>
                <a:pt x="294802" y="128762"/>
                <a:pt x="294711" y="134978"/>
              </a:cubicBezTo>
              <a:cubicBezTo>
                <a:pt x="294667" y="143248"/>
                <a:pt x="287930" y="149945"/>
                <a:pt x="279597" y="150000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8</xdr:col>
      <xdr:colOff>138449</xdr:colOff>
      <xdr:row>9</xdr:row>
      <xdr:rowOff>152468</xdr:rowOff>
    </xdr:from>
    <xdr:to>
      <xdr:col>8</xdr:col>
      <xdr:colOff>440718</xdr:colOff>
      <xdr:row>9</xdr:row>
      <xdr:rowOff>414968</xdr:rowOff>
    </xdr:to>
    <xdr:sp macro="" textlink="">
      <xdr:nvSpPr>
        <xdr:cNvPr id="270" name="dislike" descr="Thumbs up sign outline">
          <a:extLst>
            <a:ext uri="{FF2B5EF4-FFF2-40B4-BE49-F238E27FC236}">
              <a16:creationId xmlns:a16="http://schemas.microsoft.com/office/drawing/2014/main" id="{8A1A5116-AD64-402C-A89C-A32242BAAC7D}"/>
            </a:ext>
          </a:extLst>
        </xdr:cNvPr>
        <xdr:cNvSpPr>
          <a:spLocks noChangeAspect="1"/>
        </xdr:cNvSpPr>
      </xdr:nvSpPr>
      <xdr:spPr>
        <a:xfrm>
          <a:off x="6586874" y="3448118"/>
          <a:ext cx="302269" cy="262500"/>
        </a:xfrm>
        <a:custGeom>
          <a:avLst/>
          <a:gdLst>
            <a:gd name="connsiteX0" fmla="*/ 79345 w 302269"/>
            <a:gd name="connsiteY0" fmla="*/ 236250 h 262500"/>
            <a:gd name="connsiteX1" fmla="*/ 79345 w 302269"/>
            <a:gd name="connsiteY1" fmla="*/ 232500 h 262500"/>
            <a:gd name="connsiteX2" fmla="*/ 94459 w 302269"/>
            <a:gd name="connsiteY2" fmla="*/ 232500 h 262500"/>
            <a:gd name="connsiteX3" fmla="*/ 173804 w 302269"/>
            <a:gd name="connsiteY3" fmla="*/ 262500 h 262500"/>
            <a:gd name="connsiteX4" fmla="*/ 241814 w 302269"/>
            <a:gd name="connsiteY4" fmla="*/ 262500 h 262500"/>
            <a:gd name="connsiteX5" fmla="*/ 264484 w 302269"/>
            <a:gd name="connsiteY5" fmla="*/ 240000 h 262500"/>
            <a:gd name="connsiteX6" fmla="*/ 258499 w 302269"/>
            <a:gd name="connsiteY6" fmla="*/ 225064 h 262500"/>
            <a:gd name="connsiteX7" fmla="*/ 258500 w 302269"/>
            <a:gd name="connsiteY7" fmla="*/ 225011 h 262500"/>
            <a:gd name="connsiteX8" fmla="*/ 258526 w 302269"/>
            <a:gd name="connsiteY8" fmla="*/ 225000 h 262500"/>
            <a:gd name="connsiteX9" fmla="*/ 260706 w 302269"/>
            <a:gd name="connsiteY9" fmla="*/ 225000 h 262500"/>
            <a:gd name="connsiteX10" fmla="*/ 283376 w 302269"/>
            <a:gd name="connsiteY10" fmla="*/ 202500 h 262500"/>
            <a:gd name="connsiteX11" fmla="*/ 276994 w 302269"/>
            <a:gd name="connsiteY11" fmla="*/ 186795 h 262500"/>
            <a:gd name="connsiteX12" fmla="*/ 276987 w 302269"/>
            <a:gd name="connsiteY12" fmla="*/ 186743 h 262500"/>
            <a:gd name="connsiteX13" fmla="*/ 276994 w 302269"/>
            <a:gd name="connsiteY13" fmla="*/ 186735 h 262500"/>
            <a:gd name="connsiteX14" fmla="*/ 294182 w 302269"/>
            <a:gd name="connsiteY14" fmla="*/ 160070 h 262500"/>
            <a:gd name="connsiteX15" fmla="*/ 287574 w 302269"/>
            <a:gd name="connsiteY15" fmla="*/ 148538 h 262500"/>
            <a:gd name="connsiteX16" fmla="*/ 287564 w 302269"/>
            <a:gd name="connsiteY16" fmla="*/ 148491 h 262500"/>
            <a:gd name="connsiteX17" fmla="*/ 287574 w 302269"/>
            <a:gd name="connsiteY17" fmla="*/ 148481 h 262500"/>
            <a:gd name="connsiteX18" fmla="*/ 302268 w 302269"/>
            <a:gd name="connsiteY18" fmla="*/ 127500 h 262500"/>
            <a:gd name="connsiteX19" fmla="*/ 279597 w 302269"/>
            <a:gd name="connsiteY19" fmla="*/ 105000 h 262500"/>
            <a:gd name="connsiteX20" fmla="*/ 207809 w 302269"/>
            <a:gd name="connsiteY20" fmla="*/ 105000 h 262500"/>
            <a:gd name="connsiteX21" fmla="*/ 196474 w 302269"/>
            <a:gd name="connsiteY21" fmla="*/ 94125 h 262500"/>
            <a:gd name="connsiteX22" fmla="*/ 207809 w 302269"/>
            <a:gd name="connsiteY22" fmla="*/ 22755 h 262500"/>
            <a:gd name="connsiteX23" fmla="*/ 187243 w 302269"/>
            <a:gd name="connsiteY23" fmla="*/ 94 h 262500"/>
            <a:gd name="connsiteX24" fmla="*/ 185139 w 302269"/>
            <a:gd name="connsiteY24" fmla="*/ 0 h 262500"/>
            <a:gd name="connsiteX25" fmla="*/ 162469 w 302269"/>
            <a:gd name="connsiteY25" fmla="*/ 22500 h 262500"/>
            <a:gd name="connsiteX26" fmla="*/ 101112 w 302269"/>
            <a:gd name="connsiteY26" fmla="*/ 108825 h 262500"/>
            <a:gd name="connsiteX27" fmla="*/ 87454 w 302269"/>
            <a:gd name="connsiteY27" fmla="*/ 112500 h 262500"/>
            <a:gd name="connsiteX28" fmla="*/ 79345 w 302269"/>
            <a:gd name="connsiteY28" fmla="*/ 112500 h 262500"/>
            <a:gd name="connsiteX29" fmla="*/ 79345 w 302269"/>
            <a:gd name="connsiteY29" fmla="*/ 108750 h 262500"/>
            <a:gd name="connsiteX30" fmla="*/ 64232 w 302269"/>
            <a:gd name="connsiteY30" fmla="*/ 93750 h 262500"/>
            <a:gd name="connsiteX31" fmla="*/ 0 w 302269"/>
            <a:gd name="connsiteY31" fmla="*/ 93750 h 262500"/>
            <a:gd name="connsiteX32" fmla="*/ 0 w 302269"/>
            <a:gd name="connsiteY32" fmla="*/ 251250 h 262500"/>
            <a:gd name="connsiteX33" fmla="*/ 64232 w 302269"/>
            <a:gd name="connsiteY33" fmla="*/ 251250 h 262500"/>
            <a:gd name="connsiteX34" fmla="*/ 79345 w 302269"/>
            <a:gd name="connsiteY34" fmla="*/ 236250 h 262500"/>
            <a:gd name="connsiteX35" fmla="*/ 87454 w 302269"/>
            <a:gd name="connsiteY35" fmla="*/ 120000 h 262500"/>
            <a:gd name="connsiteX36" fmla="*/ 104966 w 302269"/>
            <a:gd name="connsiteY36" fmla="*/ 115279 h 262500"/>
            <a:gd name="connsiteX37" fmla="*/ 170025 w 302269"/>
            <a:gd name="connsiteY37" fmla="*/ 22500 h 262500"/>
            <a:gd name="connsiteX38" fmla="*/ 185139 w 302269"/>
            <a:gd name="connsiteY38" fmla="*/ 7500 h 262500"/>
            <a:gd name="connsiteX39" fmla="*/ 200280 w 302269"/>
            <a:gd name="connsiteY39" fmla="*/ 22473 h 262500"/>
            <a:gd name="connsiteX40" fmla="*/ 200252 w 302269"/>
            <a:gd name="connsiteY40" fmla="*/ 23408 h 262500"/>
            <a:gd name="connsiteX41" fmla="*/ 191282 w 302269"/>
            <a:gd name="connsiteY41" fmla="*/ 84806 h 262500"/>
            <a:gd name="connsiteX42" fmla="*/ 188917 w 302269"/>
            <a:gd name="connsiteY42" fmla="*/ 93709 h 262500"/>
            <a:gd name="connsiteX43" fmla="*/ 188917 w 302269"/>
            <a:gd name="connsiteY43" fmla="*/ 94511 h 262500"/>
            <a:gd name="connsiteX44" fmla="*/ 207809 w 302269"/>
            <a:gd name="connsiteY44" fmla="*/ 112500 h 262500"/>
            <a:gd name="connsiteX45" fmla="*/ 279575 w 302269"/>
            <a:gd name="connsiteY45" fmla="*/ 112500 h 262500"/>
            <a:gd name="connsiteX46" fmla="*/ 294711 w 302269"/>
            <a:gd name="connsiteY46" fmla="*/ 127590 h 262500"/>
            <a:gd name="connsiteX47" fmla="*/ 284997 w 302269"/>
            <a:gd name="connsiteY47" fmla="*/ 141435 h 262500"/>
            <a:gd name="connsiteX48" fmla="*/ 280416 w 302269"/>
            <a:gd name="connsiteY48" fmla="*/ 151018 h 262500"/>
            <a:gd name="connsiteX49" fmla="*/ 282382 w 302269"/>
            <a:gd name="connsiteY49" fmla="*/ 153986 h 262500"/>
            <a:gd name="connsiteX50" fmla="*/ 287154 w 302269"/>
            <a:gd name="connsiteY50" fmla="*/ 166065 h 262500"/>
            <a:gd name="connsiteX51" fmla="*/ 274999 w 302269"/>
            <a:gd name="connsiteY51" fmla="*/ 179509 h 262500"/>
            <a:gd name="connsiteX52" fmla="*/ 269681 w 302269"/>
            <a:gd name="connsiteY52" fmla="*/ 188709 h 262500"/>
            <a:gd name="connsiteX53" fmla="*/ 271599 w 302269"/>
            <a:gd name="connsiteY53" fmla="*/ 192019 h 262500"/>
            <a:gd name="connsiteX54" fmla="*/ 275819 w 302269"/>
            <a:gd name="connsiteY54" fmla="*/ 202478 h 262500"/>
            <a:gd name="connsiteX55" fmla="*/ 260706 w 302269"/>
            <a:gd name="connsiteY55" fmla="*/ 217500 h 262500"/>
            <a:gd name="connsiteX56" fmla="*/ 258439 w 302269"/>
            <a:gd name="connsiteY56" fmla="*/ 217500 h 262500"/>
            <a:gd name="connsiteX57" fmla="*/ 250887 w 302269"/>
            <a:gd name="connsiteY57" fmla="*/ 225005 h 262500"/>
            <a:gd name="connsiteX58" fmla="*/ 253047 w 302269"/>
            <a:gd name="connsiteY58" fmla="*/ 230250 h 262500"/>
            <a:gd name="connsiteX59" fmla="*/ 256927 w 302269"/>
            <a:gd name="connsiteY59" fmla="*/ 239978 h 262500"/>
            <a:gd name="connsiteX60" fmla="*/ 241814 w 302269"/>
            <a:gd name="connsiteY60" fmla="*/ 255000 h 262500"/>
            <a:gd name="connsiteX61" fmla="*/ 173804 w 302269"/>
            <a:gd name="connsiteY61" fmla="*/ 255000 h 262500"/>
            <a:gd name="connsiteX62" fmla="*/ 125241 w 302269"/>
            <a:gd name="connsiteY62" fmla="*/ 238073 h 262500"/>
            <a:gd name="connsiteX63" fmla="*/ 94459 w 302269"/>
            <a:gd name="connsiteY63" fmla="*/ 225000 h 262500"/>
            <a:gd name="connsiteX64" fmla="*/ 79345 w 302269"/>
            <a:gd name="connsiteY64" fmla="*/ 225000 h 262500"/>
            <a:gd name="connsiteX65" fmla="*/ 79345 w 302269"/>
            <a:gd name="connsiteY65" fmla="*/ 120000 h 262500"/>
            <a:gd name="connsiteX66" fmla="*/ 7557 w 302269"/>
            <a:gd name="connsiteY66" fmla="*/ 101250 h 262500"/>
            <a:gd name="connsiteX67" fmla="*/ 64232 w 302269"/>
            <a:gd name="connsiteY67" fmla="*/ 101250 h 262500"/>
            <a:gd name="connsiteX68" fmla="*/ 71789 w 302269"/>
            <a:gd name="connsiteY68" fmla="*/ 108750 h 262500"/>
            <a:gd name="connsiteX69" fmla="*/ 71789 w 302269"/>
            <a:gd name="connsiteY69" fmla="*/ 236228 h 262500"/>
            <a:gd name="connsiteX70" fmla="*/ 64232 w 302269"/>
            <a:gd name="connsiteY70" fmla="*/ 243750 h 262500"/>
            <a:gd name="connsiteX71" fmla="*/ 7557 w 302269"/>
            <a:gd name="connsiteY71" fmla="*/ 243750 h 262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</a:cxnLst>
          <a:rect l="l" t="t" r="r" b="b"/>
          <a:pathLst>
            <a:path w="302269" h="262500">
              <a:moveTo>
                <a:pt x="79345" y="236250"/>
              </a:moveTo>
              <a:lnTo>
                <a:pt x="79345" y="232500"/>
              </a:lnTo>
              <a:lnTo>
                <a:pt x="94459" y="232500"/>
              </a:lnTo>
              <a:cubicBezTo>
                <a:pt x="121285" y="232500"/>
                <a:pt x="123174" y="262500"/>
                <a:pt x="173804" y="262500"/>
              </a:cubicBezTo>
              <a:lnTo>
                <a:pt x="241814" y="262500"/>
              </a:lnTo>
              <a:cubicBezTo>
                <a:pt x="254319" y="262463"/>
                <a:pt x="264447" y="252411"/>
                <a:pt x="264484" y="240000"/>
              </a:cubicBezTo>
              <a:cubicBezTo>
                <a:pt x="264571" y="234429"/>
                <a:pt x="262417" y="229054"/>
                <a:pt x="258499" y="225064"/>
              </a:cubicBezTo>
              <a:cubicBezTo>
                <a:pt x="258484" y="225049"/>
                <a:pt x="258485" y="225025"/>
                <a:pt x="258500" y="225011"/>
              </a:cubicBezTo>
              <a:cubicBezTo>
                <a:pt x="258507" y="225004"/>
                <a:pt x="258516" y="225000"/>
                <a:pt x="258526" y="225000"/>
              </a:cubicBezTo>
              <a:lnTo>
                <a:pt x="260706" y="225000"/>
              </a:lnTo>
              <a:cubicBezTo>
                <a:pt x="273211" y="224963"/>
                <a:pt x="283338" y="214911"/>
                <a:pt x="283376" y="202500"/>
              </a:cubicBezTo>
              <a:cubicBezTo>
                <a:pt x="283431" y="196632"/>
                <a:pt x="281136" y="190983"/>
                <a:pt x="276994" y="186795"/>
              </a:cubicBezTo>
              <a:cubicBezTo>
                <a:pt x="276978" y="186783"/>
                <a:pt x="276974" y="186759"/>
                <a:pt x="276987" y="186743"/>
              </a:cubicBezTo>
              <a:cubicBezTo>
                <a:pt x="276989" y="186740"/>
                <a:pt x="276991" y="186737"/>
                <a:pt x="276994" y="186735"/>
              </a:cubicBezTo>
              <a:cubicBezTo>
                <a:pt x="289160" y="184082"/>
                <a:pt x="296855" y="172143"/>
                <a:pt x="294182" y="160070"/>
              </a:cubicBezTo>
              <a:cubicBezTo>
                <a:pt x="293204" y="155651"/>
                <a:pt x="290900" y="151631"/>
                <a:pt x="287574" y="148538"/>
              </a:cubicBezTo>
              <a:cubicBezTo>
                <a:pt x="287558" y="148527"/>
                <a:pt x="287554" y="148506"/>
                <a:pt x="287564" y="148491"/>
              </a:cubicBezTo>
              <a:cubicBezTo>
                <a:pt x="287566" y="148487"/>
                <a:pt x="287570" y="148484"/>
                <a:pt x="287574" y="148481"/>
              </a:cubicBezTo>
              <a:cubicBezTo>
                <a:pt x="296479" y="145313"/>
                <a:pt x="302379" y="136888"/>
                <a:pt x="302268" y="127500"/>
              </a:cubicBezTo>
              <a:cubicBezTo>
                <a:pt x="302230" y="115089"/>
                <a:pt x="292102" y="105037"/>
                <a:pt x="279597" y="105000"/>
              </a:cubicBezTo>
              <a:lnTo>
                <a:pt x="207809" y="105000"/>
              </a:lnTo>
              <a:cubicBezTo>
                <a:pt x="201738" y="104895"/>
                <a:pt x="196785" y="100143"/>
                <a:pt x="196474" y="94125"/>
              </a:cubicBezTo>
              <a:cubicBezTo>
                <a:pt x="196852" y="87375"/>
                <a:pt x="207771" y="73920"/>
                <a:pt x="207809" y="22755"/>
              </a:cubicBezTo>
              <a:cubicBezTo>
                <a:pt x="207871" y="11067"/>
                <a:pt x="198962" y="1251"/>
                <a:pt x="187243" y="94"/>
              </a:cubicBezTo>
              <a:cubicBezTo>
                <a:pt x="186537" y="30"/>
                <a:pt x="185834" y="0"/>
                <a:pt x="185139" y="0"/>
              </a:cubicBezTo>
              <a:cubicBezTo>
                <a:pt x="172619" y="0"/>
                <a:pt x="162469" y="10074"/>
                <a:pt x="162469" y="22500"/>
              </a:cubicBezTo>
              <a:cubicBezTo>
                <a:pt x="162469" y="68850"/>
                <a:pt x="118262" y="98835"/>
                <a:pt x="101112" y="108825"/>
              </a:cubicBezTo>
              <a:cubicBezTo>
                <a:pt x="96971" y="111236"/>
                <a:pt x="92255" y="112505"/>
                <a:pt x="87454" y="112500"/>
              </a:cubicBezTo>
              <a:lnTo>
                <a:pt x="79345" y="112500"/>
              </a:lnTo>
              <a:lnTo>
                <a:pt x="79345" y="108750"/>
              </a:lnTo>
              <a:cubicBezTo>
                <a:pt x="79318" y="100477"/>
                <a:pt x="72568" y="93777"/>
                <a:pt x="64232" y="93750"/>
              </a:cubicBezTo>
              <a:lnTo>
                <a:pt x="0" y="93750"/>
              </a:lnTo>
              <a:lnTo>
                <a:pt x="0" y="251250"/>
              </a:lnTo>
              <a:lnTo>
                <a:pt x="64232" y="251250"/>
              </a:lnTo>
              <a:cubicBezTo>
                <a:pt x="72568" y="251223"/>
                <a:pt x="79318" y="244523"/>
                <a:pt x="79345" y="236250"/>
              </a:cubicBezTo>
              <a:close/>
              <a:moveTo>
                <a:pt x="87454" y="120000"/>
              </a:moveTo>
              <a:cubicBezTo>
                <a:pt x="93610" y="120002"/>
                <a:pt x="99656" y="118371"/>
                <a:pt x="104966" y="115279"/>
              </a:cubicBezTo>
              <a:cubicBezTo>
                <a:pt x="124527" y="103875"/>
                <a:pt x="170025" y="72000"/>
                <a:pt x="170025" y="22500"/>
              </a:cubicBezTo>
              <a:cubicBezTo>
                <a:pt x="170025" y="14216"/>
                <a:pt x="176792" y="7500"/>
                <a:pt x="185139" y="7500"/>
              </a:cubicBezTo>
              <a:cubicBezTo>
                <a:pt x="193486" y="7485"/>
                <a:pt x="200265" y="14188"/>
                <a:pt x="200280" y="22473"/>
              </a:cubicBezTo>
              <a:cubicBezTo>
                <a:pt x="200281" y="22784"/>
                <a:pt x="200271" y="23096"/>
                <a:pt x="200252" y="23408"/>
              </a:cubicBezTo>
              <a:cubicBezTo>
                <a:pt x="200158" y="60000"/>
                <a:pt x="194384" y="76144"/>
                <a:pt x="191282" y="84806"/>
              </a:cubicBezTo>
              <a:cubicBezTo>
                <a:pt x="190069" y="87646"/>
                <a:pt x="189272" y="90644"/>
                <a:pt x="188917" y="93709"/>
              </a:cubicBezTo>
              <a:cubicBezTo>
                <a:pt x="188902" y="93976"/>
                <a:pt x="188902" y="94244"/>
                <a:pt x="188917" y="94511"/>
              </a:cubicBezTo>
              <a:cubicBezTo>
                <a:pt x="189479" y="104500"/>
                <a:pt x="197730" y="112356"/>
                <a:pt x="207809" y="112500"/>
              </a:cubicBezTo>
              <a:lnTo>
                <a:pt x="279575" y="112500"/>
              </a:lnTo>
              <a:cubicBezTo>
                <a:pt x="287938" y="112554"/>
                <a:pt x="294695" y="119289"/>
                <a:pt x="294711" y="127590"/>
              </a:cubicBezTo>
              <a:cubicBezTo>
                <a:pt x="294787" y="133791"/>
                <a:pt x="290883" y="139355"/>
                <a:pt x="284997" y="141435"/>
              </a:cubicBezTo>
              <a:cubicBezTo>
                <a:pt x="281066" y="142826"/>
                <a:pt x="279015" y="147116"/>
                <a:pt x="280416" y="151018"/>
              </a:cubicBezTo>
              <a:cubicBezTo>
                <a:pt x="280822" y="152150"/>
                <a:pt x="281497" y="153167"/>
                <a:pt x="282382" y="153986"/>
              </a:cubicBezTo>
              <a:cubicBezTo>
                <a:pt x="285736" y="157086"/>
                <a:pt x="287491" y="161529"/>
                <a:pt x="287154" y="166065"/>
              </a:cubicBezTo>
              <a:cubicBezTo>
                <a:pt x="286425" y="172669"/>
                <a:pt x="281536" y="178077"/>
                <a:pt x="274999" y="179509"/>
              </a:cubicBezTo>
              <a:cubicBezTo>
                <a:pt x="270971" y="180591"/>
                <a:pt x="268590" y="184710"/>
                <a:pt x="269681" y="188709"/>
              </a:cubicBezTo>
              <a:cubicBezTo>
                <a:pt x="270022" y="189958"/>
                <a:pt x="270682" y="191098"/>
                <a:pt x="271599" y="192019"/>
              </a:cubicBezTo>
              <a:cubicBezTo>
                <a:pt x="274345" y="194813"/>
                <a:pt x="275863" y="198574"/>
                <a:pt x="275819" y="202478"/>
              </a:cubicBezTo>
              <a:cubicBezTo>
                <a:pt x="275776" y="210748"/>
                <a:pt x="269038" y="217445"/>
                <a:pt x="260706" y="217500"/>
              </a:cubicBezTo>
              <a:lnTo>
                <a:pt x="258439" y="217500"/>
              </a:lnTo>
              <a:cubicBezTo>
                <a:pt x="254265" y="217503"/>
                <a:pt x="250884" y="220863"/>
                <a:pt x="250887" y="225005"/>
              </a:cubicBezTo>
              <a:cubicBezTo>
                <a:pt x="250888" y="226966"/>
                <a:pt x="251664" y="228849"/>
                <a:pt x="253047" y="230250"/>
              </a:cubicBezTo>
              <a:cubicBezTo>
                <a:pt x="255599" y="232848"/>
                <a:pt x="256996" y="236351"/>
                <a:pt x="256927" y="239978"/>
              </a:cubicBezTo>
              <a:cubicBezTo>
                <a:pt x="256884" y="248247"/>
                <a:pt x="250146" y="254945"/>
                <a:pt x="241814" y="255000"/>
              </a:cubicBezTo>
              <a:lnTo>
                <a:pt x="173804" y="255000"/>
              </a:lnTo>
              <a:cubicBezTo>
                <a:pt x="147102" y="255000"/>
                <a:pt x="135990" y="246375"/>
                <a:pt x="125241" y="238073"/>
              </a:cubicBezTo>
              <a:cubicBezTo>
                <a:pt x="116940" y="231645"/>
                <a:pt x="108359" y="225000"/>
                <a:pt x="94459" y="225000"/>
              </a:cubicBezTo>
              <a:lnTo>
                <a:pt x="79345" y="225000"/>
              </a:lnTo>
              <a:lnTo>
                <a:pt x="79345" y="120000"/>
              </a:lnTo>
              <a:close/>
              <a:moveTo>
                <a:pt x="7557" y="101250"/>
              </a:moveTo>
              <a:lnTo>
                <a:pt x="64232" y="101250"/>
              </a:lnTo>
              <a:cubicBezTo>
                <a:pt x="68391" y="101283"/>
                <a:pt x="71756" y="104622"/>
                <a:pt x="71789" y="108750"/>
              </a:cubicBezTo>
              <a:lnTo>
                <a:pt x="71789" y="236228"/>
              </a:lnTo>
              <a:cubicBezTo>
                <a:pt x="71770" y="240366"/>
                <a:pt x="68401" y="243719"/>
                <a:pt x="64232" y="243750"/>
              </a:cubicBezTo>
              <a:lnTo>
                <a:pt x="7557" y="243750"/>
              </a:ln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8</xdr:col>
      <xdr:colOff>159239</xdr:colOff>
      <xdr:row>8</xdr:row>
      <xdr:rowOff>153246</xdr:rowOff>
    </xdr:from>
    <xdr:to>
      <xdr:col>8</xdr:col>
      <xdr:colOff>419928</xdr:colOff>
      <xdr:row>8</xdr:row>
      <xdr:rowOff>411996</xdr:rowOff>
    </xdr:to>
    <xdr:sp macro="" textlink="">
      <xdr:nvSpPr>
        <xdr:cNvPr id="280" name="leaf" descr="Leaf outline">
          <a:extLst>
            <a:ext uri="{FF2B5EF4-FFF2-40B4-BE49-F238E27FC236}">
              <a16:creationId xmlns:a16="http://schemas.microsoft.com/office/drawing/2014/main" id="{692467CB-7A34-4D76-AF70-E4ADC78E5566}"/>
            </a:ext>
          </a:extLst>
        </xdr:cNvPr>
        <xdr:cNvSpPr>
          <a:spLocks noChangeAspect="1"/>
        </xdr:cNvSpPr>
      </xdr:nvSpPr>
      <xdr:spPr>
        <a:xfrm>
          <a:off x="6607664" y="2877396"/>
          <a:ext cx="260689" cy="258750"/>
        </a:xfrm>
        <a:custGeom>
          <a:avLst/>
          <a:gdLst>
            <a:gd name="connsiteX0" fmla="*/ 123725 w 260689"/>
            <a:gd name="connsiteY0" fmla="*/ 23359 h 258750"/>
            <a:gd name="connsiteX1" fmla="*/ 119085 w 260689"/>
            <a:gd name="connsiteY1" fmla="*/ 23299 h 258750"/>
            <a:gd name="connsiteX2" fmla="*/ 14803 w 260689"/>
            <a:gd name="connsiteY2" fmla="*/ 131048 h 258750"/>
            <a:gd name="connsiteX3" fmla="*/ 20092 w 260689"/>
            <a:gd name="connsiteY3" fmla="*/ 164663 h 258750"/>
            <a:gd name="connsiteX4" fmla="*/ 35096 w 260689"/>
            <a:gd name="connsiteY4" fmla="*/ 192439 h 258750"/>
            <a:gd name="connsiteX5" fmla="*/ 29 w 260689"/>
            <a:gd name="connsiteY5" fmla="*/ 254535 h 258750"/>
            <a:gd name="connsiteX6" fmla="*/ 3309 w 260689"/>
            <a:gd name="connsiteY6" fmla="*/ 258720 h 258750"/>
            <a:gd name="connsiteX7" fmla="*/ 3762 w 260689"/>
            <a:gd name="connsiteY7" fmla="*/ 258750 h 258750"/>
            <a:gd name="connsiteX8" fmla="*/ 7507 w 260689"/>
            <a:gd name="connsiteY8" fmla="*/ 255465 h 258750"/>
            <a:gd name="connsiteX9" fmla="*/ 39815 w 260689"/>
            <a:gd name="connsiteY9" fmla="*/ 198634 h 258750"/>
            <a:gd name="connsiteX10" fmla="*/ 40888 w 260689"/>
            <a:gd name="connsiteY10" fmla="*/ 200036 h 258750"/>
            <a:gd name="connsiteX11" fmla="*/ 100412 w 260689"/>
            <a:gd name="connsiteY11" fmla="*/ 237652 h 258750"/>
            <a:gd name="connsiteX12" fmla="*/ 118824 w 260689"/>
            <a:gd name="connsiteY12" fmla="*/ 239336 h 258750"/>
            <a:gd name="connsiteX13" fmla="*/ 119459 w 260689"/>
            <a:gd name="connsiteY13" fmla="*/ 239336 h 258750"/>
            <a:gd name="connsiteX14" fmla="*/ 170845 w 260689"/>
            <a:gd name="connsiteY14" fmla="*/ 225124 h 258750"/>
            <a:gd name="connsiteX15" fmla="*/ 260690 w 260689"/>
            <a:gd name="connsiteY15" fmla="*/ 0 h 258750"/>
            <a:gd name="connsiteX16" fmla="*/ 123725 w 260689"/>
            <a:gd name="connsiteY16" fmla="*/ 23359 h 258750"/>
            <a:gd name="connsiteX17" fmla="*/ 166949 w 260689"/>
            <a:gd name="connsiteY17" fmla="*/ 218704 h 258750"/>
            <a:gd name="connsiteX18" fmla="*/ 119459 w 260689"/>
            <a:gd name="connsiteY18" fmla="*/ 231829 h 258750"/>
            <a:gd name="connsiteX19" fmla="*/ 118824 w 260689"/>
            <a:gd name="connsiteY19" fmla="*/ 231829 h 258750"/>
            <a:gd name="connsiteX20" fmla="*/ 101792 w 260689"/>
            <a:gd name="connsiteY20" fmla="*/ 230273 h 258750"/>
            <a:gd name="connsiteX21" fmla="*/ 46907 w 260689"/>
            <a:gd name="connsiteY21" fmla="*/ 195491 h 258750"/>
            <a:gd name="connsiteX22" fmla="*/ 44935 w 260689"/>
            <a:gd name="connsiteY22" fmla="*/ 192915 h 258750"/>
            <a:gd name="connsiteX23" fmla="*/ 149436 w 260689"/>
            <a:gd name="connsiteY23" fmla="*/ 108120 h 258750"/>
            <a:gd name="connsiteX24" fmla="*/ 150483 w 260689"/>
            <a:gd name="connsiteY24" fmla="*/ 102919 h 258750"/>
            <a:gd name="connsiteX25" fmla="*/ 145243 w 260689"/>
            <a:gd name="connsiteY25" fmla="*/ 101880 h 258750"/>
            <a:gd name="connsiteX26" fmla="*/ 40269 w 260689"/>
            <a:gd name="connsiteY26" fmla="*/ 186750 h 258750"/>
            <a:gd name="connsiteX27" fmla="*/ 27279 w 260689"/>
            <a:gd name="connsiteY27" fmla="*/ 162375 h 258750"/>
            <a:gd name="connsiteX28" fmla="*/ 22367 w 260689"/>
            <a:gd name="connsiteY28" fmla="*/ 130875 h 258750"/>
            <a:gd name="connsiteX29" fmla="*/ 119093 w 260689"/>
            <a:gd name="connsiteY29" fmla="*/ 30780 h 258750"/>
            <a:gd name="connsiteX30" fmla="*/ 123751 w 260689"/>
            <a:gd name="connsiteY30" fmla="*/ 30836 h 258750"/>
            <a:gd name="connsiteX31" fmla="*/ 253114 w 260689"/>
            <a:gd name="connsiteY31" fmla="*/ 9814 h 258750"/>
            <a:gd name="connsiteX32" fmla="*/ 166949 w 260689"/>
            <a:gd name="connsiteY32" fmla="*/ 218704 h 258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260689" h="258750">
              <a:moveTo>
                <a:pt x="123725" y="23359"/>
              </a:moveTo>
              <a:cubicBezTo>
                <a:pt x="122157" y="23359"/>
                <a:pt x="120604" y="23359"/>
                <a:pt x="119085" y="23299"/>
              </a:cubicBezTo>
              <a:cubicBezTo>
                <a:pt x="60315" y="24484"/>
                <a:pt x="13633" y="72717"/>
                <a:pt x="14803" y="131048"/>
              </a:cubicBezTo>
              <a:cubicBezTo>
                <a:pt x="14819" y="142455"/>
                <a:pt x="16603" y="153793"/>
                <a:pt x="20092" y="164663"/>
              </a:cubicBezTo>
              <a:cubicBezTo>
                <a:pt x="23468" y="174700"/>
                <a:pt x="28542" y="184093"/>
                <a:pt x="35096" y="192439"/>
              </a:cubicBezTo>
              <a:cubicBezTo>
                <a:pt x="7835" y="223241"/>
                <a:pt x="1337" y="244140"/>
                <a:pt x="29" y="254535"/>
              </a:cubicBezTo>
              <a:cubicBezTo>
                <a:pt x="-229" y="256589"/>
                <a:pt x="1239" y="258463"/>
                <a:pt x="3309" y="258720"/>
              </a:cubicBezTo>
              <a:cubicBezTo>
                <a:pt x="3459" y="258740"/>
                <a:pt x="3611" y="258750"/>
                <a:pt x="3762" y="258750"/>
              </a:cubicBezTo>
              <a:cubicBezTo>
                <a:pt x="5666" y="258747"/>
                <a:pt x="7271" y="257340"/>
                <a:pt x="7507" y="255465"/>
              </a:cubicBezTo>
              <a:cubicBezTo>
                <a:pt x="8470" y="247830"/>
                <a:pt x="13692" y="228544"/>
                <a:pt x="39815" y="198634"/>
              </a:cubicBezTo>
              <a:lnTo>
                <a:pt x="40888" y="200036"/>
              </a:lnTo>
              <a:cubicBezTo>
                <a:pt x="55344" y="219467"/>
                <a:pt x="76558" y="232873"/>
                <a:pt x="100412" y="237652"/>
              </a:cubicBezTo>
              <a:cubicBezTo>
                <a:pt x="106485" y="238773"/>
                <a:pt x="112648" y="239337"/>
                <a:pt x="118824" y="239336"/>
              </a:cubicBezTo>
              <a:lnTo>
                <a:pt x="119459" y="239336"/>
              </a:lnTo>
              <a:cubicBezTo>
                <a:pt x="137572" y="239334"/>
                <a:pt x="155341" y="234420"/>
                <a:pt x="170845" y="225124"/>
              </a:cubicBezTo>
              <a:cubicBezTo>
                <a:pt x="250647" y="179250"/>
                <a:pt x="260690" y="94819"/>
                <a:pt x="260690" y="0"/>
              </a:cubicBezTo>
              <a:cubicBezTo>
                <a:pt x="260690" y="0"/>
                <a:pt x="178605" y="23359"/>
                <a:pt x="123725" y="23359"/>
              </a:cubicBezTo>
              <a:close/>
              <a:moveTo>
                <a:pt x="166949" y="218704"/>
              </a:moveTo>
              <a:cubicBezTo>
                <a:pt x="152620" y="227292"/>
                <a:pt x="136198" y="231831"/>
                <a:pt x="119459" y="231829"/>
              </a:cubicBezTo>
              <a:lnTo>
                <a:pt x="118824" y="231829"/>
              </a:lnTo>
              <a:cubicBezTo>
                <a:pt x="113111" y="231827"/>
                <a:pt x="107410" y="231306"/>
                <a:pt x="101792" y="230273"/>
              </a:cubicBezTo>
              <a:cubicBezTo>
                <a:pt x="79774" y="225859"/>
                <a:pt x="60205" y="213458"/>
                <a:pt x="46907" y="195491"/>
              </a:cubicBezTo>
              <a:lnTo>
                <a:pt x="44935" y="192915"/>
              </a:lnTo>
              <a:cubicBezTo>
                <a:pt x="65935" y="170145"/>
                <a:pt x="98599" y="141750"/>
                <a:pt x="149436" y="108120"/>
              </a:cubicBezTo>
              <a:cubicBezTo>
                <a:pt x="151173" y="106971"/>
                <a:pt x="151641" y="104642"/>
                <a:pt x="150483" y="102919"/>
              </a:cubicBezTo>
              <a:cubicBezTo>
                <a:pt x="149325" y="101196"/>
                <a:pt x="146979" y="100731"/>
                <a:pt x="145243" y="101880"/>
              </a:cubicBezTo>
              <a:cubicBezTo>
                <a:pt x="94896" y="135191"/>
                <a:pt x="61885" y="163549"/>
                <a:pt x="40269" y="186750"/>
              </a:cubicBezTo>
              <a:cubicBezTo>
                <a:pt x="34630" y="179381"/>
                <a:pt x="30243" y="171148"/>
                <a:pt x="27279" y="162375"/>
              </a:cubicBezTo>
              <a:cubicBezTo>
                <a:pt x="24016" y="152189"/>
                <a:pt x="22359" y="141563"/>
                <a:pt x="22367" y="130875"/>
              </a:cubicBezTo>
              <a:cubicBezTo>
                <a:pt x="21342" y="76769"/>
                <a:pt x="64582" y="32022"/>
                <a:pt x="119093" y="30780"/>
              </a:cubicBezTo>
              <a:cubicBezTo>
                <a:pt x="120604" y="30817"/>
                <a:pt x="122180" y="30836"/>
                <a:pt x="123751" y="30836"/>
              </a:cubicBezTo>
              <a:cubicBezTo>
                <a:pt x="168476" y="30836"/>
                <a:pt x="229575" y="16001"/>
                <a:pt x="253114" y="9814"/>
              </a:cubicBezTo>
              <a:cubicBezTo>
                <a:pt x="252162" y="109043"/>
                <a:pt x="236463" y="178751"/>
                <a:pt x="166949" y="218704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10</xdr:col>
      <xdr:colOff>141938</xdr:colOff>
      <xdr:row>5</xdr:row>
      <xdr:rowOff>150748</xdr:rowOff>
    </xdr:from>
    <xdr:to>
      <xdr:col>10</xdr:col>
      <xdr:colOff>451043</xdr:colOff>
      <xdr:row>5</xdr:row>
      <xdr:rowOff>433962</xdr:rowOff>
    </xdr:to>
    <xdr:grpSp>
      <xdr:nvGrpSpPr>
        <xdr:cNvPr id="281" name="partially_sunny" descr="Partial sun outline">
          <a:extLst>
            <a:ext uri="{FF2B5EF4-FFF2-40B4-BE49-F238E27FC236}">
              <a16:creationId xmlns:a16="http://schemas.microsoft.com/office/drawing/2014/main" id="{16A06A3F-28B2-47C4-8A18-0C4817225B9C}"/>
            </a:ext>
          </a:extLst>
        </xdr:cNvPr>
        <xdr:cNvGrpSpPr>
          <a:grpSpLocks noChangeAspect="1"/>
        </xdr:cNvGrpSpPr>
      </xdr:nvGrpSpPr>
      <xdr:grpSpPr>
        <a:xfrm>
          <a:off x="9152588" y="1160398"/>
          <a:ext cx="309105" cy="283214"/>
          <a:chOff x="10480835" y="6745039"/>
          <a:chExt cx="309105" cy="283214"/>
        </a:xfrm>
        <a:solidFill>
          <a:srgbClr val="1F4E78"/>
        </a:solidFill>
      </xdr:grpSpPr>
      <xdr:sp macro="" textlink="">
        <xdr:nvSpPr>
          <xdr:cNvPr id="282" name="Freeform: Shape 281">
            <a:extLst>
              <a:ext uri="{FF2B5EF4-FFF2-40B4-BE49-F238E27FC236}">
                <a16:creationId xmlns:a16="http://schemas.microsoft.com/office/drawing/2014/main" id="{0860232D-A964-40D4-9628-86AE4A54E6C2}"/>
              </a:ext>
            </a:extLst>
          </xdr:cNvPr>
          <xdr:cNvSpPr/>
        </xdr:nvSpPr>
        <xdr:spPr>
          <a:xfrm>
            <a:off x="10673691" y="6745039"/>
            <a:ext cx="7500" cy="41250"/>
          </a:xfrm>
          <a:custGeom>
            <a:avLst/>
            <a:gdLst>
              <a:gd name="connsiteX0" fmla="*/ 0 w 7500"/>
              <a:gd name="connsiteY0" fmla="*/ 0 h 41250"/>
              <a:gd name="connsiteX1" fmla="*/ 7500 w 7500"/>
              <a:gd name="connsiteY1" fmla="*/ 0 h 41250"/>
              <a:gd name="connsiteX2" fmla="*/ 7500 w 7500"/>
              <a:gd name="connsiteY2" fmla="*/ 41250 h 41250"/>
              <a:gd name="connsiteX3" fmla="*/ 0 w 7500"/>
              <a:gd name="connsiteY3" fmla="*/ 41250 h 4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500" h="41250">
                <a:moveTo>
                  <a:pt x="0" y="0"/>
                </a:moveTo>
                <a:lnTo>
                  <a:pt x="7500" y="0"/>
                </a:lnTo>
                <a:lnTo>
                  <a:pt x="7500" y="41250"/>
                </a:lnTo>
                <a:lnTo>
                  <a:pt x="0" y="41250"/>
                </a:ln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83" name="Freeform: Shape 282">
            <a:extLst>
              <a:ext uri="{FF2B5EF4-FFF2-40B4-BE49-F238E27FC236}">
                <a16:creationId xmlns:a16="http://schemas.microsoft.com/office/drawing/2014/main" id="{91EAE498-8CA0-408C-B68E-D45B0AC9FFED}"/>
              </a:ext>
            </a:extLst>
          </xdr:cNvPr>
          <xdr:cNvSpPr/>
        </xdr:nvSpPr>
        <xdr:spPr>
          <a:xfrm>
            <a:off x="10748691" y="6853789"/>
            <a:ext cx="41250" cy="7500"/>
          </a:xfrm>
          <a:custGeom>
            <a:avLst/>
            <a:gdLst>
              <a:gd name="connsiteX0" fmla="*/ 0 w 41250"/>
              <a:gd name="connsiteY0" fmla="*/ 0 h 7500"/>
              <a:gd name="connsiteX1" fmla="*/ 41250 w 41250"/>
              <a:gd name="connsiteY1" fmla="*/ 0 h 7500"/>
              <a:gd name="connsiteX2" fmla="*/ 41250 w 41250"/>
              <a:gd name="connsiteY2" fmla="*/ 7500 h 7500"/>
              <a:gd name="connsiteX3" fmla="*/ 0 w 41250"/>
              <a:gd name="connsiteY3" fmla="*/ 7500 h 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1250" h="7500">
                <a:moveTo>
                  <a:pt x="0" y="0"/>
                </a:moveTo>
                <a:lnTo>
                  <a:pt x="41250" y="0"/>
                </a:lnTo>
                <a:lnTo>
                  <a:pt x="41250" y="7500"/>
                </a:lnTo>
                <a:lnTo>
                  <a:pt x="0" y="7500"/>
                </a:ln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84" name="Freeform: Shape 283">
            <a:extLst>
              <a:ext uri="{FF2B5EF4-FFF2-40B4-BE49-F238E27FC236}">
                <a16:creationId xmlns:a16="http://schemas.microsoft.com/office/drawing/2014/main" id="{98924B34-7570-4911-866B-F10E838AE4A6}"/>
              </a:ext>
            </a:extLst>
          </xdr:cNvPr>
          <xdr:cNvSpPr/>
        </xdr:nvSpPr>
        <xdr:spPr>
          <a:xfrm>
            <a:off x="10564941" y="6853789"/>
            <a:ext cx="41250" cy="7500"/>
          </a:xfrm>
          <a:custGeom>
            <a:avLst/>
            <a:gdLst>
              <a:gd name="connsiteX0" fmla="*/ 0 w 41250"/>
              <a:gd name="connsiteY0" fmla="*/ 0 h 7500"/>
              <a:gd name="connsiteX1" fmla="*/ 41250 w 41250"/>
              <a:gd name="connsiteY1" fmla="*/ 0 h 7500"/>
              <a:gd name="connsiteX2" fmla="*/ 41250 w 41250"/>
              <a:gd name="connsiteY2" fmla="*/ 7500 h 7500"/>
              <a:gd name="connsiteX3" fmla="*/ 0 w 41250"/>
              <a:gd name="connsiteY3" fmla="*/ 7500 h 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1250" h="7500">
                <a:moveTo>
                  <a:pt x="0" y="0"/>
                </a:moveTo>
                <a:lnTo>
                  <a:pt x="41250" y="0"/>
                </a:lnTo>
                <a:lnTo>
                  <a:pt x="41250" y="7500"/>
                </a:lnTo>
                <a:lnTo>
                  <a:pt x="0" y="7500"/>
                </a:ln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85" name="Freeform: Shape 284">
            <a:extLst>
              <a:ext uri="{FF2B5EF4-FFF2-40B4-BE49-F238E27FC236}">
                <a16:creationId xmlns:a16="http://schemas.microsoft.com/office/drawing/2014/main" id="{F06A3828-236C-4ADE-B77B-B0AAD2F69AB2}"/>
              </a:ext>
            </a:extLst>
          </xdr:cNvPr>
          <xdr:cNvSpPr/>
        </xdr:nvSpPr>
        <xdr:spPr>
          <a:xfrm rot="-2700000">
            <a:off x="10738657" y="6901877"/>
            <a:ext cx="7499" cy="41250"/>
          </a:xfrm>
          <a:custGeom>
            <a:avLst/>
            <a:gdLst>
              <a:gd name="connsiteX0" fmla="*/ 0 w 7499"/>
              <a:gd name="connsiteY0" fmla="*/ 0 h 41250"/>
              <a:gd name="connsiteX1" fmla="*/ 7499 w 7499"/>
              <a:gd name="connsiteY1" fmla="*/ 0 h 41250"/>
              <a:gd name="connsiteX2" fmla="*/ 7499 w 7499"/>
              <a:gd name="connsiteY2" fmla="*/ 41251 h 41250"/>
              <a:gd name="connsiteX3" fmla="*/ 0 w 7499"/>
              <a:gd name="connsiteY3" fmla="*/ 41251 h 4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499" h="41250">
                <a:moveTo>
                  <a:pt x="0" y="0"/>
                </a:moveTo>
                <a:lnTo>
                  <a:pt x="7499" y="0"/>
                </a:lnTo>
                <a:lnTo>
                  <a:pt x="7499" y="41251"/>
                </a:lnTo>
                <a:lnTo>
                  <a:pt x="0" y="41251"/>
                </a:ln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86" name="Freeform: Shape 285">
            <a:extLst>
              <a:ext uri="{FF2B5EF4-FFF2-40B4-BE49-F238E27FC236}">
                <a16:creationId xmlns:a16="http://schemas.microsoft.com/office/drawing/2014/main" id="{B66A2300-44BA-4220-9965-7A93E57D5273}"/>
              </a:ext>
            </a:extLst>
          </xdr:cNvPr>
          <xdr:cNvSpPr/>
        </xdr:nvSpPr>
        <xdr:spPr>
          <a:xfrm rot="-2700000">
            <a:off x="10608725" y="6771949"/>
            <a:ext cx="7499" cy="41250"/>
          </a:xfrm>
          <a:custGeom>
            <a:avLst/>
            <a:gdLst>
              <a:gd name="connsiteX0" fmla="*/ 0 w 7499"/>
              <a:gd name="connsiteY0" fmla="*/ 0 h 41250"/>
              <a:gd name="connsiteX1" fmla="*/ 7499 w 7499"/>
              <a:gd name="connsiteY1" fmla="*/ 0 h 41250"/>
              <a:gd name="connsiteX2" fmla="*/ 7499 w 7499"/>
              <a:gd name="connsiteY2" fmla="*/ 41251 h 41250"/>
              <a:gd name="connsiteX3" fmla="*/ 0 w 7499"/>
              <a:gd name="connsiteY3" fmla="*/ 41251 h 4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499" h="41250">
                <a:moveTo>
                  <a:pt x="0" y="0"/>
                </a:moveTo>
                <a:lnTo>
                  <a:pt x="7499" y="0"/>
                </a:lnTo>
                <a:lnTo>
                  <a:pt x="7499" y="41251"/>
                </a:lnTo>
                <a:lnTo>
                  <a:pt x="0" y="41251"/>
                </a:ln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87" name="Freeform: Shape 286">
            <a:extLst>
              <a:ext uri="{FF2B5EF4-FFF2-40B4-BE49-F238E27FC236}">
                <a16:creationId xmlns:a16="http://schemas.microsoft.com/office/drawing/2014/main" id="{7CC6C6A3-1E16-4247-B1E6-E2DBA77A90AA}"/>
              </a:ext>
            </a:extLst>
          </xdr:cNvPr>
          <xdr:cNvSpPr/>
        </xdr:nvSpPr>
        <xdr:spPr>
          <a:xfrm rot="-2700000">
            <a:off x="10721781" y="6788825"/>
            <a:ext cx="41250" cy="7499"/>
          </a:xfrm>
          <a:custGeom>
            <a:avLst/>
            <a:gdLst>
              <a:gd name="connsiteX0" fmla="*/ 0 w 41250"/>
              <a:gd name="connsiteY0" fmla="*/ 0 h 7499"/>
              <a:gd name="connsiteX1" fmla="*/ 41251 w 41250"/>
              <a:gd name="connsiteY1" fmla="*/ 0 h 7499"/>
              <a:gd name="connsiteX2" fmla="*/ 41251 w 41250"/>
              <a:gd name="connsiteY2" fmla="*/ 7499 h 7499"/>
              <a:gd name="connsiteX3" fmla="*/ 0 w 41250"/>
              <a:gd name="connsiteY3" fmla="*/ 7499 h 74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1250" h="7499">
                <a:moveTo>
                  <a:pt x="0" y="0"/>
                </a:moveTo>
                <a:lnTo>
                  <a:pt x="41251" y="0"/>
                </a:lnTo>
                <a:lnTo>
                  <a:pt x="41251" y="7499"/>
                </a:lnTo>
                <a:lnTo>
                  <a:pt x="0" y="7499"/>
                </a:ln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88" name="Freeform: Shape 287">
            <a:extLst>
              <a:ext uri="{FF2B5EF4-FFF2-40B4-BE49-F238E27FC236}">
                <a16:creationId xmlns:a16="http://schemas.microsoft.com/office/drawing/2014/main" id="{A13B281F-FCBE-496B-9CC8-2D676D91F590}"/>
              </a:ext>
            </a:extLst>
          </xdr:cNvPr>
          <xdr:cNvSpPr/>
        </xdr:nvSpPr>
        <xdr:spPr>
          <a:xfrm>
            <a:off x="10621191" y="6801287"/>
            <a:ext cx="112514" cy="109317"/>
          </a:xfrm>
          <a:custGeom>
            <a:avLst/>
            <a:gdLst>
              <a:gd name="connsiteX0" fmla="*/ 54519 w 112514"/>
              <a:gd name="connsiteY0" fmla="*/ 28 h 109317"/>
              <a:gd name="connsiteX1" fmla="*/ 130 w 112514"/>
              <a:gd name="connsiteY1" fmla="*/ 52419 h 109317"/>
              <a:gd name="connsiteX2" fmla="*/ 2734 w 112514"/>
              <a:gd name="connsiteY2" fmla="*/ 73541 h 109317"/>
              <a:gd name="connsiteX3" fmla="*/ 14382 w 112514"/>
              <a:gd name="connsiteY3" fmla="*/ 81216 h 109317"/>
              <a:gd name="connsiteX4" fmla="*/ 14430 w 112514"/>
              <a:gd name="connsiteY4" fmla="*/ 81175 h 109317"/>
              <a:gd name="connsiteX5" fmla="*/ 7948 w 112514"/>
              <a:gd name="connsiteY5" fmla="*/ 49627 h 109317"/>
              <a:gd name="connsiteX6" fmla="*/ 62824 w 112514"/>
              <a:gd name="connsiteY6" fmla="*/ 7893 h 109317"/>
              <a:gd name="connsiteX7" fmla="*/ 104558 w 112514"/>
              <a:gd name="connsiteY7" fmla="*/ 62770 h 109317"/>
              <a:gd name="connsiteX8" fmla="*/ 67832 w 112514"/>
              <a:gd name="connsiteY8" fmla="*/ 103554 h 109317"/>
              <a:gd name="connsiteX9" fmla="*/ 74766 w 112514"/>
              <a:gd name="connsiteY9" fmla="*/ 109318 h 109317"/>
              <a:gd name="connsiteX10" fmla="*/ 109372 w 112514"/>
              <a:gd name="connsiteY10" fmla="*/ 37734 h 109317"/>
              <a:gd name="connsiteX11" fmla="*/ 54519 w 112514"/>
              <a:gd name="connsiteY11" fmla="*/ 28 h 10931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112514" h="109317">
                <a:moveTo>
                  <a:pt x="54519" y="28"/>
                </a:moveTo>
                <a:cubicBezTo>
                  <a:pt x="25710" y="1131"/>
                  <a:pt x="2311" y="23671"/>
                  <a:pt x="130" y="52419"/>
                </a:cubicBezTo>
                <a:cubicBezTo>
                  <a:pt x="-357" y="59561"/>
                  <a:pt x="526" y="66731"/>
                  <a:pt x="2734" y="73541"/>
                </a:cubicBezTo>
                <a:cubicBezTo>
                  <a:pt x="6865" y="75701"/>
                  <a:pt x="10767" y="78272"/>
                  <a:pt x="14382" y="81216"/>
                </a:cubicBezTo>
                <a:cubicBezTo>
                  <a:pt x="14460" y="81280"/>
                  <a:pt x="14482" y="81262"/>
                  <a:pt x="14430" y="81175"/>
                </a:cubicBezTo>
                <a:cubicBezTo>
                  <a:pt x="8729" y="71708"/>
                  <a:pt x="6441" y="60575"/>
                  <a:pt x="7948" y="49627"/>
                </a:cubicBezTo>
                <a:cubicBezTo>
                  <a:pt x="11577" y="22949"/>
                  <a:pt x="36146" y="4264"/>
                  <a:pt x="62824" y="7893"/>
                </a:cubicBezTo>
                <a:cubicBezTo>
                  <a:pt x="89502" y="11523"/>
                  <a:pt x="108187" y="36091"/>
                  <a:pt x="104558" y="62770"/>
                </a:cubicBezTo>
                <a:cubicBezTo>
                  <a:pt x="101858" y="82619"/>
                  <a:pt x="87291" y="98796"/>
                  <a:pt x="67832" y="103554"/>
                </a:cubicBezTo>
                <a:cubicBezTo>
                  <a:pt x="70291" y="105289"/>
                  <a:pt x="72610" y="107217"/>
                  <a:pt x="74766" y="109318"/>
                </a:cubicBezTo>
                <a:cubicBezTo>
                  <a:pt x="104089" y="99106"/>
                  <a:pt x="119583" y="67057"/>
                  <a:pt x="109372" y="37734"/>
                </a:cubicBezTo>
                <a:cubicBezTo>
                  <a:pt x="101292" y="14529"/>
                  <a:pt x="79079" y="-741"/>
                  <a:pt x="54519" y="28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89" name="Freeform: Shape 288">
            <a:extLst>
              <a:ext uri="{FF2B5EF4-FFF2-40B4-BE49-F238E27FC236}">
                <a16:creationId xmlns:a16="http://schemas.microsoft.com/office/drawing/2014/main" id="{432D6D72-7217-4242-9B9A-DE1C21FF41E9}"/>
              </a:ext>
            </a:extLst>
          </xdr:cNvPr>
          <xdr:cNvSpPr/>
        </xdr:nvSpPr>
        <xdr:spPr>
          <a:xfrm>
            <a:off x="10480835" y="6878164"/>
            <a:ext cx="264106" cy="150088"/>
          </a:xfrm>
          <a:custGeom>
            <a:avLst/>
            <a:gdLst>
              <a:gd name="connsiteX0" fmla="*/ 45812 w 264106"/>
              <a:gd name="connsiteY0" fmla="*/ 149714 h 150088"/>
              <a:gd name="connsiteX1" fmla="*/ 225858 w 264106"/>
              <a:gd name="connsiteY1" fmla="*/ 150089 h 150088"/>
              <a:gd name="connsiteX2" fmla="*/ 225899 w 264106"/>
              <a:gd name="connsiteY2" fmla="*/ 150089 h 150088"/>
              <a:gd name="connsiteX3" fmla="*/ 264095 w 264106"/>
              <a:gd name="connsiteY3" fmla="*/ 109998 h 150088"/>
              <a:gd name="connsiteX4" fmla="*/ 264080 w 264106"/>
              <a:gd name="connsiteY4" fmla="*/ 109504 h 150088"/>
              <a:gd name="connsiteX5" fmla="*/ 224287 w 264106"/>
              <a:gd name="connsiteY5" fmla="*/ 71312 h 150088"/>
              <a:gd name="connsiteX6" fmla="*/ 221563 w 264106"/>
              <a:gd name="connsiteY6" fmla="*/ 71334 h 150088"/>
              <a:gd name="connsiteX7" fmla="*/ 172915 w 264106"/>
              <a:gd name="connsiteY7" fmla="*/ 26293 h 150088"/>
              <a:gd name="connsiteX8" fmla="*/ 160495 w 264106"/>
              <a:gd name="connsiteY8" fmla="*/ 27879 h 150088"/>
              <a:gd name="connsiteX9" fmla="*/ 80457 w 264106"/>
              <a:gd name="connsiteY9" fmla="*/ 8546 h 150088"/>
              <a:gd name="connsiteX10" fmla="*/ 52842 w 264106"/>
              <a:gd name="connsiteY10" fmla="*/ 52779 h 150088"/>
              <a:gd name="connsiteX11" fmla="*/ 48244 w 264106"/>
              <a:gd name="connsiteY11" fmla="*/ 52554 h 150088"/>
              <a:gd name="connsiteX12" fmla="*/ 10222 w 264106"/>
              <a:gd name="connsiteY12" fmla="*/ 70905 h 150088"/>
              <a:gd name="connsiteX13" fmla="*/ 4134 w 264106"/>
              <a:gd name="connsiteY13" fmla="*/ 120842 h 150088"/>
              <a:gd name="connsiteX14" fmla="*/ 45812 w 264106"/>
              <a:gd name="connsiteY14" fmla="*/ 149714 h 150088"/>
              <a:gd name="connsiteX15" fmla="*/ 16079 w 264106"/>
              <a:gd name="connsiteY15" fmla="*/ 75591 h 150088"/>
              <a:gd name="connsiteX16" fmla="*/ 48244 w 264106"/>
              <a:gd name="connsiteY16" fmla="*/ 60054 h 150088"/>
              <a:gd name="connsiteX17" fmla="*/ 52107 w 264106"/>
              <a:gd name="connsiteY17" fmla="*/ 60242 h 150088"/>
              <a:gd name="connsiteX18" fmla="*/ 59557 w 264106"/>
              <a:gd name="connsiteY18" fmla="*/ 60976 h 150088"/>
              <a:gd name="connsiteX19" fmla="*/ 60304 w 264106"/>
              <a:gd name="connsiteY19" fmla="*/ 53527 h 150088"/>
              <a:gd name="connsiteX20" fmla="*/ 98908 w 264106"/>
              <a:gd name="connsiteY20" fmla="*/ 8924 h 150088"/>
              <a:gd name="connsiteX21" fmla="*/ 154075 w 264106"/>
              <a:gd name="connsiteY21" fmla="*/ 31755 h 150088"/>
              <a:gd name="connsiteX22" fmla="*/ 156962 w 264106"/>
              <a:gd name="connsiteY22" fmla="*/ 36540 h 150088"/>
              <a:gd name="connsiteX23" fmla="*/ 162373 w 264106"/>
              <a:gd name="connsiteY23" fmla="*/ 35139 h 150088"/>
              <a:gd name="connsiteX24" fmla="*/ 172914 w 264106"/>
              <a:gd name="connsiteY24" fmla="*/ 33793 h 150088"/>
              <a:gd name="connsiteX25" fmla="*/ 196964 w 264106"/>
              <a:gd name="connsiteY25" fmla="*/ 41694 h 150088"/>
              <a:gd name="connsiteX26" fmla="*/ 197074 w 264106"/>
              <a:gd name="connsiteY26" fmla="*/ 41775 h 150088"/>
              <a:gd name="connsiteX27" fmla="*/ 197186 w 264106"/>
              <a:gd name="connsiteY27" fmla="*/ 41852 h 150088"/>
              <a:gd name="connsiteX28" fmla="*/ 214083 w 264106"/>
              <a:gd name="connsiteY28" fmla="*/ 71896 h 150088"/>
              <a:gd name="connsiteX29" fmla="*/ 214616 w 264106"/>
              <a:gd name="connsiteY29" fmla="*/ 78986 h 150088"/>
              <a:gd name="connsiteX30" fmla="*/ 224286 w 264106"/>
              <a:gd name="connsiteY30" fmla="*/ 78812 h 150088"/>
              <a:gd name="connsiteX31" fmla="*/ 256584 w 264106"/>
              <a:gd name="connsiteY31" fmla="*/ 109787 h 150088"/>
              <a:gd name="connsiteX32" fmla="*/ 247931 w 264106"/>
              <a:gd name="connsiteY32" fmla="*/ 132715 h 150088"/>
              <a:gd name="connsiteX33" fmla="*/ 225873 w 264106"/>
              <a:gd name="connsiteY33" fmla="*/ 142588 h 150088"/>
              <a:gd name="connsiteX34" fmla="*/ 46077 w 264106"/>
              <a:gd name="connsiteY34" fmla="*/ 142213 h 150088"/>
              <a:gd name="connsiteX35" fmla="*/ 10975 w 264106"/>
              <a:gd name="connsiteY35" fmla="*/ 117765 h 150088"/>
              <a:gd name="connsiteX36" fmla="*/ 16079 w 264106"/>
              <a:gd name="connsiteY36" fmla="*/ 75591 h 15008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</a:cxnLst>
            <a:rect l="l" t="t" r="r" b="b"/>
            <a:pathLst>
              <a:path w="264106" h="150088">
                <a:moveTo>
                  <a:pt x="45812" y="149714"/>
                </a:moveTo>
                <a:lnTo>
                  <a:pt x="225858" y="150089"/>
                </a:lnTo>
                <a:lnTo>
                  <a:pt x="225899" y="150089"/>
                </a:lnTo>
                <a:cubicBezTo>
                  <a:pt x="247517" y="149565"/>
                  <a:pt x="264618" y="131617"/>
                  <a:pt x="264095" y="109998"/>
                </a:cubicBezTo>
                <a:cubicBezTo>
                  <a:pt x="264091" y="109834"/>
                  <a:pt x="264086" y="109669"/>
                  <a:pt x="264080" y="109504"/>
                </a:cubicBezTo>
                <a:cubicBezTo>
                  <a:pt x="263324" y="88108"/>
                  <a:pt x="245696" y="71189"/>
                  <a:pt x="224287" y="71312"/>
                </a:cubicBezTo>
                <a:cubicBezTo>
                  <a:pt x="224287" y="71312"/>
                  <a:pt x="222244" y="71319"/>
                  <a:pt x="221563" y="71334"/>
                </a:cubicBezTo>
                <a:cubicBezTo>
                  <a:pt x="219415" y="46008"/>
                  <a:pt x="198331" y="26488"/>
                  <a:pt x="172915" y="26293"/>
                </a:cubicBezTo>
                <a:cubicBezTo>
                  <a:pt x="168725" y="26294"/>
                  <a:pt x="164551" y="26827"/>
                  <a:pt x="160495" y="27879"/>
                </a:cubicBezTo>
                <a:cubicBezTo>
                  <a:pt x="143732" y="438"/>
                  <a:pt x="107898" y="-8217"/>
                  <a:pt x="80457" y="8546"/>
                </a:cubicBezTo>
                <a:cubicBezTo>
                  <a:pt x="64795" y="18114"/>
                  <a:pt x="54561" y="34506"/>
                  <a:pt x="52842" y="52779"/>
                </a:cubicBezTo>
                <a:cubicBezTo>
                  <a:pt x="51317" y="52629"/>
                  <a:pt x="49780" y="52554"/>
                  <a:pt x="48244" y="52554"/>
                </a:cubicBezTo>
                <a:cubicBezTo>
                  <a:pt x="33453" y="52632"/>
                  <a:pt x="19486" y="59373"/>
                  <a:pt x="10222" y="70905"/>
                </a:cubicBezTo>
                <a:cubicBezTo>
                  <a:pt x="-741" y="85203"/>
                  <a:pt x="-3073" y="104328"/>
                  <a:pt x="4134" y="120842"/>
                </a:cubicBezTo>
                <a:cubicBezTo>
                  <a:pt x="11510" y="137523"/>
                  <a:pt x="27603" y="148671"/>
                  <a:pt x="45812" y="149714"/>
                </a:cubicBezTo>
                <a:close/>
                <a:moveTo>
                  <a:pt x="16079" y="75591"/>
                </a:moveTo>
                <a:cubicBezTo>
                  <a:pt x="23916" y="65835"/>
                  <a:pt x="35731" y="60128"/>
                  <a:pt x="48244" y="60054"/>
                </a:cubicBezTo>
                <a:cubicBezTo>
                  <a:pt x="49545" y="60054"/>
                  <a:pt x="50845" y="60117"/>
                  <a:pt x="52107" y="60242"/>
                </a:cubicBezTo>
                <a:lnTo>
                  <a:pt x="59557" y="60976"/>
                </a:lnTo>
                <a:lnTo>
                  <a:pt x="60304" y="53527"/>
                </a:lnTo>
                <a:cubicBezTo>
                  <a:pt x="62311" y="31934"/>
                  <a:pt x="77827" y="14008"/>
                  <a:pt x="98908" y="8924"/>
                </a:cubicBezTo>
                <a:cubicBezTo>
                  <a:pt x="120314" y="3614"/>
                  <a:pt x="142682" y="12871"/>
                  <a:pt x="154075" y="31755"/>
                </a:cubicBezTo>
                <a:lnTo>
                  <a:pt x="156962" y="36540"/>
                </a:lnTo>
                <a:lnTo>
                  <a:pt x="162373" y="35139"/>
                </a:lnTo>
                <a:cubicBezTo>
                  <a:pt x="165816" y="34247"/>
                  <a:pt x="169358" y="33795"/>
                  <a:pt x="172914" y="33793"/>
                </a:cubicBezTo>
                <a:cubicBezTo>
                  <a:pt x="181574" y="33757"/>
                  <a:pt x="190013" y="36529"/>
                  <a:pt x="196964" y="41694"/>
                </a:cubicBezTo>
                <a:lnTo>
                  <a:pt x="197074" y="41775"/>
                </a:lnTo>
                <a:lnTo>
                  <a:pt x="197186" y="41852"/>
                </a:lnTo>
                <a:cubicBezTo>
                  <a:pt x="207097" y="48773"/>
                  <a:pt x="213316" y="59832"/>
                  <a:pt x="214083" y="71896"/>
                </a:cubicBezTo>
                <a:lnTo>
                  <a:pt x="214616" y="78986"/>
                </a:lnTo>
                <a:lnTo>
                  <a:pt x="224286" y="78812"/>
                </a:lnTo>
                <a:cubicBezTo>
                  <a:pt x="241665" y="78684"/>
                  <a:pt x="255985" y="92418"/>
                  <a:pt x="256584" y="109787"/>
                </a:cubicBezTo>
                <a:cubicBezTo>
                  <a:pt x="256920" y="118285"/>
                  <a:pt x="253798" y="126557"/>
                  <a:pt x="247931" y="132715"/>
                </a:cubicBezTo>
                <a:cubicBezTo>
                  <a:pt x="242212" y="138848"/>
                  <a:pt x="234257" y="142408"/>
                  <a:pt x="225873" y="142588"/>
                </a:cubicBezTo>
                <a:lnTo>
                  <a:pt x="46077" y="142213"/>
                </a:lnTo>
                <a:cubicBezTo>
                  <a:pt x="30735" y="141240"/>
                  <a:pt x="17207" y="131818"/>
                  <a:pt x="10975" y="117765"/>
                </a:cubicBezTo>
                <a:cubicBezTo>
                  <a:pt x="4887" y="103824"/>
                  <a:pt x="6842" y="87677"/>
                  <a:pt x="16079" y="75591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10</xdr:col>
      <xdr:colOff>186374</xdr:colOff>
      <xdr:row>10</xdr:row>
      <xdr:rowOff>130885</xdr:rowOff>
    </xdr:from>
    <xdr:to>
      <xdr:col>10</xdr:col>
      <xdr:colOff>406606</xdr:colOff>
      <xdr:row>10</xdr:row>
      <xdr:rowOff>434808</xdr:rowOff>
    </xdr:to>
    <xdr:sp macro="" textlink="">
      <xdr:nvSpPr>
        <xdr:cNvPr id="290" name="plant" descr="Plant outline">
          <a:extLst>
            <a:ext uri="{FF2B5EF4-FFF2-40B4-BE49-F238E27FC236}">
              <a16:creationId xmlns:a16="http://schemas.microsoft.com/office/drawing/2014/main" id="{23561D3C-3886-4AE4-B0B5-FFDCA73CBEC1}"/>
            </a:ext>
          </a:extLst>
        </xdr:cNvPr>
        <xdr:cNvSpPr>
          <a:spLocks noChangeAspect="1"/>
        </xdr:cNvSpPr>
      </xdr:nvSpPr>
      <xdr:spPr>
        <a:xfrm>
          <a:off x="8330249" y="3998035"/>
          <a:ext cx="220232" cy="303923"/>
        </a:xfrm>
        <a:custGeom>
          <a:avLst/>
          <a:gdLst>
            <a:gd name="connsiteX0" fmla="*/ 174284 w 220232"/>
            <a:gd name="connsiteY0" fmla="*/ 270506 h 303923"/>
            <a:gd name="connsiteX1" fmla="*/ 172463 w 220232"/>
            <a:gd name="connsiteY1" fmla="*/ 268958 h 303923"/>
            <a:gd name="connsiteX2" fmla="*/ 123873 w 220232"/>
            <a:gd name="connsiteY2" fmla="*/ 257036 h 303923"/>
            <a:gd name="connsiteX3" fmla="*/ 124629 w 220232"/>
            <a:gd name="connsiteY3" fmla="*/ 232425 h 303923"/>
            <a:gd name="connsiteX4" fmla="*/ 121916 w 220232"/>
            <a:gd name="connsiteY4" fmla="*/ 205031 h 303923"/>
            <a:gd name="connsiteX5" fmla="*/ 132990 w 220232"/>
            <a:gd name="connsiteY5" fmla="*/ 198060 h 303923"/>
            <a:gd name="connsiteX6" fmla="*/ 186144 w 220232"/>
            <a:gd name="connsiteY6" fmla="*/ 211560 h 303923"/>
            <a:gd name="connsiteX7" fmla="*/ 186144 w 220232"/>
            <a:gd name="connsiteY7" fmla="*/ 211560 h 303923"/>
            <a:gd name="connsiteX8" fmla="*/ 220232 w 220232"/>
            <a:gd name="connsiteY8" fmla="*/ 129833 h 303923"/>
            <a:gd name="connsiteX9" fmla="*/ 168692 w 220232"/>
            <a:gd name="connsiteY9" fmla="*/ 138270 h 303923"/>
            <a:gd name="connsiteX10" fmla="*/ 166591 w 220232"/>
            <a:gd name="connsiteY10" fmla="*/ 138240 h 303923"/>
            <a:gd name="connsiteX11" fmla="*/ 127062 w 220232"/>
            <a:gd name="connsiteY11" fmla="*/ 177473 h 303923"/>
            <a:gd name="connsiteX12" fmla="*/ 127062 w 220232"/>
            <a:gd name="connsiteY12" fmla="*/ 179516 h 303923"/>
            <a:gd name="connsiteX13" fmla="*/ 129567 w 220232"/>
            <a:gd name="connsiteY13" fmla="*/ 191374 h 303923"/>
            <a:gd name="connsiteX14" fmla="*/ 120344 w 220232"/>
            <a:gd name="connsiteY14" fmla="*/ 196444 h 303923"/>
            <a:gd name="connsiteX15" fmla="*/ 118077 w 220232"/>
            <a:gd name="connsiteY15" fmla="*/ 185408 h 303923"/>
            <a:gd name="connsiteX16" fmla="*/ 113860 w 220232"/>
            <a:gd name="connsiteY16" fmla="*/ 112028 h 303923"/>
            <a:gd name="connsiteX17" fmla="*/ 117971 w 220232"/>
            <a:gd name="connsiteY17" fmla="*/ 94598 h 303923"/>
            <a:gd name="connsiteX18" fmla="*/ 134902 w 220232"/>
            <a:gd name="connsiteY18" fmla="*/ 89250 h 303923"/>
            <a:gd name="connsiteX19" fmla="*/ 134743 w 220232"/>
            <a:gd name="connsiteY19" fmla="*/ 91005 h 303923"/>
            <a:gd name="connsiteX20" fmla="*/ 134743 w 220232"/>
            <a:gd name="connsiteY20" fmla="*/ 92565 h 303923"/>
            <a:gd name="connsiteX21" fmla="*/ 151746 w 220232"/>
            <a:gd name="connsiteY21" fmla="*/ 110036 h 303923"/>
            <a:gd name="connsiteX22" fmla="*/ 151746 w 220232"/>
            <a:gd name="connsiteY22" fmla="*/ 110036 h 303923"/>
            <a:gd name="connsiteX23" fmla="*/ 156522 w 220232"/>
            <a:gd name="connsiteY23" fmla="*/ 110393 h 303923"/>
            <a:gd name="connsiteX24" fmla="*/ 190247 w 220232"/>
            <a:gd name="connsiteY24" fmla="*/ 87769 h 303923"/>
            <a:gd name="connsiteX25" fmla="*/ 166330 w 220232"/>
            <a:gd name="connsiteY25" fmla="*/ 75000 h 303923"/>
            <a:gd name="connsiteX26" fmla="*/ 154478 w 220232"/>
            <a:gd name="connsiteY26" fmla="*/ 71021 h 303923"/>
            <a:gd name="connsiteX27" fmla="*/ 139859 w 220232"/>
            <a:gd name="connsiteY27" fmla="*/ 77396 h 303923"/>
            <a:gd name="connsiteX28" fmla="*/ 137018 w 220232"/>
            <a:gd name="connsiteY28" fmla="*/ 81761 h 303923"/>
            <a:gd name="connsiteX29" fmla="*/ 121451 w 220232"/>
            <a:gd name="connsiteY29" fmla="*/ 84503 h 303923"/>
            <a:gd name="connsiteX30" fmla="*/ 143056 w 220232"/>
            <a:gd name="connsiteY30" fmla="*/ 43597 h 303923"/>
            <a:gd name="connsiteX31" fmla="*/ 147034 w 220232"/>
            <a:gd name="connsiteY31" fmla="*/ 45004 h 303923"/>
            <a:gd name="connsiteX32" fmla="*/ 151818 w 220232"/>
            <a:gd name="connsiteY32" fmla="*/ 45713 h 303923"/>
            <a:gd name="connsiteX33" fmla="*/ 153355 w 220232"/>
            <a:gd name="connsiteY33" fmla="*/ 45596 h 303923"/>
            <a:gd name="connsiteX34" fmla="*/ 170358 w 220232"/>
            <a:gd name="connsiteY34" fmla="*/ 26603 h 303923"/>
            <a:gd name="connsiteX35" fmla="*/ 174590 w 220232"/>
            <a:gd name="connsiteY35" fmla="*/ 0 h 303923"/>
            <a:gd name="connsiteX36" fmla="*/ 133406 w 220232"/>
            <a:gd name="connsiteY36" fmla="*/ 16913 h 303923"/>
            <a:gd name="connsiteX37" fmla="*/ 133406 w 220232"/>
            <a:gd name="connsiteY37" fmla="*/ 16913 h 303923"/>
            <a:gd name="connsiteX38" fmla="*/ 130810 w 220232"/>
            <a:gd name="connsiteY38" fmla="*/ 26621 h 303923"/>
            <a:gd name="connsiteX39" fmla="*/ 136304 w 220232"/>
            <a:gd name="connsiteY39" fmla="*/ 40039 h 303923"/>
            <a:gd name="connsiteX40" fmla="*/ 122513 w 220232"/>
            <a:gd name="connsiteY40" fmla="*/ 63506 h 303923"/>
            <a:gd name="connsiteX41" fmla="*/ 115587 w 220232"/>
            <a:gd name="connsiteY41" fmla="*/ 56756 h 303923"/>
            <a:gd name="connsiteX42" fmla="*/ 116993 w 220232"/>
            <a:gd name="connsiteY42" fmla="*/ 51949 h 303923"/>
            <a:gd name="connsiteX43" fmla="*/ 117166 w 220232"/>
            <a:gd name="connsiteY43" fmla="*/ 49969 h 303923"/>
            <a:gd name="connsiteX44" fmla="*/ 97417 w 220232"/>
            <a:gd name="connsiteY44" fmla="*/ 30375 h 303923"/>
            <a:gd name="connsiteX45" fmla="*/ 96367 w 220232"/>
            <a:gd name="connsiteY45" fmla="*/ 30375 h 303923"/>
            <a:gd name="connsiteX46" fmla="*/ 70595 w 220232"/>
            <a:gd name="connsiteY46" fmla="*/ 26156 h 303923"/>
            <a:gd name="connsiteX47" fmla="*/ 87635 w 220232"/>
            <a:gd name="connsiteY47" fmla="*/ 67031 h 303923"/>
            <a:gd name="connsiteX48" fmla="*/ 87635 w 220232"/>
            <a:gd name="connsiteY48" fmla="*/ 67031 h 303923"/>
            <a:gd name="connsiteX49" fmla="*/ 97417 w 220232"/>
            <a:gd name="connsiteY49" fmla="*/ 69608 h 303923"/>
            <a:gd name="connsiteX50" fmla="*/ 111397 w 220232"/>
            <a:gd name="connsiteY50" fmla="*/ 63094 h 303923"/>
            <a:gd name="connsiteX51" fmla="*/ 118893 w 220232"/>
            <a:gd name="connsiteY51" fmla="*/ 71036 h 303923"/>
            <a:gd name="connsiteX52" fmla="*/ 111136 w 220232"/>
            <a:gd name="connsiteY52" fmla="*/ 91170 h 303923"/>
            <a:gd name="connsiteX53" fmla="*/ 111076 w 220232"/>
            <a:gd name="connsiteY53" fmla="*/ 91369 h 303923"/>
            <a:gd name="connsiteX54" fmla="*/ 106383 w 220232"/>
            <a:gd name="connsiteY54" fmla="*/ 110869 h 303923"/>
            <a:gd name="connsiteX55" fmla="*/ 105722 w 220232"/>
            <a:gd name="connsiteY55" fmla="*/ 159870 h 303923"/>
            <a:gd name="connsiteX56" fmla="*/ 89656 w 220232"/>
            <a:gd name="connsiteY56" fmla="*/ 155224 h 303923"/>
            <a:gd name="connsiteX57" fmla="*/ 89928 w 220232"/>
            <a:gd name="connsiteY57" fmla="*/ 154586 h 303923"/>
            <a:gd name="connsiteX58" fmla="*/ 91183 w 220232"/>
            <a:gd name="connsiteY58" fmla="*/ 151211 h 303923"/>
            <a:gd name="connsiteX59" fmla="*/ 93174 w 220232"/>
            <a:gd name="connsiteY59" fmla="*/ 141056 h 303923"/>
            <a:gd name="connsiteX60" fmla="*/ 53656 w 220232"/>
            <a:gd name="connsiteY60" fmla="*/ 101813 h 303923"/>
            <a:gd name="connsiteX61" fmla="*/ 53645 w 220232"/>
            <a:gd name="connsiteY61" fmla="*/ 101813 h 303923"/>
            <a:gd name="connsiteX62" fmla="*/ 51544 w 220232"/>
            <a:gd name="connsiteY62" fmla="*/ 101843 h 303923"/>
            <a:gd name="connsiteX63" fmla="*/ 0 w 220232"/>
            <a:gd name="connsiteY63" fmla="*/ 93405 h 303923"/>
            <a:gd name="connsiteX64" fmla="*/ 34077 w 220232"/>
            <a:gd name="connsiteY64" fmla="*/ 175155 h 303923"/>
            <a:gd name="connsiteX65" fmla="*/ 34077 w 220232"/>
            <a:gd name="connsiteY65" fmla="*/ 175155 h 303923"/>
            <a:gd name="connsiteX66" fmla="*/ 68105 w 220232"/>
            <a:gd name="connsiteY66" fmla="*/ 177581 h 303923"/>
            <a:gd name="connsiteX67" fmla="*/ 86290 w 220232"/>
            <a:gd name="connsiteY67" fmla="*/ 162038 h 303923"/>
            <a:gd name="connsiteX68" fmla="*/ 106920 w 220232"/>
            <a:gd name="connsiteY68" fmla="*/ 167768 h 303923"/>
            <a:gd name="connsiteX69" fmla="*/ 110675 w 220232"/>
            <a:gd name="connsiteY69" fmla="*/ 186945 h 303923"/>
            <a:gd name="connsiteX70" fmla="*/ 117061 w 220232"/>
            <a:gd name="connsiteY70" fmla="*/ 232388 h 303923"/>
            <a:gd name="connsiteX71" fmla="*/ 116263 w 220232"/>
            <a:gd name="connsiteY71" fmla="*/ 258709 h 303923"/>
            <a:gd name="connsiteX72" fmla="*/ 97942 w 220232"/>
            <a:gd name="connsiteY72" fmla="*/ 267229 h 303923"/>
            <a:gd name="connsiteX73" fmla="*/ 93408 w 220232"/>
            <a:gd name="connsiteY73" fmla="*/ 270836 h 303923"/>
            <a:gd name="connsiteX74" fmla="*/ 69911 w 220232"/>
            <a:gd name="connsiteY74" fmla="*/ 266250 h 303923"/>
            <a:gd name="connsiteX75" fmla="*/ 16338 w 220232"/>
            <a:gd name="connsiteY75" fmla="*/ 298215 h 303923"/>
            <a:gd name="connsiteX76" fmla="*/ 17717 w 220232"/>
            <a:gd name="connsiteY76" fmla="*/ 303339 h 303923"/>
            <a:gd name="connsiteX77" fmla="*/ 22879 w 220232"/>
            <a:gd name="connsiteY77" fmla="*/ 301970 h 303923"/>
            <a:gd name="connsiteX78" fmla="*/ 22980 w 220232"/>
            <a:gd name="connsiteY78" fmla="*/ 301785 h 303923"/>
            <a:gd name="connsiteX79" fmla="*/ 92471 w 220232"/>
            <a:gd name="connsiteY79" fmla="*/ 278625 h 303923"/>
            <a:gd name="connsiteX80" fmla="*/ 94791 w 220232"/>
            <a:gd name="connsiteY80" fmla="*/ 279713 h 303923"/>
            <a:gd name="connsiteX81" fmla="*/ 96680 w 220232"/>
            <a:gd name="connsiteY81" fmla="*/ 277976 h 303923"/>
            <a:gd name="connsiteX82" fmla="*/ 102386 w 220232"/>
            <a:gd name="connsiteY82" fmla="*/ 273285 h 303923"/>
            <a:gd name="connsiteX83" fmla="*/ 122411 w 220232"/>
            <a:gd name="connsiteY83" fmla="*/ 264904 h 303923"/>
            <a:gd name="connsiteX84" fmla="*/ 124013 w 220232"/>
            <a:gd name="connsiteY84" fmla="*/ 264585 h 303923"/>
            <a:gd name="connsiteX85" fmla="*/ 167660 w 220232"/>
            <a:gd name="connsiteY85" fmla="*/ 274744 h 303923"/>
            <a:gd name="connsiteX86" fmla="*/ 170116 w 220232"/>
            <a:gd name="connsiteY86" fmla="*/ 276874 h 303923"/>
            <a:gd name="connsiteX87" fmla="*/ 171076 w 220232"/>
            <a:gd name="connsiteY87" fmla="*/ 277759 h 303923"/>
            <a:gd name="connsiteX88" fmla="*/ 172376 w 220232"/>
            <a:gd name="connsiteY88" fmla="*/ 277864 h 303923"/>
            <a:gd name="connsiteX89" fmla="*/ 212539 w 220232"/>
            <a:gd name="connsiteY89" fmla="*/ 301965 h 303923"/>
            <a:gd name="connsiteX90" fmla="*/ 217664 w 220232"/>
            <a:gd name="connsiteY90" fmla="*/ 303467 h 303923"/>
            <a:gd name="connsiteX91" fmla="*/ 219177 w 220232"/>
            <a:gd name="connsiteY91" fmla="*/ 298380 h 303923"/>
            <a:gd name="connsiteX92" fmla="*/ 218963 w 220232"/>
            <a:gd name="connsiteY92" fmla="*/ 298035 h 303923"/>
            <a:gd name="connsiteX93" fmla="*/ 174284 w 220232"/>
            <a:gd name="connsiteY93" fmla="*/ 270506 h 303923"/>
            <a:gd name="connsiteX94" fmla="*/ 134611 w 220232"/>
            <a:gd name="connsiteY94" fmla="*/ 179520 h 303923"/>
            <a:gd name="connsiteX95" fmla="*/ 134611 w 220232"/>
            <a:gd name="connsiteY95" fmla="*/ 177473 h 303923"/>
            <a:gd name="connsiteX96" fmla="*/ 166478 w 220232"/>
            <a:gd name="connsiteY96" fmla="*/ 145740 h 303923"/>
            <a:gd name="connsiteX97" fmla="*/ 168684 w 220232"/>
            <a:gd name="connsiteY97" fmla="*/ 145770 h 303923"/>
            <a:gd name="connsiteX98" fmla="*/ 212547 w 220232"/>
            <a:gd name="connsiteY98" fmla="*/ 139500 h 303923"/>
            <a:gd name="connsiteX99" fmla="*/ 184716 w 220232"/>
            <a:gd name="connsiteY99" fmla="*/ 203745 h 303923"/>
            <a:gd name="connsiteX100" fmla="*/ 182407 w 220232"/>
            <a:gd name="connsiteY100" fmla="*/ 205054 h 303923"/>
            <a:gd name="connsiteX101" fmla="*/ 140116 w 220232"/>
            <a:gd name="connsiteY101" fmla="*/ 195146 h 303923"/>
            <a:gd name="connsiteX102" fmla="*/ 143766 w 220232"/>
            <a:gd name="connsiteY102" fmla="*/ 193733 h 303923"/>
            <a:gd name="connsiteX103" fmla="*/ 171677 w 220232"/>
            <a:gd name="connsiteY103" fmla="*/ 179951 h 303923"/>
            <a:gd name="connsiteX104" fmla="*/ 172364 w 220232"/>
            <a:gd name="connsiteY104" fmla="*/ 174683 h 303923"/>
            <a:gd name="connsiteX105" fmla="*/ 167056 w 220232"/>
            <a:gd name="connsiteY105" fmla="*/ 174000 h 303923"/>
            <a:gd name="connsiteX106" fmla="*/ 141034 w 220232"/>
            <a:gd name="connsiteY106" fmla="*/ 186720 h 303923"/>
            <a:gd name="connsiteX107" fmla="*/ 136523 w 220232"/>
            <a:gd name="connsiteY107" fmla="*/ 188471 h 303923"/>
            <a:gd name="connsiteX108" fmla="*/ 134619 w 220232"/>
            <a:gd name="connsiteY108" fmla="*/ 179520 h 303923"/>
            <a:gd name="connsiteX109" fmla="*/ 145700 w 220232"/>
            <a:gd name="connsiteY109" fmla="*/ 82200 h 303923"/>
            <a:gd name="connsiteX110" fmla="*/ 154478 w 220232"/>
            <a:gd name="connsiteY110" fmla="*/ 78521 h 303923"/>
            <a:gd name="connsiteX111" fmla="*/ 161675 w 220232"/>
            <a:gd name="connsiteY111" fmla="*/ 80910 h 303923"/>
            <a:gd name="connsiteX112" fmla="*/ 178156 w 220232"/>
            <a:gd name="connsiteY112" fmla="*/ 90641 h 303923"/>
            <a:gd name="connsiteX113" fmla="*/ 156510 w 220232"/>
            <a:gd name="connsiteY113" fmla="*/ 102908 h 303923"/>
            <a:gd name="connsiteX114" fmla="*/ 153956 w 220232"/>
            <a:gd name="connsiteY114" fmla="*/ 102772 h 303923"/>
            <a:gd name="connsiteX115" fmla="*/ 152732 w 220232"/>
            <a:gd name="connsiteY115" fmla="*/ 102611 h 303923"/>
            <a:gd name="connsiteX116" fmla="*/ 146959 w 220232"/>
            <a:gd name="connsiteY116" fmla="*/ 100245 h 303923"/>
            <a:gd name="connsiteX117" fmla="*/ 142300 w 220232"/>
            <a:gd name="connsiteY117" fmla="*/ 92153 h 303923"/>
            <a:gd name="connsiteX118" fmla="*/ 142300 w 220232"/>
            <a:gd name="connsiteY118" fmla="*/ 91027 h 303923"/>
            <a:gd name="connsiteX119" fmla="*/ 142413 w 220232"/>
            <a:gd name="connsiteY119" fmla="*/ 89771 h 303923"/>
            <a:gd name="connsiteX120" fmla="*/ 149290 w 220232"/>
            <a:gd name="connsiteY120" fmla="*/ 91298 h 303923"/>
            <a:gd name="connsiteX121" fmla="*/ 153983 w 220232"/>
            <a:gd name="connsiteY121" fmla="*/ 88759 h 303923"/>
            <a:gd name="connsiteX122" fmla="*/ 151425 w 220232"/>
            <a:gd name="connsiteY122" fmla="*/ 84101 h 303923"/>
            <a:gd name="connsiteX123" fmla="*/ 145330 w 220232"/>
            <a:gd name="connsiteY123" fmla="*/ 82661 h 303923"/>
            <a:gd name="connsiteX124" fmla="*/ 145700 w 220232"/>
            <a:gd name="connsiteY124" fmla="*/ 82200 h 303923"/>
            <a:gd name="connsiteX125" fmla="*/ 98728 w 220232"/>
            <a:gd name="connsiteY125" fmla="*/ 62014 h 303923"/>
            <a:gd name="connsiteX126" fmla="*/ 97417 w 220232"/>
            <a:gd name="connsiteY126" fmla="*/ 62089 h 303923"/>
            <a:gd name="connsiteX127" fmla="*/ 91372 w 220232"/>
            <a:gd name="connsiteY127" fmla="*/ 60499 h 303923"/>
            <a:gd name="connsiteX128" fmla="*/ 90336 w 220232"/>
            <a:gd name="connsiteY128" fmla="*/ 59914 h 303923"/>
            <a:gd name="connsiteX129" fmla="*/ 78446 w 220232"/>
            <a:gd name="connsiteY129" fmla="*/ 35693 h 303923"/>
            <a:gd name="connsiteX130" fmla="*/ 96355 w 220232"/>
            <a:gd name="connsiteY130" fmla="*/ 37871 h 303923"/>
            <a:gd name="connsiteX131" fmla="*/ 97489 w 220232"/>
            <a:gd name="connsiteY131" fmla="*/ 37871 h 303923"/>
            <a:gd name="connsiteX132" fmla="*/ 109602 w 220232"/>
            <a:gd name="connsiteY132" fmla="*/ 49988 h 303923"/>
            <a:gd name="connsiteX133" fmla="*/ 109508 w 220232"/>
            <a:gd name="connsiteY133" fmla="*/ 50895 h 303923"/>
            <a:gd name="connsiteX134" fmla="*/ 109221 w 220232"/>
            <a:gd name="connsiteY134" fmla="*/ 52174 h 303923"/>
            <a:gd name="connsiteX135" fmla="*/ 103693 w 220232"/>
            <a:gd name="connsiteY135" fmla="*/ 49294 h 303923"/>
            <a:gd name="connsiteX136" fmla="*/ 98988 w 220232"/>
            <a:gd name="connsiteY136" fmla="*/ 51808 h 303923"/>
            <a:gd name="connsiteX137" fmla="*/ 100938 w 220232"/>
            <a:gd name="connsiteY137" fmla="*/ 56250 h 303923"/>
            <a:gd name="connsiteX138" fmla="*/ 105295 w 220232"/>
            <a:gd name="connsiteY138" fmla="*/ 58541 h 303923"/>
            <a:gd name="connsiteX139" fmla="*/ 98728 w 220232"/>
            <a:gd name="connsiteY139" fmla="*/ 62014 h 303923"/>
            <a:gd name="connsiteX140" fmla="*/ 65358 w 220232"/>
            <a:gd name="connsiteY140" fmla="*/ 170576 h 303923"/>
            <a:gd name="connsiteX141" fmla="*/ 53671 w 220232"/>
            <a:gd name="connsiteY141" fmla="*/ 172774 h 303923"/>
            <a:gd name="connsiteX142" fmla="*/ 37851 w 220232"/>
            <a:gd name="connsiteY142" fmla="*/ 168615 h 303923"/>
            <a:gd name="connsiteX143" fmla="*/ 35649 w 220232"/>
            <a:gd name="connsiteY143" fmla="*/ 167366 h 303923"/>
            <a:gd name="connsiteX144" fmla="*/ 7712 w 220232"/>
            <a:gd name="connsiteY144" fmla="*/ 103061 h 303923"/>
            <a:gd name="connsiteX145" fmla="*/ 51571 w 220232"/>
            <a:gd name="connsiteY145" fmla="*/ 109343 h 303923"/>
            <a:gd name="connsiteX146" fmla="*/ 53773 w 220232"/>
            <a:gd name="connsiteY146" fmla="*/ 109313 h 303923"/>
            <a:gd name="connsiteX147" fmla="*/ 85640 w 220232"/>
            <a:gd name="connsiteY147" fmla="*/ 141026 h 303923"/>
            <a:gd name="connsiteX148" fmla="*/ 84129 w 220232"/>
            <a:gd name="connsiteY148" fmla="*/ 148601 h 303923"/>
            <a:gd name="connsiteX149" fmla="*/ 82640 w 220232"/>
            <a:gd name="connsiteY149" fmla="*/ 152520 h 303923"/>
            <a:gd name="connsiteX150" fmla="*/ 53804 w 220232"/>
            <a:gd name="connsiteY150" fmla="*/ 137033 h 303923"/>
            <a:gd name="connsiteX151" fmla="*/ 48535 w 220232"/>
            <a:gd name="connsiteY151" fmla="*/ 137979 h 303923"/>
            <a:gd name="connsiteX152" fmla="*/ 49489 w 220232"/>
            <a:gd name="connsiteY152" fmla="*/ 143209 h 303923"/>
            <a:gd name="connsiteX153" fmla="*/ 79092 w 220232"/>
            <a:gd name="connsiteY153" fmla="*/ 159229 h 303923"/>
            <a:gd name="connsiteX154" fmla="*/ 65358 w 220232"/>
            <a:gd name="connsiteY154" fmla="*/ 170576 h 303923"/>
            <a:gd name="connsiteX155" fmla="*/ 138382 w 220232"/>
            <a:gd name="connsiteY155" fmla="*/ 26625 h 303923"/>
            <a:gd name="connsiteX156" fmla="*/ 139984 w 220232"/>
            <a:gd name="connsiteY156" fmla="*/ 20625 h 303923"/>
            <a:gd name="connsiteX157" fmla="*/ 140573 w 220232"/>
            <a:gd name="connsiteY157" fmla="*/ 19598 h 303923"/>
            <a:gd name="connsiteX158" fmla="*/ 164981 w 220232"/>
            <a:gd name="connsiteY158" fmla="*/ 7796 h 303923"/>
            <a:gd name="connsiteX159" fmla="*/ 162798 w 220232"/>
            <a:gd name="connsiteY159" fmla="*/ 26704 h 303923"/>
            <a:gd name="connsiteX160" fmla="*/ 152158 w 220232"/>
            <a:gd name="connsiteY160" fmla="*/ 38205 h 303923"/>
            <a:gd name="connsiteX161" fmla="*/ 151818 w 220232"/>
            <a:gd name="connsiteY161" fmla="*/ 38205 h 303923"/>
            <a:gd name="connsiteX162" fmla="*/ 148923 w 220232"/>
            <a:gd name="connsiteY162" fmla="*/ 37736 h 303923"/>
            <a:gd name="connsiteX163" fmla="*/ 147499 w 220232"/>
            <a:gd name="connsiteY163" fmla="*/ 37268 h 303923"/>
            <a:gd name="connsiteX164" fmla="*/ 150794 w 220232"/>
            <a:gd name="connsiteY164" fmla="*/ 32947 h 303923"/>
            <a:gd name="connsiteX165" fmla="*/ 150253 w 220232"/>
            <a:gd name="connsiteY165" fmla="*/ 27671 h 303923"/>
            <a:gd name="connsiteX166" fmla="*/ 144937 w 220232"/>
            <a:gd name="connsiteY166" fmla="*/ 28208 h 303923"/>
            <a:gd name="connsiteX167" fmla="*/ 140641 w 220232"/>
            <a:gd name="connsiteY167" fmla="*/ 33832 h 303923"/>
            <a:gd name="connsiteX168" fmla="*/ 138382 w 220232"/>
            <a:gd name="connsiteY168" fmla="*/ 26625 h 30392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</a:cxnLst>
          <a:rect l="l" t="t" r="r" b="b"/>
          <a:pathLst>
            <a:path w="220232" h="303923">
              <a:moveTo>
                <a:pt x="174284" y="270506"/>
              </a:moveTo>
              <a:cubicBezTo>
                <a:pt x="173690" y="269981"/>
                <a:pt x="173078" y="269464"/>
                <a:pt x="172463" y="268958"/>
              </a:cubicBezTo>
              <a:cubicBezTo>
                <a:pt x="158822" y="258083"/>
                <a:pt x="141048" y="253722"/>
                <a:pt x="123873" y="257036"/>
              </a:cubicBezTo>
              <a:lnTo>
                <a:pt x="124629" y="232425"/>
              </a:lnTo>
              <a:cubicBezTo>
                <a:pt x="124402" y="223240"/>
                <a:pt x="123495" y="214084"/>
                <a:pt x="121916" y="205031"/>
              </a:cubicBezTo>
              <a:cubicBezTo>
                <a:pt x="125099" y="201994"/>
                <a:pt x="128865" y="199623"/>
                <a:pt x="132990" y="198060"/>
              </a:cubicBezTo>
              <a:cubicBezTo>
                <a:pt x="144139" y="216052"/>
                <a:pt x="167657" y="222026"/>
                <a:pt x="186144" y="211560"/>
              </a:cubicBezTo>
              <a:lnTo>
                <a:pt x="186144" y="211560"/>
              </a:lnTo>
              <a:cubicBezTo>
                <a:pt x="216469" y="195000"/>
                <a:pt x="220232" y="164276"/>
                <a:pt x="220232" y="129833"/>
              </a:cubicBezTo>
              <a:cubicBezTo>
                <a:pt x="220232" y="129833"/>
                <a:pt x="189522" y="138270"/>
                <a:pt x="168692" y="138270"/>
              </a:cubicBezTo>
              <a:cubicBezTo>
                <a:pt x="167978" y="138270"/>
                <a:pt x="167279" y="138270"/>
                <a:pt x="166591" y="138240"/>
              </a:cubicBezTo>
              <a:cubicBezTo>
                <a:pt x="144760" y="138240"/>
                <a:pt x="127062" y="155805"/>
                <a:pt x="127062" y="177473"/>
              </a:cubicBezTo>
              <a:lnTo>
                <a:pt x="127062" y="179516"/>
              </a:lnTo>
              <a:cubicBezTo>
                <a:pt x="127076" y="183597"/>
                <a:pt x="127928" y="187632"/>
                <a:pt x="129567" y="191374"/>
              </a:cubicBezTo>
              <a:cubicBezTo>
                <a:pt x="126333" y="192760"/>
                <a:pt x="123244" y="194458"/>
                <a:pt x="120344" y="196444"/>
              </a:cubicBezTo>
              <a:cubicBezTo>
                <a:pt x="119611" y="192713"/>
                <a:pt x="118833" y="189045"/>
                <a:pt x="118077" y="185408"/>
              </a:cubicBezTo>
              <a:cubicBezTo>
                <a:pt x="113418" y="163324"/>
                <a:pt x="109009" y="142466"/>
                <a:pt x="113860" y="112028"/>
              </a:cubicBezTo>
              <a:cubicBezTo>
                <a:pt x="114823" y="106130"/>
                <a:pt x="116197" y="100306"/>
                <a:pt x="117971" y="94598"/>
              </a:cubicBezTo>
              <a:cubicBezTo>
                <a:pt x="123051" y="91386"/>
                <a:pt x="128886" y="89543"/>
                <a:pt x="134902" y="89250"/>
              </a:cubicBezTo>
              <a:cubicBezTo>
                <a:pt x="134853" y="89839"/>
                <a:pt x="134743" y="90413"/>
                <a:pt x="134743" y="91005"/>
              </a:cubicBezTo>
              <a:lnTo>
                <a:pt x="134743" y="92565"/>
              </a:lnTo>
              <a:cubicBezTo>
                <a:pt x="135618" y="101609"/>
                <a:pt x="142670" y="108855"/>
                <a:pt x="151746" y="110036"/>
              </a:cubicBezTo>
              <a:lnTo>
                <a:pt x="151746" y="110036"/>
              </a:lnTo>
              <a:cubicBezTo>
                <a:pt x="153327" y="110270"/>
                <a:pt x="154923" y="110389"/>
                <a:pt x="156522" y="110393"/>
              </a:cubicBezTo>
              <a:cubicBezTo>
                <a:pt x="170955" y="110393"/>
                <a:pt x="180745" y="100151"/>
                <a:pt x="190247" y="87769"/>
              </a:cubicBezTo>
              <a:cubicBezTo>
                <a:pt x="181805" y="84444"/>
                <a:pt x="173779" y="80159"/>
                <a:pt x="166330" y="75000"/>
              </a:cubicBezTo>
              <a:cubicBezTo>
                <a:pt x="162927" y="72417"/>
                <a:pt x="158761" y="71019"/>
                <a:pt x="154478" y="71021"/>
              </a:cubicBezTo>
              <a:cubicBezTo>
                <a:pt x="148920" y="71018"/>
                <a:pt x="143616" y="73331"/>
                <a:pt x="139859" y="77396"/>
              </a:cubicBezTo>
              <a:cubicBezTo>
                <a:pt x="138731" y="78726"/>
                <a:pt x="137776" y="80193"/>
                <a:pt x="137018" y="81761"/>
              </a:cubicBezTo>
              <a:cubicBezTo>
                <a:pt x="131698" y="81646"/>
                <a:pt x="126407" y="82577"/>
                <a:pt x="121451" y="84503"/>
              </a:cubicBezTo>
              <a:cubicBezTo>
                <a:pt x="127112" y="70119"/>
                <a:pt x="134358" y="56401"/>
                <a:pt x="143056" y="43597"/>
              </a:cubicBezTo>
              <a:cubicBezTo>
                <a:pt x="144342" y="44170"/>
                <a:pt x="145673" y="44640"/>
                <a:pt x="147034" y="45004"/>
              </a:cubicBezTo>
              <a:cubicBezTo>
                <a:pt x="148594" y="45433"/>
                <a:pt x="150200" y="45671"/>
                <a:pt x="151818" y="45713"/>
              </a:cubicBezTo>
              <a:cubicBezTo>
                <a:pt x="152333" y="45716"/>
                <a:pt x="152847" y="45677"/>
                <a:pt x="153355" y="45596"/>
              </a:cubicBezTo>
              <a:cubicBezTo>
                <a:pt x="162797" y="43984"/>
                <a:pt x="169856" y="36098"/>
                <a:pt x="170358" y="26603"/>
              </a:cubicBezTo>
              <a:cubicBezTo>
                <a:pt x="170731" y="17603"/>
                <a:pt x="172151" y="8676"/>
                <a:pt x="174590" y="0"/>
              </a:cubicBezTo>
              <a:cubicBezTo>
                <a:pt x="157236" y="0"/>
                <a:pt x="141767" y="1875"/>
                <a:pt x="133406" y="16913"/>
              </a:cubicBezTo>
              <a:lnTo>
                <a:pt x="133406" y="16913"/>
              </a:lnTo>
              <a:cubicBezTo>
                <a:pt x="131701" y="19868"/>
                <a:pt x="130806" y="23215"/>
                <a:pt x="130810" y="26621"/>
              </a:cubicBezTo>
              <a:cubicBezTo>
                <a:pt x="130460" y="31695"/>
                <a:pt x="132487" y="36645"/>
                <a:pt x="136304" y="40039"/>
              </a:cubicBezTo>
              <a:cubicBezTo>
                <a:pt x="131232" y="47577"/>
                <a:pt x="126626" y="55414"/>
                <a:pt x="122513" y="63506"/>
              </a:cubicBezTo>
              <a:cubicBezTo>
                <a:pt x="120386" y="61079"/>
                <a:pt x="118071" y="58823"/>
                <a:pt x="115587" y="56756"/>
              </a:cubicBezTo>
              <a:cubicBezTo>
                <a:pt x="116263" y="55221"/>
                <a:pt x="116735" y="53605"/>
                <a:pt x="116993" y="51949"/>
              </a:cubicBezTo>
              <a:cubicBezTo>
                <a:pt x="117097" y="51294"/>
                <a:pt x="117155" y="50632"/>
                <a:pt x="117166" y="49969"/>
              </a:cubicBezTo>
              <a:cubicBezTo>
                <a:pt x="117154" y="39150"/>
                <a:pt x="108318" y="30383"/>
                <a:pt x="97417" y="30375"/>
              </a:cubicBezTo>
              <a:cubicBezTo>
                <a:pt x="97073" y="30375"/>
                <a:pt x="96722" y="30375"/>
                <a:pt x="96367" y="30375"/>
              </a:cubicBezTo>
              <a:cubicBezTo>
                <a:pt x="87649" y="29882"/>
                <a:pt x="79010" y="28467"/>
                <a:pt x="70595" y="26156"/>
              </a:cubicBezTo>
              <a:cubicBezTo>
                <a:pt x="70595" y="43380"/>
                <a:pt x="72484" y="58733"/>
                <a:pt x="87635" y="67031"/>
              </a:cubicBezTo>
              <a:lnTo>
                <a:pt x="87635" y="67031"/>
              </a:lnTo>
              <a:cubicBezTo>
                <a:pt x="90613" y="68722"/>
                <a:pt x="93986" y="69610"/>
                <a:pt x="97417" y="69608"/>
              </a:cubicBezTo>
              <a:cubicBezTo>
                <a:pt x="102825" y="69624"/>
                <a:pt x="107955" y="67233"/>
                <a:pt x="111397" y="63094"/>
              </a:cubicBezTo>
              <a:cubicBezTo>
                <a:pt x="114198" y="65443"/>
                <a:pt x="116713" y="68109"/>
                <a:pt x="118893" y="71036"/>
              </a:cubicBezTo>
              <a:cubicBezTo>
                <a:pt x="115896" y="77584"/>
                <a:pt x="113305" y="84308"/>
                <a:pt x="111136" y="91170"/>
              </a:cubicBezTo>
              <a:cubicBezTo>
                <a:pt x="111136" y="91238"/>
                <a:pt x="111087" y="91301"/>
                <a:pt x="111076" y="91369"/>
              </a:cubicBezTo>
              <a:cubicBezTo>
                <a:pt x="109038" y="97748"/>
                <a:pt x="107470" y="104265"/>
                <a:pt x="106383" y="110869"/>
              </a:cubicBezTo>
              <a:cubicBezTo>
                <a:pt x="103731" y="127081"/>
                <a:pt x="103508" y="143593"/>
                <a:pt x="105722" y="159870"/>
              </a:cubicBezTo>
              <a:cubicBezTo>
                <a:pt x="100275" y="158654"/>
                <a:pt x="94909" y="157102"/>
                <a:pt x="89656" y="155224"/>
              </a:cubicBezTo>
              <a:cubicBezTo>
                <a:pt x="89739" y="155006"/>
                <a:pt x="89845" y="154804"/>
                <a:pt x="89928" y="154586"/>
              </a:cubicBezTo>
              <a:lnTo>
                <a:pt x="91183" y="151211"/>
              </a:lnTo>
              <a:cubicBezTo>
                <a:pt x="92438" y="147968"/>
                <a:pt x="93112" y="144531"/>
                <a:pt x="93174" y="141056"/>
              </a:cubicBezTo>
              <a:cubicBezTo>
                <a:pt x="93180" y="119389"/>
                <a:pt x="75488" y="101819"/>
                <a:pt x="53656" y="101813"/>
              </a:cubicBezTo>
              <a:cubicBezTo>
                <a:pt x="53652" y="101813"/>
                <a:pt x="53649" y="101813"/>
                <a:pt x="53645" y="101813"/>
              </a:cubicBezTo>
              <a:cubicBezTo>
                <a:pt x="52957" y="101831"/>
                <a:pt x="52254" y="101843"/>
                <a:pt x="51544" y="101843"/>
              </a:cubicBezTo>
              <a:cubicBezTo>
                <a:pt x="30710" y="101843"/>
                <a:pt x="0" y="93405"/>
                <a:pt x="0" y="93405"/>
              </a:cubicBezTo>
              <a:cubicBezTo>
                <a:pt x="0" y="127849"/>
                <a:pt x="3778" y="158558"/>
                <a:pt x="34077" y="175155"/>
              </a:cubicBezTo>
              <a:lnTo>
                <a:pt x="34077" y="175155"/>
              </a:lnTo>
              <a:cubicBezTo>
                <a:pt x="44464" y="181035"/>
                <a:pt x="56977" y="181928"/>
                <a:pt x="68105" y="177581"/>
              </a:cubicBezTo>
              <a:cubicBezTo>
                <a:pt x="75707" y="174499"/>
                <a:pt x="82091" y="169043"/>
                <a:pt x="86290" y="162038"/>
              </a:cubicBezTo>
              <a:cubicBezTo>
                <a:pt x="92998" y="164502"/>
                <a:pt x="99897" y="166419"/>
                <a:pt x="106920" y="167768"/>
              </a:cubicBezTo>
              <a:cubicBezTo>
                <a:pt x="108027" y="174353"/>
                <a:pt x="109353" y="180683"/>
                <a:pt x="110675" y="186945"/>
              </a:cubicBezTo>
              <a:cubicBezTo>
                <a:pt x="114276" y="201853"/>
                <a:pt x="116414" y="217071"/>
                <a:pt x="117061" y="232388"/>
              </a:cubicBezTo>
              <a:lnTo>
                <a:pt x="116263" y="258709"/>
              </a:lnTo>
              <a:cubicBezTo>
                <a:pt x="109687" y="260425"/>
                <a:pt x="103479" y="263312"/>
                <a:pt x="97942" y="267229"/>
              </a:cubicBezTo>
              <a:cubicBezTo>
                <a:pt x="96389" y="268354"/>
                <a:pt x="94863" y="269565"/>
                <a:pt x="93408" y="270836"/>
              </a:cubicBezTo>
              <a:cubicBezTo>
                <a:pt x="85958" y="267783"/>
                <a:pt x="77971" y="266224"/>
                <a:pt x="69911" y="266250"/>
              </a:cubicBezTo>
              <a:cubicBezTo>
                <a:pt x="47444" y="266156"/>
                <a:pt x="26792" y="278478"/>
                <a:pt x="16338" y="298215"/>
              </a:cubicBezTo>
              <a:cubicBezTo>
                <a:pt x="15293" y="300008"/>
                <a:pt x="15911" y="302302"/>
                <a:pt x="17717" y="303339"/>
              </a:cubicBezTo>
              <a:cubicBezTo>
                <a:pt x="19523" y="304376"/>
                <a:pt x="21835" y="303762"/>
                <a:pt x="22879" y="301970"/>
              </a:cubicBezTo>
              <a:cubicBezTo>
                <a:pt x="22915" y="301909"/>
                <a:pt x="22948" y="301848"/>
                <a:pt x="22980" y="301785"/>
              </a:cubicBezTo>
              <a:cubicBezTo>
                <a:pt x="36296" y="277003"/>
                <a:pt x="66784" y="266842"/>
                <a:pt x="92471" y="278625"/>
              </a:cubicBezTo>
              <a:lnTo>
                <a:pt x="94791" y="279713"/>
              </a:lnTo>
              <a:lnTo>
                <a:pt x="96680" y="277976"/>
              </a:lnTo>
              <a:cubicBezTo>
                <a:pt x="98488" y="276303"/>
                <a:pt x="100393" y="274736"/>
                <a:pt x="102386" y="273285"/>
              </a:cubicBezTo>
              <a:cubicBezTo>
                <a:pt x="108366" y="269077"/>
                <a:pt x="115200" y="266216"/>
                <a:pt x="122411" y="264904"/>
              </a:cubicBezTo>
              <a:lnTo>
                <a:pt x="124013" y="264585"/>
              </a:lnTo>
              <a:cubicBezTo>
                <a:pt x="139361" y="261268"/>
                <a:pt x="155398" y="265000"/>
                <a:pt x="167660" y="274744"/>
              </a:cubicBezTo>
              <a:cubicBezTo>
                <a:pt x="168499" y="275434"/>
                <a:pt x="169318" y="276144"/>
                <a:pt x="170116" y="276874"/>
              </a:cubicBezTo>
              <a:lnTo>
                <a:pt x="171076" y="277759"/>
              </a:lnTo>
              <a:lnTo>
                <a:pt x="172376" y="277864"/>
              </a:lnTo>
              <a:cubicBezTo>
                <a:pt x="188892" y="279013"/>
                <a:pt x="203841" y="287983"/>
                <a:pt x="212539" y="301965"/>
              </a:cubicBezTo>
              <a:cubicBezTo>
                <a:pt x="213537" y="303784"/>
                <a:pt x="215831" y="304457"/>
                <a:pt x="217664" y="303467"/>
              </a:cubicBezTo>
              <a:cubicBezTo>
                <a:pt x="219497" y="302477"/>
                <a:pt x="220174" y="300200"/>
                <a:pt x="219177" y="298380"/>
              </a:cubicBezTo>
              <a:cubicBezTo>
                <a:pt x="219112" y="298262"/>
                <a:pt x="219040" y="298146"/>
                <a:pt x="218963" y="298035"/>
              </a:cubicBezTo>
              <a:cubicBezTo>
                <a:pt x="209260" y="282396"/>
                <a:pt x="192710" y="272199"/>
                <a:pt x="174284" y="270506"/>
              </a:cubicBezTo>
              <a:close/>
              <a:moveTo>
                <a:pt x="134611" y="179520"/>
              </a:moveTo>
              <a:lnTo>
                <a:pt x="134611" y="177473"/>
              </a:lnTo>
              <a:cubicBezTo>
                <a:pt x="134630" y="159996"/>
                <a:pt x="148869" y="145817"/>
                <a:pt x="166478" y="145740"/>
              </a:cubicBezTo>
              <a:cubicBezTo>
                <a:pt x="167199" y="145763"/>
                <a:pt x="167936" y="145770"/>
                <a:pt x="168684" y="145770"/>
              </a:cubicBezTo>
              <a:cubicBezTo>
                <a:pt x="183484" y="145186"/>
                <a:pt x="198183" y="143085"/>
                <a:pt x="212547" y="139500"/>
              </a:cubicBezTo>
              <a:cubicBezTo>
                <a:pt x="211663" y="170205"/>
                <a:pt x="205882" y="191040"/>
                <a:pt x="184716" y="203745"/>
              </a:cubicBezTo>
              <a:lnTo>
                <a:pt x="182407" y="205054"/>
              </a:lnTo>
              <a:cubicBezTo>
                <a:pt x="167876" y="213285"/>
                <a:pt x="149405" y="208958"/>
                <a:pt x="140116" y="195146"/>
              </a:cubicBezTo>
              <a:cubicBezTo>
                <a:pt x="141318" y="194674"/>
                <a:pt x="142538" y="194205"/>
                <a:pt x="143766" y="193733"/>
              </a:cubicBezTo>
              <a:cubicBezTo>
                <a:pt x="153665" y="190437"/>
                <a:pt x="163057" y="185799"/>
                <a:pt x="171677" y="179951"/>
              </a:cubicBezTo>
              <a:cubicBezTo>
                <a:pt x="173332" y="178685"/>
                <a:pt x="173640" y="176326"/>
                <a:pt x="172364" y="174683"/>
              </a:cubicBezTo>
              <a:cubicBezTo>
                <a:pt x="171088" y="173039"/>
                <a:pt x="168711" y="172734"/>
                <a:pt x="167056" y="174000"/>
              </a:cubicBezTo>
              <a:cubicBezTo>
                <a:pt x="159009" y="179402"/>
                <a:pt x="150254" y="183682"/>
                <a:pt x="141034" y="186720"/>
              </a:cubicBezTo>
              <a:cubicBezTo>
                <a:pt x="139496" y="187313"/>
                <a:pt x="138012" y="187890"/>
                <a:pt x="136523" y="188471"/>
              </a:cubicBezTo>
              <a:cubicBezTo>
                <a:pt x="135280" y="185648"/>
                <a:pt x="134632" y="182601"/>
                <a:pt x="134619" y="179520"/>
              </a:cubicBezTo>
              <a:close/>
              <a:moveTo>
                <a:pt x="145700" y="82200"/>
              </a:moveTo>
              <a:cubicBezTo>
                <a:pt x="148009" y="79854"/>
                <a:pt x="151173" y="78528"/>
                <a:pt x="154478" y="78521"/>
              </a:cubicBezTo>
              <a:cubicBezTo>
                <a:pt x="157075" y="78517"/>
                <a:pt x="159603" y="79356"/>
                <a:pt x="161675" y="80910"/>
              </a:cubicBezTo>
              <a:cubicBezTo>
                <a:pt x="166812" y="84716"/>
                <a:pt x="172336" y="87977"/>
                <a:pt x="178156" y="90641"/>
              </a:cubicBezTo>
              <a:cubicBezTo>
                <a:pt x="171257" y="98366"/>
                <a:pt x="164675" y="102908"/>
                <a:pt x="156510" y="102908"/>
              </a:cubicBezTo>
              <a:cubicBezTo>
                <a:pt x="155657" y="102906"/>
                <a:pt x="154805" y="102861"/>
                <a:pt x="153956" y="102772"/>
              </a:cubicBezTo>
              <a:lnTo>
                <a:pt x="152732" y="102611"/>
              </a:lnTo>
              <a:cubicBezTo>
                <a:pt x="150633" y="102332"/>
                <a:pt x="148644" y="101516"/>
                <a:pt x="146959" y="100245"/>
              </a:cubicBezTo>
              <a:cubicBezTo>
                <a:pt x="144367" y="98283"/>
                <a:pt x="142687" y="95364"/>
                <a:pt x="142300" y="92153"/>
              </a:cubicBezTo>
              <a:lnTo>
                <a:pt x="142300" y="91027"/>
              </a:lnTo>
              <a:cubicBezTo>
                <a:pt x="142300" y="90604"/>
                <a:pt x="142372" y="90191"/>
                <a:pt x="142413" y="89771"/>
              </a:cubicBezTo>
              <a:cubicBezTo>
                <a:pt x="144736" y="90133"/>
                <a:pt x="147033" y="90643"/>
                <a:pt x="149290" y="91298"/>
              </a:cubicBezTo>
              <a:cubicBezTo>
                <a:pt x="151292" y="91882"/>
                <a:pt x="153393" y="90746"/>
                <a:pt x="153983" y="88759"/>
              </a:cubicBezTo>
              <a:cubicBezTo>
                <a:pt x="154572" y="86772"/>
                <a:pt x="153427" y="84686"/>
                <a:pt x="151425" y="84101"/>
              </a:cubicBezTo>
              <a:cubicBezTo>
                <a:pt x="149335" y="83494"/>
                <a:pt x="147314" y="83033"/>
                <a:pt x="145330" y="82661"/>
              </a:cubicBezTo>
              <a:cubicBezTo>
                <a:pt x="145443" y="82499"/>
                <a:pt x="145567" y="82345"/>
                <a:pt x="145700" y="82200"/>
              </a:cubicBezTo>
              <a:close/>
              <a:moveTo>
                <a:pt x="98728" y="62014"/>
              </a:moveTo>
              <a:cubicBezTo>
                <a:pt x="98293" y="62063"/>
                <a:pt x="97855" y="62088"/>
                <a:pt x="97417" y="62089"/>
              </a:cubicBezTo>
              <a:cubicBezTo>
                <a:pt x="95297" y="62090"/>
                <a:pt x="93213" y="61542"/>
                <a:pt x="91372" y="60499"/>
              </a:cubicBezTo>
              <a:lnTo>
                <a:pt x="90336" y="59914"/>
              </a:lnTo>
              <a:cubicBezTo>
                <a:pt x="82251" y="55039"/>
                <a:pt x="79311" y="47119"/>
                <a:pt x="78446" y="35693"/>
              </a:cubicBezTo>
              <a:cubicBezTo>
                <a:pt x="84335" y="36971"/>
                <a:pt x="90330" y="37700"/>
                <a:pt x="96355" y="37871"/>
              </a:cubicBezTo>
              <a:cubicBezTo>
                <a:pt x="96733" y="37871"/>
                <a:pt x="97111" y="37871"/>
                <a:pt x="97489" y="37871"/>
              </a:cubicBezTo>
              <a:cubicBezTo>
                <a:pt x="104190" y="37931"/>
                <a:pt x="109594" y="43336"/>
                <a:pt x="109602" y="49988"/>
              </a:cubicBezTo>
              <a:cubicBezTo>
                <a:pt x="109588" y="50292"/>
                <a:pt x="109557" y="50595"/>
                <a:pt x="109508" y="50895"/>
              </a:cubicBezTo>
              <a:cubicBezTo>
                <a:pt x="109434" y="51326"/>
                <a:pt x="109338" y="51753"/>
                <a:pt x="109221" y="52174"/>
              </a:cubicBezTo>
              <a:cubicBezTo>
                <a:pt x="107467" y="51053"/>
                <a:pt x="105618" y="50090"/>
                <a:pt x="103693" y="49294"/>
              </a:cubicBezTo>
              <a:cubicBezTo>
                <a:pt x="101694" y="48699"/>
                <a:pt x="99588" y="49825"/>
                <a:pt x="98988" y="51808"/>
              </a:cubicBezTo>
              <a:cubicBezTo>
                <a:pt x="98458" y="53563"/>
                <a:pt x="99283" y="55441"/>
                <a:pt x="100938" y="56250"/>
              </a:cubicBezTo>
              <a:cubicBezTo>
                <a:pt x="102456" y="56884"/>
                <a:pt x="103914" y="57651"/>
                <a:pt x="105295" y="58541"/>
              </a:cubicBezTo>
              <a:cubicBezTo>
                <a:pt x="103558" y="60394"/>
                <a:pt x="101246" y="61617"/>
                <a:pt x="98728" y="62014"/>
              </a:cubicBezTo>
              <a:close/>
              <a:moveTo>
                <a:pt x="65358" y="170576"/>
              </a:moveTo>
              <a:cubicBezTo>
                <a:pt x="61637" y="172035"/>
                <a:pt x="57672" y="172781"/>
                <a:pt x="53671" y="172774"/>
              </a:cubicBezTo>
              <a:cubicBezTo>
                <a:pt x="48124" y="172772"/>
                <a:pt x="42672" y="171339"/>
                <a:pt x="37851" y="168615"/>
              </a:cubicBezTo>
              <a:lnTo>
                <a:pt x="35649" y="167366"/>
              </a:lnTo>
              <a:cubicBezTo>
                <a:pt x="14395" y="154669"/>
                <a:pt x="8600" y="133815"/>
                <a:pt x="7712" y="103061"/>
              </a:cubicBezTo>
              <a:cubicBezTo>
                <a:pt x="22074" y="106650"/>
                <a:pt x="36772" y="108755"/>
                <a:pt x="51571" y="109343"/>
              </a:cubicBezTo>
              <a:cubicBezTo>
                <a:pt x="52326" y="109343"/>
                <a:pt x="53052" y="109343"/>
                <a:pt x="53773" y="109313"/>
              </a:cubicBezTo>
              <a:cubicBezTo>
                <a:pt x="71376" y="109387"/>
                <a:pt x="85613" y="123556"/>
                <a:pt x="85640" y="141026"/>
              </a:cubicBezTo>
              <a:cubicBezTo>
                <a:pt x="85586" y="143619"/>
                <a:pt x="85075" y="146183"/>
                <a:pt x="84129" y="148601"/>
              </a:cubicBezTo>
              <a:lnTo>
                <a:pt x="82640" y="152520"/>
              </a:lnTo>
              <a:cubicBezTo>
                <a:pt x="72504" y="148383"/>
                <a:pt x="62838" y="143191"/>
                <a:pt x="53804" y="137033"/>
              </a:cubicBezTo>
              <a:cubicBezTo>
                <a:pt x="52085" y="135850"/>
                <a:pt x="49726" y="136274"/>
                <a:pt x="48535" y="137979"/>
              </a:cubicBezTo>
              <a:cubicBezTo>
                <a:pt x="47343" y="139685"/>
                <a:pt x="47770" y="142026"/>
                <a:pt x="49489" y="143209"/>
              </a:cubicBezTo>
              <a:cubicBezTo>
                <a:pt x="58772" y="149551"/>
                <a:pt x="68693" y="154920"/>
                <a:pt x="79092" y="159229"/>
              </a:cubicBezTo>
              <a:cubicBezTo>
                <a:pt x="75783" y="164309"/>
                <a:pt x="70992" y="168267"/>
                <a:pt x="65358" y="170576"/>
              </a:cubicBezTo>
              <a:close/>
              <a:moveTo>
                <a:pt x="138382" y="26625"/>
              </a:moveTo>
              <a:cubicBezTo>
                <a:pt x="138380" y="24521"/>
                <a:pt x="138932" y="22452"/>
                <a:pt x="139984" y="20625"/>
              </a:cubicBezTo>
              <a:lnTo>
                <a:pt x="140573" y="19598"/>
              </a:lnTo>
              <a:cubicBezTo>
                <a:pt x="145485" y="11573"/>
                <a:pt x="153465" y="8655"/>
                <a:pt x="164981" y="7796"/>
              </a:cubicBezTo>
              <a:cubicBezTo>
                <a:pt x="163591" y="14006"/>
                <a:pt x="162859" y="20343"/>
                <a:pt x="162798" y="26704"/>
              </a:cubicBezTo>
              <a:cubicBezTo>
                <a:pt x="162196" y="32447"/>
                <a:pt x="157872" y="37121"/>
                <a:pt x="152158" y="38205"/>
              </a:cubicBezTo>
              <a:cubicBezTo>
                <a:pt x="152044" y="38213"/>
                <a:pt x="151931" y="38213"/>
                <a:pt x="151818" y="38205"/>
              </a:cubicBezTo>
              <a:cubicBezTo>
                <a:pt x="150838" y="38165"/>
                <a:pt x="149866" y="38007"/>
                <a:pt x="148923" y="37736"/>
              </a:cubicBezTo>
              <a:cubicBezTo>
                <a:pt x="148462" y="37616"/>
                <a:pt x="147979" y="37433"/>
                <a:pt x="147499" y="37268"/>
              </a:cubicBezTo>
              <a:cubicBezTo>
                <a:pt x="149486" y="34560"/>
                <a:pt x="150733" y="33023"/>
                <a:pt x="150794" y="32947"/>
              </a:cubicBezTo>
              <a:cubicBezTo>
                <a:pt x="152112" y="31343"/>
                <a:pt x="151871" y="28980"/>
                <a:pt x="150253" y="27671"/>
              </a:cubicBezTo>
              <a:cubicBezTo>
                <a:pt x="148636" y="26362"/>
                <a:pt x="146256" y="26603"/>
                <a:pt x="144937" y="28208"/>
              </a:cubicBezTo>
              <a:cubicBezTo>
                <a:pt x="144661" y="28541"/>
                <a:pt x="143048" y="30566"/>
                <a:pt x="140641" y="33832"/>
              </a:cubicBezTo>
              <a:cubicBezTo>
                <a:pt x="139051" y="31772"/>
                <a:pt x="138250" y="29217"/>
                <a:pt x="138382" y="26625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6</xdr:col>
      <xdr:colOff>117648</xdr:colOff>
      <xdr:row>6</xdr:row>
      <xdr:rowOff>118797</xdr:rowOff>
    </xdr:from>
    <xdr:to>
      <xdr:col>6</xdr:col>
      <xdr:colOff>466397</xdr:colOff>
      <xdr:row>6</xdr:row>
      <xdr:rowOff>463193</xdr:rowOff>
    </xdr:to>
    <xdr:grpSp>
      <xdr:nvGrpSpPr>
        <xdr:cNvPr id="306" name="fish" descr="Anemone and clownfish outline">
          <a:extLst>
            <a:ext uri="{FF2B5EF4-FFF2-40B4-BE49-F238E27FC236}">
              <a16:creationId xmlns:a16="http://schemas.microsoft.com/office/drawing/2014/main" id="{72DC3C0D-FBB1-46E9-A70D-7A60321FEA2F}"/>
            </a:ext>
          </a:extLst>
        </xdr:cNvPr>
        <xdr:cNvGrpSpPr>
          <a:grpSpLocks noChangeAspect="1"/>
        </xdr:cNvGrpSpPr>
      </xdr:nvGrpSpPr>
      <xdr:grpSpPr>
        <a:xfrm>
          <a:off x="5337348" y="1757097"/>
          <a:ext cx="348749" cy="344396"/>
          <a:chOff x="14295017" y="5290642"/>
          <a:chExt cx="348749" cy="344396"/>
        </a:xfrm>
        <a:solidFill>
          <a:srgbClr val="1F4E78"/>
        </a:solidFill>
      </xdr:grpSpPr>
      <xdr:sp macro="" textlink="">
        <xdr:nvSpPr>
          <xdr:cNvPr id="307" name="Freeform: Shape 306">
            <a:extLst>
              <a:ext uri="{FF2B5EF4-FFF2-40B4-BE49-F238E27FC236}">
                <a16:creationId xmlns:a16="http://schemas.microsoft.com/office/drawing/2014/main" id="{383AC91D-E087-431B-927E-F2D70CC6300C}"/>
              </a:ext>
            </a:extLst>
          </xdr:cNvPr>
          <xdr:cNvSpPr/>
        </xdr:nvSpPr>
        <xdr:spPr>
          <a:xfrm>
            <a:off x="14410127" y="5344284"/>
            <a:ext cx="26448" cy="26251"/>
          </a:xfrm>
          <a:custGeom>
            <a:avLst/>
            <a:gdLst>
              <a:gd name="connsiteX0" fmla="*/ 13208 w 26448"/>
              <a:gd name="connsiteY0" fmla="*/ 0 h 26251"/>
              <a:gd name="connsiteX1" fmla="*/ 0 w 26448"/>
              <a:gd name="connsiteY1" fmla="*/ 13142 h 26251"/>
              <a:gd name="connsiteX2" fmla="*/ 12027 w 26448"/>
              <a:gd name="connsiteY2" fmla="*/ 26197 h 26251"/>
              <a:gd name="connsiteX3" fmla="*/ 13239 w 26448"/>
              <a:gd name="connsiteY3" fmla="*/ 26252 h 26251"/>
              <a:gd name="connsiteX4" fmla="*/ 26448 w 26448"/>
              <a:gd name="connsiteY4" fmla="*/ 13112 h 26251"/>
              <a:gd name="connsiteX5" fmla="*/ 14422 w 26448"/>
              <a:gd name="connsiteY5" fmla="*/ 55 h 26251"/>
              <a:gd name="connsiteX6" fmla="*/ 13208 w 26448"/>
              <a:gd name="connsiteY6" fmla="*/ 0 h 26251"/>
              <a:gd name="connsiteX7" fmla="*/ 18868 w 26448"/>
              <a:gd name="connsiteY7" fmla="*/ 13635 h 26251"/>
              <a:gd name="connsiteX8" fmla="*/ 13239 w 26448"/>
              <a:gd name="connsiteY8" fmla="*/ 18752 h 26251"/>
              <a:gd name="connsiteX9" fmla="*/ 12711 w 26448"/>
              <a:gd name="connsiteY9" fmla="*/ 18728 h 26251"/>
              <a:gd name="connsiteX10" fmla="*/ 7579 w 26448"/>
              <a:gd name="connsiteY10" fmla="*/ 12617 h 26251"/>
              <a:gd name="connsiteX11" fmla="*/ 13210 w 26448"/>
              <a:gd name="connsiteY11" fmla="*/ 7500 h 26251"/>
              <a:gd name="connsiteX12" fmla="*/ 13738 w 26448"/>
              <a:gd name="connsiteY12" fmla="*/ 7524 h 26251"/>
              <a:gd name="connsiteX13" fmla="*/ 18868 w 26448"/>
              <a:gd name="connsiteY13" fmla="*/ 13635 h 26251"/>
              <a:gd name="connsiteX14" fmla="*/ 18868 w 26448"/>
              <a:gd name="connsiteY14" fmla="*/ 13635 h 262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26448" h="26251">
                <a:moveTo>
                  <a:pt x="13208" y="0"/>
                </a:moveTo>
                <a:cubicBezTo>
                  <a:pt x="5904" y="9"/>
                  <a:pt x="-9" y="5892"/>
                  <a:pt x="0" y="13142"/>
                </a:cubicBezTo>
                <a:cubicBezTo>
                  <a:pt x="8" y="19924"/>
                  <a:pt x="5222" y="25583"/>
                  <a:pt x="12027" y="26197"/>
                </a:cubicBezTo>
                <a:cubicBezTo>
                  <a:pt x="12435" y="26234"/>
                  <a:pt x="12837" y="26252"/>
                  <a:pt x="13239" y="26252"/>
                </a:cubicBezTo>
                <a:cubicBezTo>
                  <a:pt x="20542" y="26244"/>
                  <a:pt x="26457" y="20361"/>
                  <a:pt x="26448" y="13112"/>
                </a:cubicBezTo>
                <a:cubicBezTo>
                  <a:pt x="26441" y="6329"/>
                  <a:pt x="21227" y="669"/>
                  <a:pt x="14422" y="55"/>
                </a:cubicBezTo>
                <a:cubicBezTo>
                  <a:pt x="14014" y="18"/>
                  <a:pt x="13610" y="0"/>
                  <a:pt x="13208" y="0"/>
                </a:cubicBezTo>
                <a:close/>
                <a:moveTo>
                  <a:pt x="18868" y="13635"/>
                </a:moveTo>
                <a:cubicBezTo>
                  <a:pt x="18589" y="16520"/>
                  <a:pt x="16158" y="18729"/>
                  <a:pt x="13239" y="18752"/>
                </a:cubicBezTo>
                <a:cubicBezTo>
                  <a:pt x="13063" y="18752"/>
                  <a:pt x="12888" y="18744"/>
                  <a:pt x="12711" y="18728"/>
                </a:cubicBezTo>
                <a:cubicBezTo>
                  <a:pt x="9594" y="18447"/>
                  <a:pt x="7296" y="15711"/>
                  <a:pt x="7579" y="12617"/>
                </a:cubicBezTo>
                <a:cubicBezTo>
                  <a:pt x="7844" y="9724"/>
                  <a:pt x="10284" y="7507"/>
                  <a:pt x="13210" y="7500"/>
                </a:cubicBezTo>
                <a:cubicBezTo>
                  <a:pt x="13384" y="7500"/>
                  <a:pt x="13560" y="7508"/>
                  <a:pt x="13738" y="7524"/>
                </a:cubicBezTo>
                <a:cubicBezTo>
                  <a:pt x="16855" y="7805"/>
                  <a:pt x="19152" y="10541"/>
                  <a:pt x="18868" y="13635"/>
                </a:cubicBezTo>
                <a:cubicBezTo>
                  <a:pt x="18868" y="13635"/>
                  <a:pt x="18868" y="13635"/>
                  <a:pt x="18868" y="1363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08" name="Freeform: Shape 307">
            <a:extLst>
              <a:ext uri="{FF2B5EF4-FFF2-40B4-BE49-F238E27FC236}">
                <a16:creationId xmlns:a16="http://schemas.microsoft.com/office/drawing/2014/main" id="{5EED0CDA-E87E-4038-BE64-C82A132AE9FB}"/>
              </a:ext>
            </a:extLst>
          </xdr:cNvPr>
          <xdr:cNvSpPr/>
        </xdr:nvSpPr>
        <xdr:spPr>
          <a:xfrm>
            <a:off x="14371067" y="5318168"/>
            <a:ext cx="26448" cy="26251"/>
          </a:xfrm>
          <a:custGeom>
            <a:avLst/>
            <a:gdLst>
              <a:gd name="connsiteX0" fmla="*/ 12027 w 26448"/>
              <a:gd name="connsiteY0" fmla="*/ 26197 h 26251"/>
              <a:gd name="connsiteX1" fmla="*/ 13240 w 26448"/>
              <a:gd name="connsiteY1" fmla="*/ 26252 h 26251"/>
              <a:gd name="connsiteX2" fmla="*/ 26448 w 26448"/>
              <a:gd name="connsiteY2" fmla="*/ 13110 h 26251"/>
              <a:gd name="connsiteX3" fmla="*/ 14421 w 26448"/>
              <a:gd name="connsiteY3" fmla="*/ 55 h 26251"/>
              <a:gd name="connsiteX4" fmla="*/ 13208 w 26448"/>
              <a:gd name="connsiteY4" fmla="*/ 0 h 26251"/>
              <a:gd name="connsiteX5" fmla="*/ 0 w 26448"/>
              <a:gd name="connsiteY5" fmla="*/ 13142 h 26251"/>
              <a:gd name="connsiteX6" fmla="*/ 12027 w 26448"/>
              <a:gd name="connsiteY6" fmla="*/ 26197 h 26251"/>
              <a:gd name="connsiteX7" fmla="*/ 13210 w 26448"/>
              <a:gd name="connsiteY7" fmla="*/ 7500 h 26251"/>
              <a:gd name="connsiteX8" fmla="*/ 13737 w 26448"/>
              <a:gd name="connsiteY8" fmla="*/ 7524 h 26251"/>
              <a:gd name="connsiteX9" fmla="*/ 18868 w 26448"/>
              <a:gd name="connsiteY9" fmla="*/ 13633 h 26251"/>
              <a:gd name="connsiteX10" fmla="*/ 18868 w 26448"/>
              <a:gd name="connsiteY10" fmla="*/ 13635 h 26251"/>
              <a:gd name="connsiteX11" fmla="*/ 13240 w 26448"/>
              <a:gd name="connsiteY11" fmla="*/ 18752 h 26251"/>
              <a:gd name="connsiteX12" fmla="*/ 12711 w 26448"/>
              <a:gd name="connsiteY12" fmla="*/ 18728 h 26251"/>
              <a:gd name="connsiteX13" fmla="*/ 7580 w 26448"/>
              <a:gd name="connsiteY13" fmla="*/ 12616 h 26251"/>
              <a:gd name="connsiteX14" fmla="*/ 13210 w 26448"/>
              <a:gd name="connsiteY14" fmla="*/ 7500 h 262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26448" h="26251">
                <a:moveTo>
                  <a:pt x="12027" y="26197"/>
                </a:moveTo>
                <a:cubicBezTo>
                  <a:pt x="12435" y="26233"/>
                  <a:pt x="12839" y="26252"/>
                  <a:pt x="13240" y="26252"/>
                </a:cubicBezTo>
                <a:cubicBezTo>
                  <a:pt x="20543" y="26243"/>
                  <a:pt x="26457" y="20359"/>
                  <a:pt x="26448" y="13110"/>
                </a:cubicBezTo>
                <a:cubicBezTo>
                  <a:pt x="26440" y="6328"/>
                  <a:pt x="21226" y="669"/>
                  <a:pt x="14421" y="55"/>
                </a:cubicBezTo>
                <a:cubicBezTo>
                  <a:pt x="14013" y="18"/>
                  <a:pt x="13610" y="0"/>
                  <a:pt x="13208" y="0"/>
                </a:cubicBezTo>
                <a:cubicBezTo>
                  <a:pt x="5904" y="9"/>
                  <a:pt x="-9" y="5893"/>
                  <a:pt x="0" y="13142"/>
                </a:cubicBezTo>
                <a:cubicBezTo>
                  <a:pt x="9" y="19924"/>
                  <a:pt x="5222" y="25583"/>
                  <a:pt x="12027" y="26197"/>
                </a:cubicBezTo>
                <a:close/>
                <a:moveTo>
                  <a:pt x="13210" y="7500"/>
                </a:moveTo>
                <a:cubicBezTo>
                  <a:pt x="13384" y="7500"/>
                  <a:pt x="13559" y="7508"/>
                  <a:pt x="13737" y="7524"/>
                </a:cubicBezTo>
                <a:cubicBezTo>
                  <a:pt x="16854" y="7805"/>
                  <a:pt x="19151" y="10540"/>
                  <a:pt x="18868" y="13633"/>
                </a:cubicBezTo>
                <a:cubicBezTo>
                  <a:pt x="18868" y="13634"/>
                  <a:pt x="18868" y="13635"/>
                  <a:pt x="18868" y="13635"/>
                </a:cubicBezTo>
                <a:cubicBezTo>
                  <a:pt x="18589" y="16519"/>
                  <a:pt x="16159" y="18728"/>
                  <a:pt x="13240" y="18752"/>
                </a:cubicBezTo>
                <a:cubicBezTo>
                  <a:pt x="13065" y="18752"/>
                  <a:pt x="12889" y="18744"/>
                  <a:pt x="12711" y="18728"/>
                </a:cubicBezTo>
                <a:cubicBezTo>
                  <a:pt x="9594" y="18447"/>
                  <a:pt x="7296" y="15711"/>
                  <a:pt x="7580" y="12616"/>
                </a:cubicBezTo>
                <a:cubicBezTo>
                  <a:pt x="7845" y="9724"/>
                  <a:pt x="10284" y="7507"/>
                  <a:pt x="13210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09" name="Freeform: Shape 308">
            <a:extLst>
              <a:ext uri="{FF2B5EF4-FFF2-40B4-BE49-F238E27FC236}">
                <a16:creationId xmlns:a16="http://schemas.microsoft.com/office/drawing/2014/main" id="{DC616F03-BE2B-4D4F-9472-0FCC24E1DE64}"/>
              </a:ext>
            </a:extLst>
          </xdr:cNvPr>
          <xdr:cNvSpPr/>
        </xdr:nvSpPr>
        <xdr:spPr>
          <a:xfrm>
            <a:off x="14399864" y="5290642"/>
            <a:ext cx="26448" cy="26251"/>
          </a:xfrm>
          <a:custGeom>
            <a:avLst/>
            <a:gdLst>
              <a:gd name="connsiteX0" fmla="*/ 12027 w 26448"/>
              <a:gd name="connsiteY0" fmla="*/ 26197 h 26251"/>
              <a:gd name="connsiteX1" fmla="*/ 13240 w 26448"/>
              <a:gd name="connsiteY1" fmla="*/ 26252 h 26251"/>
              <a:gd name="connsiteX2" fmla="*/ 26448 w 26448"/>
              <a:gd name="connsiteY2" fmla="*/ 13110 h 26251"/>
              <a:gd name="connsiteX3" fmla="*/ 14421 w 26448"/>
              <a:gd name="connsiteY3" fmla="*/ 55 h 26251"/>
              <a:gd name="connsiteX4" fmla="*/ 13208 w 26448"/>
              <a:gd name="connsiteY4" fmla="*/ 0 h 26251"/>
              <a:gd name="connsiteX5" fmla="*/ 0 w 26448"/>
              <a:gd name="connsiteY5" fmla="*/ 13142 h 26251"/>
              <a:gd name="connsiteX6" fmla="*/ 12027 w 26448"/>
              <a:gd name="connsiteY6" fmla="*/ 26197 h 26251"/>
              <a:gd name="connsiteX7" fmla="*/ 13210 w 26448"/>
              <a:gd name="connsiteY7" fmla="*/ 7500 h 26251"/>
              <a:gd name="connsiteX8" fmla="*/ 13737 w 26448"/>
              <a:gd name="connsiteY8" fmla="*/ 7524 h 26251"/>
              <a:gd name="connsiteX9" fmla="*/ 18869 w 26448"/>
              <a:gd name="connsiteY9" fmla="*/ 13635 h 26251"/>
              <a:gd name="connsiteX10" fmla="*/ 13240 w 26448"/>
              <a:gd name="connsiteY10" fmla="*/ 18752 h 26251"/>
              <a:gd name="connsiteX11" fmla="*/ 12711 w 26448"/>
              <a:gd name="connsiteY11" fmla="*/ 18728 h 26251"/>
              <a:gd name="connsiteX12" fmla="*/ 7580 w 26448"/>
              <a:gd name="connsiteY12" fmla="*/ 12618 h 26251"/>
              <a:gd name="connsiteX13" fmla="*/ 7580 w 26448"/>
              <a:gd name="connsiteY13" fmla="*/ 12616 h 26251"/>
              <a:gd name="connsiteX14" fmla="*/ 13210 w 26448"/>
              <a:gd name="connsiteY14" fmla="*/ 7500 h 262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26448" h="26251">
                <a:moveTo>
                  <a:pt x="12027" y="26197"/>
                </a:moveTo>
                <a:cubicBezTo>
                  <a:pt x="12435" y="26234"/>
                  <a:pt x="12838" y="26252"/>
                  <a:pt x="13240" y="26252"/>
                </a:cubicBezTo>
                <a:cubicBezTo>
                  <a:pt x="20544" y="26243"/>
                  <a:pt x="26457" y="20359"/>
                  <a:pt x="26448" y="13110"/>
                </a:cubicBezTo>
                <a:cubicBezTo>
                  <a:pt x="26439" y="6328"/>
                  <a:pt x="21226" y="669"/>
                  <a:pt x="14421" y="55"/>
                </a:cubicBezTo>
                <a:cubicBezTo>
                  <a:pt x="14013" y="18"/>
                  <a:pt x="13610" y="0"/>
                  <a:pt x="13208" y="0"/>
                </a:cubicBezTo>
                <a:cubicBezTo>
                  <a:pt x="5904" y="9"/>
                  <a:pt x="-9" y="5893"/>
                  <a:pt x="0" y="13142"/>
                </a:cubicBezTo>
                <a:cubicBezTo>
                  <a:pt x="9" y="19924"/>
                  <a:pt x="5222" y="25583"/>
                  <a:pt x="12027" y="26197"/>
                </a:cubicBezTo>
                <a:close/>
                <a:moveTo>
                  <a:pt x="13210" y="7500"/>
                </a:moveTo>
                <a:cubicBezTo>
                  <a:pt x="13384" y="7500"/>
                  <a:pt x="13559" y="7508"/>
                  <a:pt x="13737" y="7524"/>
                </a:cubicBezTo>
                <a:cubicBezTo>
                  <a:pt x="16854" y="7805"/>
                  <a:pt x="19152" y="10541"/>
                  <a:pt x="18869" y="13635"/>
                </a:cubicBezTo>
                <a:cubicBezTo>
                  <a:pt x="18604" y="16527"/>
                  <a:pt x="16166" y="18743"/>
                  <a:pt x="13240" y="18752"/>
                </a:cubicBezTo>
                <a:cubicBezTo>
                  <a:pt x="13065" y="18752"/>
                  <a:pt x="12889" y="18744"/>
                  <a:pt x="12711" y="18728"/>
                </a:cubicBezTo>
                <a:cubicBezTo>
                  <a:pt x="9594" y="18447"/>
                  <a:pt x="7297" y="15712"/>
                  <a:pt x="7580" y="12618"/>
                </a:cubicBezTo>
                <a:cubicBezTo>
                  <a:pt x="7580" y="12618"/>
                  <a:pt x="7580" y="12617"/>
                  <a:pt x="7580" y="12616"/>
                </a:cubicBezTo>
                <a:cubicBezTo>
                  <a:pt x="7860" y="9732"/>
                  <a:pt x="10290" y="7523"/>
                  <a:pt x="13210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10" name="Freeform: Shape 309">
            <a:extLst>
              <a:ext uri="{FF2B5EF4-FFF2-40B4-BE49-F238E27FC236}">
                <a16:creationId xmlns:a16="http://schemas.microsoft.com/office/drawing/2014/main" id="{66980CE6-2BA9-46A3-8444-94A7084E4CED}"/>
              </a:ext>
            </a:extLst>
          </xdr:cNvPr>
          <xdr:cNvSpPr/>
        </xdr:nvSpPr>
        <xdr:spPr>
          <a:xfrm>
            <a:off x="14444099" y="5345436"/>
            <a:ext cx="51079" cy="141488"/>
          </a:xfrm>
          <a:custGeom>
            <a:avLst/>
            <a:gdLst>
              <a:gd name="connsiteX0" fmla="*/ 14668 w 51079"/>
              <a:gd name="connsiteY0" fmla="*/ 110810 h 141488"/>
              <a:gd name="connsiteX1" fmla="*/ 9522 w 51079"/>
              <a:gd name="connsiteY1" fmla="*/ 15599 h 141488"/>
              <a:gd name="connsiteX2" fmla="*/ 22987 w 51079"/>
              <a:gd name="connsiteY2" fmla="*/ 7887 h 141488"/>
              <a:gd name="connsiteX3" fmla="*/ 23636 w 51079"/>
              <a:gd name="connsiteY3" fmla="*/ 8081 h 141488"/>
              <a:gd name="connsiteX4" fmla="*/ 30705 w 51079"/>
              <a:gd name="connsiteY4" fmla="*/ 21455 h 141488"/>
              <a:gd name="connsiteX5" fmla="*/ 32978 w 51079"/>
              <a:gd name="connsiteY5" fmla="*/ 80261 h 141488"/>
              <a:gd name="connsiteX6" fmla="*/ 39863 w 51079"/>
              <a:gd name="connsiteY6" fmla="*/ 121032 h 141488"/>
              <a:gd name="connsiteX7" fmla="*/ 42723 w 51079"/>
              <a:gd name="connsiteY7" fmla="*/ 137430 h 141488"/>
              <a:gd name="connsiteX8" fmla="*/ 51079 w 51079"/>
              <a:gd name="connsiteY8" fmla="*/ 141488 h 141488"/>
              <a:gd name="connsiteX9" fmla="*/ 47309 w 51079"/>
              <a:gd name="connsiteY9" fmla="*/ 119743 h 141488"/>
              <a:gd name="connsiteX10" fmla="*/ 40465 w 51079"/>
              <a:gd name="connsiteY10" fmla="*/ 79258 h 141488"/>
              <a:gd name="connsiteX11" fmla="*/ 38022 w 51079"/>
              <a:gd name="connsiteY11" fmla="*/ 23330 h 141488"/>
              <a:gd name="connsiteX12" fmla="*/ 26019 w 51079"/>
              <a:gd name="connsiteY12" fmla="*/ 962 h 141488"/>
              <a:gd name="connsiteX13" fmla="*/ 11352 w 51079"/>
              <a:gd name="connsiteY13" fmla="*/ 2211 h 141488"/>
              <a:gd name="connsiteX14" fmla="*/ 2224 w 51079"/>
              <a:gd name="connsiteY14" fmla="*/ 13658 h 141488"/>
              <a:gd name="connsiteX15" fmla="*/ 6509 w 51079"/>
              <a:gd name="connsiteY15" fmla="*/ 106719 h 141488"/>
              <a:gd name="connsiteX16" fmla="*/ 14668 w 51079"/>
              <a:gd name="connsiteY16" fmla="*/ 110810 h 14148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51079" h="141488">
                <a:moveTo>
                  <a:pt x="14668" y="110810"/>
                </a:moveTo>
                <a:cubicBezTo>
                  <a:pt x="9081" y="68594"/>
                  <a:pt x="4866" y="32834"/>
                  <a:pt x="9522" y="15599"/>
                </a:cubicBezTo>
                <a:cubicBezTo>
                  <a:pt x="11095" y="9779"/>
                  <a:pt x="17123" y="6326"/>
                  <a:pt x="22987" y="7887"/>
                </a:cubicBezTo>
                <a:cubicBezTo>
                  <a:pt x="23205" y="7945"/>
                  <a:pt x="23421" y="8010"/>
                  <a:pt x="23636" y="8081"/>
                </a:cubicBezTo>
                <a:cubicBezTo>
                  <a:pt x="29110" y="10067"/>
                  <a:pt x="32170" y="15856"/>
                  <a:pt x="30705" y="21455"/>
                </a:cubicBezTo>
                <a:cubicBezTo>
                  <a:pt x="28503" y="29944"/>
                  <a:pt x="29196" y="48038"/>
                  <a:pt x="32978" y="80261"/>
                </a:cubicBezTo>
                <a:cubicBezTo>
                  <a:pt x="35026" y="93463"/>
                  <a:pt x="37487" y="107478"/>
                  <a:pt x="39863" y="121032"/>
                </a:cubicBezTo>
                <a:cubicBezTo>
                  <a:pt x="40818" y="126469"/>
                  <a:pt x="41777" y="131949"/>
                  <a:pt x="42723" y="137430"/>
                </a:cubicBezTo>
                <a:cubicBezTo>
                  <a:pt x="45617" y="138710"/>
                  <a:pt x="48402" y="140062"/>
                  <a:pt x="51079" y="141488"/>
                </a:cubicBezTo>
                <a:cubicBezTo>
                  <a:pt x="49842" y="134224"/>
                  <a:pt x="48573" y="126950"/>
                  <a:pt x="47309" y="119743"/>
                </a:cubicBezTo>
                <a:cubicBezTo>
                  <a:pt x="44937" y="106226"/>
                  <a:pt x="42483" y="92251"/>
                  <a:pt x="40465" y="79258"/>
                </a:cubicBezTo>
                <a:cubicBezTo>
                  <a:pt x="38199" y="59937"/>
                  <a:pt x="35480" y="33119"/>
                  <a:pt x="38022" y="23330"/>
                </a:cubicBezTo>
                <a:cubicBezTo>
                  <a:pt x="40540" y="13905"/>
                  <a:pt x="35305" y="4148"/>
                  <a:pt x="26019" y="962"/>
                </a:cubicBezTo>
                <a:cubicBezTo>
                  <a:pt x="21168" y="-666"/>
                  <a:pt x="15853" y="-214"/>
                  <a:pt x="11352" y="2211"/>
                </a:cubicBezTo>
                <a:cubicBezTo>
                  <a:pt x="6856" y="4622"/>
                  <a:pt x="3555" y="8761"/>
                  <a:pt x="2224" y="13658"/>
                </a:cubicBezTo>
                <a:cubicBezTo>
                  <a:pt x="-2601" y="31513"/>
                  <a:pt x="1160" y="65911"/>
                  <a:pt x="6509" y="106719"/>
                </a:cubicBezTo>
                <a:cubicBezTo>
                  <a:pt x="9331" y="107871"/>
                  <a:pt x="12059" y="109239"/>
                  <a:pt x="14668" y="11081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11" name="Freeform: Shape 310">
            <a:extLst>
              <a:ext uri="{FF2B5EF4-FFF2-40B4-BE49-F238E27FC236}">
                <a16:creationId xmlns:a16="http://schemas.microsoft.com/office/drawing/2014/main" id="{841D55DC-1013-468E-BD2A-D1B44878A249}"/>
              </a:ext>
            </a:extLst>
          </xdr:cNvPr>
          <xdr:cNvSpPr/>
        </xdr:nvSpPr>
        <xdr:spPr>
          <a:xfrm>
            <a:off x="14391746" y="5385528"/>
            <a:ext cx="50441" cy="67737"/>
          </a:xfrm>
          <a:custGeom>
            <a:avLst/>
            <a:gdLst>
              <a:gd name="connsiteX0" fmla="*/ 28538 w 50441"/>
              <a:gd name="connsiteY0" fmla="*/ 2897 h 67737"/>
              <a:gd name="connsiteX1" fmla="*/ 2917 w 50441"/>
              <a:gd name="connsiteY1" fmla="*/ 8504 h 67737"/>
              <a:gd name="connsiteX2" fmla="*/ 437 w 50441"/>
              <a:gd name="connsiteY2" fmla="*/ 22387 h 67737"/>
              <a:gd name="connsiteX3" fmla="*/ 11421 w 50441"/>
              <a:gd name="connsiteY3" fmla="*/ 62564 h 67737"/>
              <a:gd name="connsiteX4" fmla="*/ 12901 w 50441"/>
              <a:gd name="connsiteY4" fmla="*/ 67738 h 67737"/>
              <a:gd name="connsiteX5" fmla="*/ 19823 w 50441"/>
              <a:gd name="connsiteY5" fmla="*/ 64475 h 67737"/>
              <a:gd name="connsiteX6" fmla="*/ 18690 w 50441"/>
              <a:gd name="connsiteY6" fmla="*/ 60513 h 67737"/>
              <a:gd name="connsiteX7" fmla="*/ 7816 w 50441"/>
              <a:gd name="connsiteY7" fmla="*/ 20768 h 67737"/>
              <a:gd name="connsiteX8" fmla="*/ 16167 w 50441"/>
              <a:gd name="connsiteY8" fmla="*/ 7752 h 67737"/>
              <a:gd name="connsiteX9" fmla="*/ 29281 w 50441"/>
              <a:gd name="connsiteY9" fmla="*/ 16040 h 67737"/>
              <a:gd name="connsiteX10" fmla="*/ 29287 w 50441"/>
              <a:gd name="connsiteY10" fmla="*/ 16066 h 67737"/>
              <a:gd name="connsiteX11" fmla="*/ 39847 w 50441"/>
              <a:gd name="connsiteY11" fmla="*/ 54551 h 67737"/>
              <a:gd name="connsiteX12" fmla="*/ 42091 w 50441"/>
              <a:gd name="connsiteY12" fmla="*/ 62402 h 67737"/>
              <a:gd name="connsiteX13" fmla="*/ 50442 w 50441"/>
              <a:gd name="connsiteY13" fmla="*/ 63875 h 67737"/>
              <a:gd name="connsiteX14" fmla="*/ 49898 w 50441"/>
              <a:gd name="connsiteY14" fmla="*/ 62245 h 67737"/>
              <a:gd name="connsiteX15" fmla="*/ 47035 w 50441"/>
              <a:gd name="connsiteY15" fmla="*/ 52222 h 67737"/>
              <a:gd name="connsiteX16" fmla="*/ 36667 w 50441"/>
              <a:gd name="connsiteY16" fmla="*/ 14451 h 67737"/>
              <a:gd name="connsiteX17" fmla="*/ 28538 w 50441"/>
              <a:gd name="connsiteY17" fmla="*/ 2897 h 6773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50441" h="67737">
                <a:moveTo>
                  <a:pt x="28538" y="2897"/>
                </a:moveTo>
                <a:cubicBezTo>
                  <a:pt x="19903" y="-2576"/>
                  <a:pt x="8432" y="-66"/>
                  <a:pt x="2917" y="8504"/>
                </a:cubicBezTo>
                <a:cubicBezTo>
                  <a:pt x="267" y="12622"/>
                  <a:pt x="-625" y="17616"/>
                  <a:pt x="437" y="22387"/>
                </a:cubicBezTo>
                <a:cubicBezTo>
                  <a:pt x="2204" y="30334"/>
                  <a:pt x="6270" y="44557"/>
                  <a:pt x="11421" y="62564"/>
                </a:cubicBezTo>
                <a:cubicBezTo>
                  <a:pt x="11902" y="64244"/>
                  <a:pt x="12399" y="65981"/>
                  <a:pt x="12901" y="67738"/>
                </a:cubicBezTo>
                <a:cubicBezTo>
                  <a:pt x="15083" y="66405"/>
                  <a:pt x="17404" y="65311"/>
                  <a:pt x="19823" y="64475"/>
                </a:cubicBezTo>
                <a:cubicBezTo>
                  <a:pt x="19441" y="63137"/>
                  <a:pt x="19060" y="61805"/>
                  <a:pt x="18690" y="60513"/>
                </a:cubicBezTo>
                <a:cubicBezTo>
                  <a:pt x="13576" y="42628"/>
                  <a:pt x="9536" y="28499"/>
                  <a:pt x="7816" y="20768"/>
                </a:cubicBezTo>
                <a:cubicBezTo>
                  <a:pt x="6501" y="14885"/>
                  <a:pt x="10240" y="9058"/>
                  <a:pt x="16167" y="7752"/>
                </a:cubicBezTo>
                <a:cubicBezTo>
                  <a:pt x="22094" y="6447"/>
                  <a:pt x="27966" y="10157"/>
                  <a:pt x="29281" y="16040"/>
                </a:cubicBezTo>
                <a:cubicBezTo>
                  <a:pt x="29283" y="16049"/>
                  <a:pt x="29285" y="16058"/>
                  <a:pt x="29287" y="16066"/>
                </a:cubicBezTo>
                <a:cubicBezTo>
                  <a:pt x="30852" y="23105"/>
                  <a:pt x="34984" y="37544"/>
                  <a:pt x="39847" y="54551"/>
                </a:cubicBezTo>
                <a:lnTo>
                  <a:pt x="42091" y="62402"/>
                </a:lnTo>
                <a:cubicBezTo>
                  <a:pt x="44906" y="62701"/>
                  <a:pt x="47696" y="63193"/>
                  <a:pt x="50442" y="63875"/>
                </a:cubicBezTo>
                <a:cubicBezTo>
                  <a:pt x="50258" y="63329"/>
                  <a:pt x="50082" y="62791"/>
                  <a:pt x="49898" y="62245"/>
                </a:cubicBezTo>
                <a:lnTo>
                  <a:pt x="47035" y="52222"/>
                </a:lnTo>
                <a:cubicBezTo>
                  <a:pt x="42286" y="35611"/>
                  <a:pt x="38183" y="21270"/>
                  <a:pt x="36667" y="14451"/>
                </a:cubicBezTo>
                <a:cubicBezTo>
                  <a:pt x="35620" y="9677"/>
                  <a:pt x="32693" y="5517"/>
                  <a:pt x="28538" y="289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12" name="Freeform: Shape 311">
            <a:extLst>
              <a:ext uri="{FF2B5EF4-FFF2-40B4-BE49-F238E27FC236}">
                <a16:creationId xmlns:a16="http://schemas.microsoft.com/office/drawing/2014/main" id="{FA57E355-714B-4998-876F-BF8FF2C1F0DF}"/>
              </a:ext>
            </a:extLst>
          </xdr:cNvPr>
          <xdr:cNvSpPr/>
        </xdr:nvSpPr>
        <xdr:spPr>
          <a:xfrm>
            <a:off x="14349915" y="5338776"/>
            <a:ext cx="293851" cy="296262"/>
          </a:xfrm>
          <a:custGeom>
            <a:avLst/>
            <a:gdLst>
              <a:gd name="connsiteX0" fmla="*/ 288775 w 293851"/>
              <a:gd name="connsiteY0" fmla="*/ 100871 h 296262"/>
              <a:gd name="connsiteX1" fmla="*/ 262544 w 293851"/>
              <a:gd name="connsiteY1" fmla="*/ 100160 h 296262"/>
              <a:gd name="connsiteX2" fmla="*/ 240616 w 293851"/>
              <a:gd name="connsiteY2" fmla="*/ 126388 h 296262"/>
              <a:gd name="connsiteX3" fmla="*/ 248866 w 293851"/>
              <a:gd name="connsiteY3" fmla="*/ 60653 h 296262"/>
              <a:gd name="connsiteX4" fmla="*/ 248095 w 293851"/>
              <a:gd name="connsiteY4" fmla="*/ 51033 h 296262"/>
              <a:gd name="connsiteX5" fmla="*/ 226672 w 293851"/>
              <a:gd name="connsiteY5" fmla="*/ 36084 h 296262"/>
              <a:gd name="connsiteX6" fmla="*/ 211341 w 293851"/>
              <a:gd name="connsiteY6" fmla="*/ 54684 h 296262"/>
              <a:gd name="connsiteX7" fmla="*/ 211551 w 293851"/>
              <a:gd name="connsiteY7" fmla="*/ 58895 h 296262"/>
              <a:gd name="connsiteX8" fmla="*/ 211887 w 293851"/>
              <a:gd name="connsiteY8" fmla="*/ 61473 h 296262"/>
              <a:gd name="connsiteX9" fmla="*/ 195911 w 293851"/>
              <a:gd name="connsiteY9" fmla="*/ 126443 h 296262"/>
              <a:gd name="connsiteX10" fmla="*/ 188394 w 293851"/>
              <a:gd name="connsiteY10" fmla="*/ 144208 h 296262"/>
              <a:gd name="connsiteX11" fmla="*/ 188191 w 293851"/>
              <a:gd name="connsiteY11" fmla="*/ 142230 h 296262"/>
              <a:gd name="connsiteX12" fmla="*/ 187642 w 293851"/>
              <a:gd name="connsiteY12" fmla="*/ 135074 h 296262"/>
              <a:gd name="connsiteX13" fmla="*/ 197161 w 293851"/>
              <a:gd name="connsiteY13" fmla="*/ 27522 h 296262"/>
              <a:gd name="connsiteX14" fmla="*/ 190545 w 293851"/>
              <a:gd name="connsiteY14" fmla="*/ 2634 h 296262"/>
              <a:gd name="connsiteX15" fmla="*/ 175941 w 293851"/>
              <a:gd name="connsiteY15" fmla="*/ 716 h 296262"/>
              <a:gd name="connsiteX16" fmla="*/ 164543 w 293851"/>
              <a:gd name="connsiteY16" fmla="*/ 9944 h 296262"/>
              <a:gd name="connsiteX17" fmla="*/ 149127 w 293851"/>
              <a:gd name="connsiteY17" fmla="*/ 84841 h 296262"/>
              <a:gd name="connsiteX18" fmla="*/ 148212 w 293851"/>
              <a:gd name="connsiteY18" fmla="*/ 149764 h 296262"/>
              <a:gd name="connsiteX19" fmla="*/ 155804 w 293851"/>
              <a:gd name="connsiteY19" fmla="*/ 154509 h 296262"/>
              <a:gd name="connsiteX20" fmla="*/ 156680 w 293851"/>
              <a:gd name="connsiteY20" fmla="*/ 85083 h 296262"/>
              <a:gd name="connsiteX21" fmla="*/ 171252 w 293851"/>
              <a:gd name="connsiteY21" fmla="*/ 13401 h 296262"/>
              <a:gd name="connsiteX22" fmla="*/ 186071 w 293851"/>
              <a:gd name="connsiteY22" fmla="*/ 8739 h 296262"/>
              <a:gd name="connsiteX23" fmla="*/ 186671 w 293851"/>
              <a:gd name="connsiteY23" fmla="*/ 9072 h 296262"/>
              <a:gd name="connsiteX24" fmla="*/ 190416 w 293851"/>
              <a:gd name="connsiteY24" fmla="*/ 24135 h 296262"/>
              <a:gd name="connsiteX25" fmla="*/ 180107 w 293851"/>
              <a:gd name="connsiteY25" fmla="*/ 135650 h 296262"/>
              <a:gd name="connsiteX26" fmla="*/ 180657 w 293851"/>
              <a:gd name="connsiteY26" fmla="*/ 142798 h 296262"/>
              <a:gd name="connsiteX27" fmla="*/ 181432 w 293851"/>
              <a:gd name="connsiteY27" fmla="*/ 150214 h 296262"/>
              <a:gd name="connsiteX28" fmla="*/ 181494 w 293851"/>
              <a:gd name="connsiteY28" fmla="*/ 150782 h 296262"/>
              <a:gd name="connsiteX29" fmla="*/ 188226 w 293851"/>
              <a:gd name="connsiteY29" fmla="*/ 156183 h 296262"/>
              <a:gd name="connsiteX30" fmla="*/ 193291 w 293851"/>
              <a:gd name="connsiteY30" fmla="*/ 152334 h 296262"/>
              <a:gd name="connsiteX31" fmla="*/ 202847 w 293851"/>
              <a:gd name="connsiteY31" fmla="*/ 129413 h 296262"/>
              <a:gd name="connsiteX32" fmla="*/ 219433 w 293851"/>
              <a:gd name="connsiteY32" fmla="*/ 61290 h 296262"/>
              <a:gd name="connsiteX33" fmla="*/ 218997 w 293851"/>
              <a:gd name="connsiteY33" fmla="*/ 57603 h 296262"/>
              <a:gd name="connsiteX34" fmla="*/ 218894 w 293851"/>
              <a:gd name="connsiteY34" fmla="*/ 54995 h 296262"/>
              <a:gd name="connsiteX35" fmla="*/ 218898 w 293851"/>
              <a:gd name="connsiteY35" fmla="*/ 54611 h 296262"/>
              <a:gd name="connsiteX36" fmla="*/ 229455 w 293851"/>
              <a:gd name="connsiteY36" fmla="*/ 43340 h 296262"/>
              <a:gd name="connsiteX37" fmla="*/ 240653 w 293851"/>
              <a:gd name="connsiteY37" fmla="*/ 52329 h 296262"/>
              <a:gd name="connsiteX38" fmla="*/ 241313 w 293851"/>
              <a:gd name="connsiteY38" fmla="*/ 60833 h 296262"/>
              <a:gd name="connsiteX39" fmla="*/ 228030 w 293851"/>
              <a:gd name="connsiteY39" fmla="*/ 147368 h 296262"/>
              <a:gd name="connsiteX40" fmla="*/ 230794 w 293851"/>
              <a:gd name="connsiteY40" fmla="*/ 151906 h 296262"/>
              <a:gd name="connsiteX41" fmla="*/ 235048 w 293851"/>
              <a:gd name="connsiteY41" fmla="*/ 149998 h 296262"/>
              <a:gd name="connsiteX42" fmla="*/ 267740 w 293851"/>
              <a:gd name="connsiteY42" fmla="*/ 105606 h 296262"/>
              <a:gd name="connsiteX43" fmla="*/ 283282 w 293851"/>
              <a:gd name="connsiteY43" fmla="*/ 106040 h 296262"/>
              <a:gd name="connsiteX44" fmla="*/ 282845 w 293851"/>
              <a:gd name="connsiteY44" fmla="*/ 121466 h 296262"/>
              <a:gd name="connsiteX45" fmla="*/ 243018 w 293851"/>
              <a:gd name="connsiteY45" fmla="*/ 233193 h 296262"/>
              <a:gd name="connsiteX46" fmla="*/ 244073 w 293851"/>
              <a:gd name="connsiteY46" fmla="*/ 239218 h 296262"/>
              <a:gd name="connsiteX47" fmla="*/ 237243 w 293851"/>
              <a:gd name="connsiteY47" fmla="*/ 260007 h 296262"/>
              <a:gd name="connsiteX48" fmla="*/ 123336 w 293851"/>
              <a:gd name="connsiteY48" fmla="*/ 288762 h 296262"/>
              <a:gd name="connsiteX49" fmla="*/ 14787 w 293851"/>
              <a:gd name="connsiteY49" fmla="*/ 264248 h 296262"/>
              <a:gd name="connsiteX50" fmla="*/ 0 w 293851"/>
              <a:gd name="connsiteY50" fmla="*/ 260730 h 296262"/>
              <a:gd name="connsiteX51" fmla="*/ 123336 w 293851"/>
              <a:gd name="connsiteY51" fmla="*/ 296262 h 296262"/>
              <a:gd name="connsiteX52" fmla="*/ 242439 w 293851"/>
              <a:gd name="connsiteY52" fmla="*/ 265457 h 296262"/>
              <a:gd name="connsiteX53" fmla="*/ 251519 w 293851"/>
              <a:gd name="connsiteY53" fmla="*/ 237936 h 296262"/>
              <a:gd name="connsiteX54" fmla="*/ 250445 w 293851"/>
              <a:gd name="connsiteY54" fmla="*/ 231798 h 296262"/>
              <a:gd name="connsiteX55" fmla="*/ 250397 w 293851"/>
              <a:gd name="connsiteY55" fmla="*/ 231567 h 296262"/>
              <a:gd name="connsiteX56" fmla="*/ 288055 w 293851"/>
              <a:gd name="connsiteY56" fmla="*/ 126901 h 296262"/>
              <a:gd name="connsiteX57" fmla="*/ 288775 w 293851"/>
              <a:gd name="connsiteY57" fmla="*/ 100871 h 2962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</a:cxnLst>
            <a:rect l="l" t="t" r="r" b="b"/>
            <a:pathLst>
              <a:path w="293851" h="296262">
                <a:moveTo>
                  <a:pt x="288775" y="100871"/>
                </a:moveTo>
                <a:cubicBezTo>
                  <a:pt x="281724" y="93496"/>
                  <a:pt x="269990" y="93179"/>
                  <a:pt x="262544" y="100160"/>
                </a:cubicBezTo>
                <a:cubicBezTo>
                  <a:pt x="254411" y="108191"/>
                  <a:pt x="247069" y="116973"/>
                  <a:pt x="240616" y="126388"/>
                </a:cubicBezTo>
                <a:cubicBezTo>
                  <a:pt x="246490" y="98706"/>
                  <a:pt x="249446" y="75411"/>
                  <a:pt x="248866" y="60653"/>
                </a:cubicBezTo>
                <a:cubicBezTo>
                  <a:pt x="248870" y="57431"/>
                  <a:pt x="248612" y="54214"/>
                  <a:pt x="248095" y="51033"/>
                </a:cubicBezTo>
                <a:cubicBezTo>
                  <a:pt x="246339" y="41033"/>
                  <a:pt x="236747" y="34340"/>
                  <a:pt x="226672" y="36084"/>
                </a:cubicBezTo>
                <a:cubicBezTo>
                  <a:pt x="217620" y="37650"/>
                  <a:pt x="211094" y="45567"/>
                  <a:pt x="211341" y="54684"/>
                </a:cubicBezTo>
                <a:cubicBezTo>
                  <a:pt x="211245" y="56091"/>
                  <a:pt x="211316" y="57504"/>
                  <a:pt x="211551" y="58895"/>
                </a:cubicBezTo>
                <a:cubicBezTo>
                  <a:pt x="211706" y="59771"/>
                  <a:pt x="211817" y="60759"/>
                  <a:pt x="211887" y="61473"/>
                </a:cubicBezTo>
                <a:cubicBezTo>
                  <a:pt x="211190" y="91268"/>
                  <a:pt x="205113" y="105261"/>
                  <a:pt x="195911" y="126443"/>
                </a:cubicBezTo>
                <a:cubicBezTo>
                  <a:pt x="193612" y="131735"/>
                  <a:pt x="191069" y="137583"/>
                  <a:pt x="188394" y="144208"/>
                </a:cubicBezTo>
                <a:cubicBezTo>
                  <a:pt x="188284" y="143153"/>
                  <a:pt x="188206" y="142424"/>
                  <a:pt x="188191" y="142230"/>
                </a:cubicBezTo>
                <a:lnTo>
                  <a:pt x="187642" y="135074"/>
                </a:lnTo>
                <a:cubicBezTo>
                  <a:pt x="184044" y="88595"/>
                  <a:pt x="181671" y="57892"/>
                  <a:pt x="197161" y="27522"/>
                </a:cubicBezTo>
                <a:cubicBezTo>
                  <a:pt x="201601" y="18758"/>
                  <a:pt x="198763" y="8084"/>
                  <a:pt x="190545" y="2634"/>
                </a:cubicBezTo>
                <a:cubicBezTo>
                  <a:pt x="186161" y="0"/>
                  <a:pt x="180866" y="-696"/>
                  <a:pt x="175941" y="716"/>
                </a:cubicBezTo>
                <a:cubicBezTo>
                  <a:pt x="171027" y="2109"/>
                  <a:pt x="166906" y="5446"/>
                  <a:pt x="164543" y="9944"/>
                </a:cubicBezTo>
                <a:cubicBezTo>
                  <a:pt x="155345" y="27522"/>
                  <a:pt x="150304" y="52014"/>
                  <a:pt x="149127" y="84841"/>
                </a:cubicBezTo>
                <a:cubicBezTo>
                  <a:pt x="148427" y="108465"/>
                  <a:pt x="148124" y="130176"/>
                  <a:pt x="148212" y="149764"/>
                </a:cubicBezTo>
                <a:cubicBezTo>
                  <a:pt x="150866" y="151276"/>
                  <a:pt x="153397" y="152858"/>
                  <a:pt x="155804" y="154509"/>
                </a:cubicBezTo>
                <a:cubicBezTo>
                  <a:pt x="155638" y="133776"/>
                  <a:pt x="155925" y="110566"/>
                  <a:pt x="156680" y="85083"/>
                </a:cubicBezTo>
                <a:cubicBezTo>
                  <a:pt x="157813" y="53417"/>
                  <a:pt x="162581" y="29968"/>
                  <a:pt x="171252" y="13401"/>
                </a:cubicBezTo>
                <a:cubicBezTo>
                  <a:pt x="174047" y="8052"/>
                  <a:pt x="180681" y="5965"/>
                  <a:pt x="186071" y="8739"/>
                </a:cubicBezTo>
                <a:cubicBezTo>
                  <a:pt x="186274" y="8844"/>
                  <a:pt x="186474" y="8955"/>
                  <a:pt x="186671" y="9072"/>
                </a:cubicBezTo>
                <a:cubicBezTo>
                  <a:pt x="191505" y="12480"/>
                  <a:pt x="193098" y="18886"/>
                  <a:pt x="190416" y="24135"/>
                </a:cubicBezTo>
                <a:cubicBezTo>
                  <a:pt x="173975" y="56376"/>
                  <a:pt x="176546" y="89628"/>
                  <a:pt x="180107" y="135650"/>
                </a:cubicBezTo>
                <a:lnTo>
                  <a:pt x="180657" y="142798"/>
                </a:lnTo>
                <a:cubicBezTo>
                  <a:pt x="180690" y="143216"/>
                  <a:pt x="181040" y="146534"/>
                  <a:pt x="181432" y="150214"/>
                </a:cubicBezTo>
                <a:lnTo>
                  <a:pt x="181494" y="150782"/>
                </a:lnTo>
                <a:cubicBezTo>
                  <a:pt x="181850" y="154118"/>
                  <a:pt x="184864" y="156537"/>
                  <a:pt x="188226" y="156183"/>
                </a:cubicBezTo>
                <a:cubicBezTo>
                  <a:pt x="190507" y="155944"/>
                  <a:pt x="192463" y="154458"/>
                  <a:pt x="193291" y="152334"/>
                </a:cubicBezTo>
                <a:cubicBezTo>
                  <a:pt x="196704" y="143556"/>
                  <a:pt x="199969" y="136041"/>
                  <a:pt x="202847" y="129413"/>
                </a:cubicBezTo>
                <a:cubicBezTo>
                  <a:pt x="212057" y="108213"/>
                  <a:pt x="218713" y="92898"/>
                  <a:pt x="219433" y="61290"/>
                </a:cubicBezTo>
                <a:cubicBezTo>
                  <a:pt x="219337" y="59946"/>
                  <a:pt x="219189" y="58709"/>
                  <a:pt x="218997" y="57603"/>
                </a:cubicBezTo>
                <a:cubicBezTo>
                  <a:pt x="218853" y="56741"/>
                  <a:pt x="218818" y="55865"/>
                  <a:pt x="218894" y="54995"/>
                </a:cubicBezTo>
                <a:cubicBezTo>
                  <a:pt x="218902" y="54867"/>
                  <a:pt x="218904" y="54739"/>
                  <a:pt x="218898" y="54611"/>
                </a:cubicBezTo>
                <a:cubicBezTo>
                  <a:pt x="218677" y="48605"/>
                  <a:pt x="223404" y="43559"/>
                  <a:pt x="229455" y="43340"/>
                </a:cubicBezTo>
                <a:cubicBezTo>
                  <a:pt x="234925" y="43142"/>
                  <a:pt x="239705" y="46979"/>
                  <a:pt x="240653" y="52329"/>
                </a:cubicBezTo>
                <a:cubicBezTo>
                  <a:pt x="241103" y="55142"/>
                  <a:pt x="241323" y="57985"/>
                  <a:pt x="241313" y="60833"/>
                </a:cubicBezTo>
                <a:cubicBezTo>
                  <a:pt x="242010" y="78660"/>
                  <a:pt x="237048" y="111011"/>
                  <a:pt x="228030" y="147368"/>
                </a:cubicBezTo>
                <a:cubicBezTo>
                  <a:pt x="227531" y="149379"/>
                  <a:pt x="228768" y="151410"/>
                  <a:pt x="230794" y="151906"/>
                </a:cubicBezTo>
                <a:cubicBezTo>
                  <a:pt x="232486" y="152319"/>
                  <a:pt x="234243" y="151531"/>
                  <a:pt x="235048" y="149998"/>
                </a:cubicBezTo>
                <a:cubicBezTo>
                  <a:pt x="243625" y="133647"/>
                  <a:pt x="254646" y="118680"/>
                  <a:pt x="267740" y="105606"/>
                </a:cubicBezTo>
                <a:cubicBezTo>
                  <a:pt x="272152" y="101466"/>
                  <a:pt x="279111" y="101660"/>
                  <a:pt x="283282" y="106040"/>
                </a:cubicBezTo>
                <a:cubicBezTo>
                  <a:pt x="287454" y="110420"/>
                  <a:pt x="287258" y="117326"/>
                  <a:pt x="282845" y="121466"/>
                </a:cubicBezTo>
                <a:cubicBezTo>
                  <a:pt x="282303" y="121983"/>
                  <a:pt x="228768" y="173637"/>
                  <a:pt x="243018" y="233193"/>
                </a:cubicBezTo>
                <a:lnTo>
                  <a:pt x="244073" y="239218"/>
                </a:lnTo>
                <a:cubicBezTo>
                  <a:pt x="245458" y="246846"/>
                  <a:pt x="242893" y="254655"/>
                  <a:pt x="237243" y="260007"/>
                </a:cubicBezTo>
                <a:cubicBezTo>
                  <a:pt x="218927" y="277209"/>
                  <a:pt x="173152" y="288762"/>
                  <a:pt x="123336" y="288762"/>
                </a:cubicBezTo>
                <a:cubicBezTo>
                  <a:pt x="72953" y="288762"/>
                  <a:pt x="34021" y="277928"/>
                  <a:pt x="14787" y="264248"/>
                </a:cubicBezTo>
                <a:cubicBezTo>
                  <a:pt x="9678" y="264014"/>
                  <a:pt x="4661" y="262820"/>
                  <a:pt x="0" y="260730"/>
                </a:cubicBezTo>
                <a:cubicBezTo>
                  <a:pt x="16414" y="281552"/>
                  <a:pt x="64737" y="296262"/>
                  <a:pt x="123336" y="296262"/>
                </a:cubicBezTo>
                <a:cubicBezTo>
                  <a:pt x="175756" y="296262"/>
                  <a:pt x="222506" y="284170"/>
                  <a:pt x="242439" y="265457"/>
                </a:cubicBezTo>
                <a:cubicBezTo>
                  <a:pt x="249930" y="258379"/>
                  <a:pt x="253341" y="248041"/>
                  <a:pt x="251519" y="237936"/>
                </a:cubicBezTo>
                <a:lnTo>
                  <a:pt x="250445" y="231798"/>
                </a:lnTo>
                <a:cubicBezTo>
                  <a:pt x="250431" y="231722"/>
                  <a:pt x="250416" y="231645"/>
                  <a:pt x="250397" y="231567"/>
                </a:cubicBezTo>
                <a:cubicBezTo>
                  <a:pt x="237099" y="176339"/>
                  <a:pt x="287561" y="127373"/>
                  <a:pt x="288055" y="126901"/>
                </a:cubicBezTo>
                <a:cubicBezTo>
                  <a:pt x="295493" y="119909"/>
                  <a:pt x="295816" y="108257"/>
                  <a:pt x="288775" y="10087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13" name="Freeform: Shape 312">
            <a:extLst>
              <a:ext uri="{FF2B5EF4-FFF2-40B4-BE49-F238E27FC236}">
                <a16:creationId xmlns:a16="http://schemas.microsoft.com/office/drawing/2014/main" id="{4F0E27B4-CC16-4B1D-A45E-C25748026557}"/>
              </a:ext>
            </a:extLst>
          </xdr:cNvPr>
          <xdr:cNvSpPr/>
        </xdr:nvSpPr>
        <xdr:spPr>
          <a:xfrm>
            <a:off x="14295017" y="5404283"/>
            <a:ext cx="62640" cy="93217"/>
          </a:xfrm>
          <a:custGeom>
            <a:avLst/>
            <a:gdLst>
              <a:gd name="connsiteX0" fmla="*/ 32884 w 62640"/>
              <a:gd name="connsiteY0" fmla="*/ 91965 h 93217"/>
              <a:gd name="connsiteX1" fmla="*/ 35974 w 62640"/>
              <a:gd name="connsiteY1" fmla="*/ 93216 h 93217"/>
              <a:gd name="connsiteX2" fmla="*/ 35978 w 62640"/>
              <a:gd name="connsiteY2" fmla="*/ 93217 h 93217"/>
              <a:gd name="connsiteX3" fmla="*/ 38461 w 62640"/>
              <a:gd name="connsiteY3" fmla="*/ 84764 h 93217"/>
              <a:gd name="connsiteX4" fmla="*/ 10212 w 62640"/>
              <a:gd name="connsiteY4" fmla="*/ 25608 h 93217"/>
              <a:gd name="connsiteX5" fmla="*/ 10194 w 62640"/>
              <a:gd name="connsiteY5" fmla="*/ 11234 h 93217"/>
              <a:gd name="connsiteX6" fmla="*/ 18470 w 62640"/>
              <a:gd name="connsiteY6" fmla="*/ 7498 h 93217"/>
              <a:gd name="connsiteX7" fmla="*/ 18610 w 62640"/>
              <a:gd name="connsiteY7" fmla="*/ 7502 h 93217"/>
              <a:gd name="connsiteX8" fmla="*/ 26886 w 62640"/>
              <a:gd name="connsiteY8" fmla="*/ 11373 h 93217"/>
              <a:gd name="connsiteX9" fmla="*/ 55525 w 62640"/>
              <a:gd name="connsiteY9" fmla="*/ 67498 h 93217"/>
              <a:gd name="connsiteX10" fmla="*/ 62640 w 62640"/>
              <a:gd name="connsiteY10" fmla="*/ 64960 h 93217"/>
              <a:gd name="connsiteX11" fmla="*/ 32661 w 62640"/>
              <a:gd name="connsiteY11" fmla="*/ 6535 h 93217"/>
              <a:gd name="connsiteX12" fmla="*/ 6495 w 62640"/>
              <a:gd name="connsiteY12" fmla="*/ 4352 h 93217"/>
              <a:gd name="connsiteX13" fmla="*/ 4541 w 62640"/>
              <a:gd name="connsiteY13" fmla="*/ 6253 h 93217"/>
              <a:gd name="connsiteX14" fmla="*/ 4408 w 62640"/>
              <a:gd name="connsiteY14" fmla="*/ 30408 h 93217"/>
              <a:gd name="connsiteX15" fmla="*/ 32884 w 62640"/>
              <a:gd name="connsiteY15" fmla="*/ 91965 h 9321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62640" h="93217">
                <a:moveTo>
                  <a:pt x="32884" y="91965"/>
                </a:moveTo>
                <a:cubicBezTo>
                  <a:pt x="33925" y="92338"/>
                  <a:pt x="34960" y="92739"/>
                  <a:pt x="35974" y="93216"/>
                </a:cubicBezTo>
                <a:lnTo>
                  <a:pt x="35978" y="93217"/>
                </a:lnTo>
                <a:cubicBezTo>
                  <a:pt x="36424" y="90303"/>
                  <a:pt x="37259" y="87460"/>
                  <a:pt x="38461" y="84764"/>
                </a:cubicBezTo>
                <a:cubicBezTo>
                  <a:pt x="29078" y="58813"/>
                  <a:pt x="18222" y="35149"/>
                  <a:pt x="10212" y="25608"/>
                </a:cubicBezTo>
                <a:cubicBezTo>
                  <a:pt x="6657" y="21469"/>
                  <a:pt x="6649" y="15382"/>
                  <a:pt x="10194" y="11234"/>
                </a:cubicBezTo>
                <a:cubicBezTo>
                  <a:pt x="12275" y="8855"/>
                  <a:pt x="15295" y="7491"/>
                  <a:pt x="18470" y="7498"/>
                </a:cubicBezTo>
                <a:lnTo>
                  <a:pt x="18610" y="7502"/>
                </a:lnTo>
                <a:cubicBezTo>
                  <a:pt x="21804" y="7537"/>
                  <a:pt x="24825" y="8950"/>
                  <a:pt x="26886" y="11373"/>
                </a:cubicBezTo>
                <a:cubicBezTo>
                  <a:pt x="34563" y="20407"/>
                  <a:pt x="45473" y="41886"/>
                  <a:pt x="55525" y="67498"/>
                </a:cubicBezTo>
                <a:cubicBezTo>
                  <a:pt x="57812" y="66436"/>
                  <a:pt x="60195" y="65586"/>
                  <a:pt x="62640" y="64960"/>
                </a:cubicBezTo>
                <a:cubicBezTo>
                  <a:pt x="52206" y="38291"/>
                  <a:pt x="40982" y="16327"/>
                  <a:pt x="32661" y="6535"/>
                </a:cubicBezTo>
                <a:cubicBezTo>
                  <a:pt x="26043" y="-1239"/>
                  <a:pt x="14328" y="-2216"/>
                  <a:pt x="6495" y="4352"/>
                </a:cubicBezTo>
                <a:cubicBezTo>
                  <a:pt x="5797" y="4937"/>
                  <a:pt x="5144" y="5573"/>
                  <a:pt x="4541" y="6253"/>
                </a:cubicBezTo>
                <a:cubicBezTo>
                  <a:pt x="-1463" y="13184"/>
                  <a:pt x="-1519" y="23413"/>
                  <a:pt x="4408" y="30408"/>
                </a:cubicBezTo>
                <a:cubicBezTo>
                  <a:pt x="12166" y="39651"/>
                  <a:pt x="23399" y="64971"/>
                  <a:pt x="32884" y="9196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14" name="Freeform: Shape 313">
            <a:extLst>
              <a:ext uri="{FF2B5EF4-FFF2-40B4-BE49-F238E27FC236}">
                <a16:creationId xmlns:a16="http://schemas.microsoft.com/office/drawing/2014/main" id="{F7A952A1-9D1C-4FA9-B7B7-B727D4EB040F}"/>
              </a:ext>
            </a:extLst>
          </xdr:cNvPr>
          <xdr:cNvSpPr/>
        </xdr:nvSpPr>
        <xdr:spPr>
          <a:xfrm>
            <a:off x="14334051" y="5344100"/>
            <a:ext cx="66348" cy="124350"/>
          </a:xfrm>
          <a:custGeom>
            <a:avLst/>
            <a:gdLst>
              <a:gd name="connsiteX0" fmla="*/ 27331 w 66348"/>
              <a:gd name="connsiteY0" fmla="*/ 124350 h 124350"/>
              <a:gd name="connsiteX1" fmla="*/ 35098 w 66348"/>
              <a:gd name="connsiteY1" fmla="*/ 123683 h 124350"/>
              <a:gd name="connsiteX2" fmla="*/ 30403 w 66348"/>
              <a:gd name="connsiteY2" fmla="*/ 110338 h 124350"/>
              <a:gd name="connsiteX3" fmla="*/ 8766 w 66348"/>
              <a:gd name="connsiteY3" fmla="*/ 15596 h 124350"/>
              <a:gd name="connsiteX4" fmla="*/ 16648 w 66348"/>
              <a:gd name="connsiteY4" fmla="*/ 7821 h 124350"/>
              <a:gd name="connsiteX5" fmla="*/ 28418 w 66348"/>
              <a:gd name="connsiteY5" fmla="*/ 11645 h 124350"/>
              <a:gd name="connsiteX6" fmla="*/ 30097 w 66348"/>
              <a:gd name="connsiteY6" fmla="*/ 20921 h 124350"/>
              <a:gd name="connsiteX7" fmla="*/ 35831 w 66348"/>
              <a:gd name="connsiteY7" fmla="*/ 57399 h 124350"/>
              <a:gd name="connsiteX8" fmla="*/ 54652 w 66348"/>
              <a:gd name="connsiteY8" fmla="*/ 104010 h 124350"/>
              <a:gd name="connsiteX9" fmla="*/ 60781 w 66348"/>
              <a:gd name="connsiteY9" fmla="*/ 118425 h 124350"/>
              <a:gd name="connsiteX10" fmla="*/ 62436 w 66348"/>
              <a:gd name="connsiteY10" fmla="*/ 116171 h 124350"/>
              <a:gd name="connsiteX11" fmla="*/ 66348 w 66348"/>
              <a:gd name="connsiteY11" fmla="*/ 112220 h 124350"/>
              <a:gd name="connsiteX12" fmla="*/ 61611 w 66348"/>
              <a:gd name="connsiteY12" fmla="*/ 101081 h 124350"/>
              <a:gd name="connsiteX13" fmla="*/ 43019 w 66348"/>
              <a:gd name="connsiteY13" fmla="*/ 55099 h 124350"/>
              <a:gd name="connsiteX14" fmla="*/ 37358 w 66348"/>
              <a:gd name="connsiteY14" fmla="*/ 23001 h 124350"/>
              <a:gd name="connsiteX15" fmla="*/ 33868 w 66348"/>
              <a:gd name="connsiteY15" fmla="*/ 6448 h 124350"/>
              <a:gd name="connsiteX16" fmla="*/ 14758 w 66348"/>
              <a:gd name="connsiteY16" fmla="*/ 560 h 124350"/>
              <a:gd name="connsiteX17" fmla="*/ 1461 w 66348"/>
              <a:gd name="connsiteY17" fmla="*/ 13677 h 124350"/>
              <a:gd name="connsiteX18" fmla="*/ 23274 w 66348"/>
              <a:gd name="connsiteY18" fmla="*/ 112821 h 124350"/>
              <a:gd name="connsiteX19" fmla="*/ 27331 w 66348"/>
              <a:gd name="connsiteY19" fmla="*/ 124350 h 1243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</a:cxnLst>
            <a:rect l="l" t="t" r="r" b="b"/>
            <a:pathLst>
              <a:path w="66348" h="124350">
                <a:moveTo>
                  <a:pt x="27331" y="124350"/>
                </a:moveTo>
                <a:cubicBezTo>
                  <a:pt x="29898" y="123918"/>
                  <a:pt x="32496" y="123694"/>
                  <a:pt x="35098" y="123683"/>
                </a:cubicBezTo>
                <a:cubicBezTo>
                  <a:pt x="33529" y="119190"/>
                  <a:pt x="31953" y="114726"/>
                  <a:pt x="30403" y="110338"/>
                </a:cubicBezTo>
                <a:cubicBezTo>
                  <a:pt x="13829" y="63427"/>
                  <a:pt x="3914" y="33753"/>
                  <a:pt x="8766" y="15596"/>
                </a:cubicBezTo>
                <a:cubicBezTo>
                  <a:pt x="9789" y="11784"/>
                  <a:pt x="12800" y="8813"/>
                  <a:pt x="16648" y="7821"/>
                </a:cubicBezTo>
                <a:cubicBezTo>
                  <a:pt x="20981" y="6837"/>
                  <a:pt x="25509" y="8308"/>
                  <a:pt x="28418" y="11645"/>
                </a:cubicBezTo>
                <a:cubicBezTo>
                  <a:pt x="30608" y="14217"/>
                  <a:pt x="31248" y="17753"/>
                  <a:pt x="30097" y="20921"/>
                </a:cubicBezTo>
                <a:cubicBezTo>
                  <a:pt x="28351" y="26909"/>
                  <a:pt x="30100" y="38103"/>
                  <a:pt x="35831" y="57399"/>
                </a:cubicBezTo>
                <a:cubicBezTo>
                  <a:pt x="41030" y="72099"/>
                  <a:pt x="48265" y="89051"/>
                  <a:pt x="54652" y="104010"/>
                </a:cubicBezTo>
                <a:cubicBezTo>
                  <a:pt x="56723" y="108860"/>
                  <a:pt x="58766" y="113665"/>
                  <a:pt x="60781" y="118425"/>
                </a:cubicBezTo>
                <a:cubicBezTo>
                  <a:pt x="61305" y="117657"/>
                  <a:pt x="61842" y="116897"/>
                  <a:pt x="62436" y="116171"/>
                </a:cubicBezTo>
                <a:cubicBezTo>
                  <a:pt x="63622" y="114743"/>
                  <a:pt x="64930" y="113421"/>
                  <a:pt x="66348" y="112220"/>
                </a:cubicBezTo>
                <a:cubicBezTo>
                  <a:pt x="64782" y="108525"/>
                  <a:pt x="63210" y="104826"/>
                  <a:pt x="61611" y="101081"/>
                </a:cubicBezTo>
                <a:cubicBezTo>
                  <a:pt x="55269" y="86227"/>
                  <a:pt x="48081" y="69389"/>
                  <a:pt x="43019" y="55099"/>
                </a:cubicBezTo>
                <a:cubicBezTo>
                  <a:pt x="36761" y="33991"/>
                  <a:pt x="36484" y="25997"/>
                  <a:pt x="37358" y="23001"/>
                </a:cubicBezTo>
                <a:cubicBezTo>
                  <a:pt x="39282" y="17262"/>
                  <a:pt x="37949" y="10940"/>
                  <a:pt x="33868" y="6448"/>
                </a:cubicBezTo>
                <a:cubicBezTo>
                  <a:pt x="29092" y="1119"/>
                  <a:pt x="21736" y="-1148"/>
                  <a:pt x="14758" y="560"/>
                </a:cubicBezTo>
                <a:cubicBezTo>
                  <a:pt x="8266" y="2231"/>
                  <a:pt x="3184" y="7244"/>
                  <a:pt x="1461" y="13677"/>
                </a:cubicBezTo>
                <a:cubicBezTo>
                  <a:pt x="-3956" y="33950"/>
                  <a:pt x="6220" y="64558"/>
                  <a:pt x="23274" y="112821"/>
                </a:cubicBezTo>
                <a:cubicBezTo>
                  <a:pt x="24615" y="116616"/>
                  <a:pt x="25974" y="120473"/>
                  <a:pt x="27331" y="1243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15" name="Freeform: Shape 314">
            <a:extLst>
              <a:ext uri="{FF2B5EF4-FFF2-40B4-BE49-F238E27FC236}">
                <a16:creationId xmlns:a16="http://schemas.microsoft.com/office/drawing/2014/main" id="{9539DC45-0EE1-4B5E-8252-33526797157F}"/>
              </a:ext>
            </a:extLst>
          </xdr:cNvPr>
          <xdr:cNvSpPr/>
        </xdr:nvSpPr>
        <xdr:spPr>
          <a:xfrm>
            <a:off x="14477779" y="5519502"/>
            <a:ext cx="12962" cy="12865"/>
          </a:xfrm>
          <a:custGeom>
            <a:avLst/>
            <a:gdLst>
              <a:gd name="connsiteX0" fmla="*/ 0 w 12962"/>
              <a:gd name="connsiteY0" fmla="*/ 6433 h 12865"/>
              <a:gd name="connsiteX1" fmla="*/ 6481 w 12962"/>
              <a:gd name="connsiteY1" fmla="*/ 12865 h 12865"/>
              <a:gd name="connsiteX2" fmla="*/ 12962 w 12962"/>
              <a:gd name="connsiteY2" fmla="*/ 6433 h 12865"/>
              <a:gd name="connsiteX3" fmla="*/ 6481 w 12962"/>
              <a:gd name="connsiteY3" fmla="*/ 0 h 12865"/>
              <a:gd name="connsiteX4" fmla="*/ 0 w 12962"/>
              <a:gd name="connsiteY4" fmla="*/ 6433 h 128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962" h="12865">
                <a:moveTo>
                  <a:pt x="0" y="6433"/>
                </a:moveTo>
                <a:cubicBezTo>
                  <a:pt x="0" y="9985"/>
                  <a:pt x="2902" y="12865"/>
                  <a:pt x="6481" y="12865"/>
                </a:cubicBezTo>
                <a:cubicBezTo>
                  <a:pt x="10061" y="12865"/>
                  <a:pt x="12962" y="9985"/>
                  <a:pt x="12962" y="6433"/>
                </a:cubicBezTo>
                <a:cubicBezTo>
                  <a:pt x="12962" y="2880"/>
                  <a:pt x="10061" y="0"/>
                  <a:pt x="6481" y="0"/>
                </a:cubicBezTo>
                <a:cubicBezTo>
                  <a:pt x="2902" y="0"/>
                  <a:pt x="0" y="2880"/>
                  <a:pt x="0" y="643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16" name="Freeform: Shape 315">
            <a:extLst>
              <a:ext uri="{FF2B5EF4-FFF2-40B4-BE49-F238E27FC236}">
                <a16:creationId xmlns:a16="http://schemas.microsoft.com/office/drawing/2014/main" id="{A77B2B42-9B85-4B9A-BF78-59BFC7FB4DE1}"/>
              </a:ext>
            </a:extLst>
          </xdr:cNvPr>
          <xdr:cNvSpPr/>
        </xdr:nvSpPr>
        <xdr:spPr>
          <a:xfrm>
            <a:off x="14296303" y="5462529"/>
            <a:ext cx="222922" cy="142423"/>
          </a:xfrm>
          <a:custGeom>
            <a:avLst/>
            <a:gdLst>
              <a:gd name="connsiteX0" fmla="*/ 55281 w 222922"/>
              <a:gd name="connsiteY0" fmla="*/ 120316 h 142423"/>
              <a:gd name="connsiteX1" fmla="*/ 70923 w 222922"/>
              <a:gd name="connsiteY1" fmla="*/ 125597 h 142423"/>
              <a:gd name="connsiteX2" fmla="*/ 94791 w 222922"/>
              <a:gd name="connsiteY2" fmla="*/ 116864 h 142423"/>
              <a:gd name="connsiteX3" fmla="*/ 108710 w 222922"/>
              <a:gd name="connsiteY3" fmla="*/ 120654 h 142423"/>
              <a:gd name="connsiteX4" fmla="*/ 119813 w 222922"/>
              <a:gd name="connsiteY4" fmla="*/ 141697 h 142423"/>
              <a:gd name="connsiteX5" fmla="*/ 125714 w 222922"/>
              <a:gd name="connsiteY5" fmla="*/ 142423 h 142423"/>
              <a:gd name="connsiteX6" fmla="*/ 159274 w 222922"/>
              <a:gd name="connsiteY6" fmla="*/ 121533 h 142423"/>
              <a:gd name="connsiteX7" fmla="*/ 220679 w 222922"/>
              <a:gd name="connsiteY7" fmla="*/ 83721 h 142423"/>
              <a:gd name="connsiteX8" fmla="*/ 220634 w 222922"/>
              <a:gd name="connsiteY8" fmla="*/ 64298 h 142423"/>
              <a:gd name="connsiteX9" fmla="*/ 172576 w 222922"/>
              <a:gd name="connsiteY9" fmla="*/ 29491 h 142423"/>
              <a:gd name="connsiteX10" fmla="*/ 172288 w 222922"/>
              <a:gd name="connsiteY10" fmla="*/ 28661 h 142423"/>
              <a:gd name="connsiteX11" fmla="*/ 172248 w 222922"/>
              <a:gd name="connsiteY11" fmla="*/ 28544 h 142423"/>
              <a:gd name="connsiteX12" fmla="*/ 130912 w 222922"/>
              <a:gd name="connsiteY12" fmla="*/ 9 h 142423"/>
              <a:gd name="connsiteX13" fmla="*/ 111917 w 222922"/>
              <a:gd name="connsiteY13" fmla="*/ 7197 h 142423"/>
              <a:gd name="connsiteX14" fmla="*/ 108251 w 222922"/>
              <a:gd name="connsiteY14" fmla="*/ 25718 h 142423"/>
              <a:gd name="connsiteX15" fmla="*/ 96515 w 222922"/>
              <a:gd name="connsiteY15" fmla="*/ 28493 h 142423"/>
              <a:gd name="connsiteX16" fmla="*/ 73070 w 222922"/>
              <a:gd name="connsiteY16" fmla="*/ 20243 h 142423"/>
              <a:gd name="connsiteX17" fmla="*/ 56262 w 222922"/>
              <a:gd name="connsiteY17" fmla="*/ 25588 h 142423"/>
              <a:gd name="connsiteX18" fmla="*/ 53284 w 222922"/>
              <a:gd name="connsiteY18" fmla="*/ 52066 h 142423"/>
              <a:gd name="connsiteX19" fmla="*/ 52245 w 222922"/>
              <a:gd name="connsiteY19" fmla="*/ 52837 h 142423"/>
              <a:gd name="connsiteX20" fmla="*/ 50499 w 222922"/>
              <a:gd name="connsiteY20" fmla="*/ 54153 h 142423"/>
              <a:gd name="connsiteX21" fmla="*/ 45591 w 222922"/>
              <a:gd name="connsiteY21" fmla="*/ 55858 h 142423"/>
              <a:gd name="connsiteX22" fmla="*/ 42333 w 222922"/>
              <a:gd name="connsiteY22" fmla="*/ 55134 h 142423"/>
              <a:gd name="connsiteX23" fmla="*/ 28238 w 222922"/>
              <a:gd name="connsiteY23" fmla="*/ 48533 h 142423"/>
              <a:gd name="connsiteX24" fmla="*/ 2471 w 222922"/>
              <a:gd name="connsiteY24" fmla="*/ 57656 h 142423"/>
              <a:gd name="connsiteX25" fmla="*/ 1090 w 222922"/>
              <a:gd name="connsiteY25" fmla="*/ 61611 h 142423"/>
              <a:gd name="connsiteX26" fmla="*/ 0 w 222922"/>
              <a:gd name="connsiteY26" fmla="*/ 71776 h 142423"/>
              <a:gd name="connsiteX27" fmla="*/ 0 w 222922"/>
              <a:gd name="connsiteY27" fmla="*/ 73048 h 142423"/>
              <a:gd name="connsiteX28" fmla="*/ 1089 w 222922"/>
              <a:gd name="connsiteY28" fmla="*/ 83212 h 142423"/>
              <a:gd name="connsiteX29" fmla="*/ 19955 w 222922"/>
              <a:gd name="connsiteY29" fmla="*/ 98143 h 142423"/>
              <a:gd name="connsiteX30" fmla="*/ 19957 w 222922"/>
              <a:gd name="connsiteY30" fmla="*/ 98143 h 142423"/>
              <a:gd name="connsiteX31" fmla="*/ 28238 w 222922"/>
              <a:gd name="connsiteY31" fmla="*/ 96291 h 142423"/>
              <a:gd name="connsiteX32" fmla="*/ 42351 w 222922"/>
              <a:gd name="connsiteY32" fmla="*/ 89682 h 142423"/>
              <a:gd name="connsiteX33" fmla="*/ 45654 w 222922"/>
              <a:gd name="connsiteY33" fmla="*/ 88947 h 142423"/>
              <a:gd name="connsiteX34" fmla="*/ 50311 w 222922"/>
              <a:gd name="connsiteY34" fmla="*/ 90507 h 142423"/>
              <a:gd name="connsiteX35" fmla="*/ 51603 w 222922"/>
              <a:gd name="connsiteY35" fmla="*/ 91457 h 142423"/>
              <a:gd name="connsiteX36" fmla="*/ 53433 w 222922"/>
              <a:gd name="connsiteY36" fmla="*/ 92813 h 142423"/>
              <a:gd name="connsiteX37" fmla="*/ 55281 w 222922"/>
              <a:gd name="connsiteY37" fmla="*/ 120316 h 142423"/>
              <a:gd name="connsiteX38" fmla="*/ 108012 w 222922"/>
              <a:gd name="connsiteY38" fmla="*/ 33437 h 142423"/>
              <a:gd name="connsiteX39" fmla="*/ 106870 w 222922"/>
              <a:gd name="connsiteY39" fmla="*/ 112560 h 142423"/>
              <a:gd name="connsiteX40" fmla="*/ 97232 w 222922"/>
              <a:gd name="connsiteY40" fmla="*/ 109766 h 142423"/>
              <a:gd name="connsiteX41" fmla="*/ 98653 w 222922"/>
              <a:gd name="connsiteY41" fmla="*/ 35687 h 142423"/>
              <a:gd name="connsiteX42" fmla="*/ 108012 w 222922"/>
              <a:gd name="connsiteY42" fmla="*/ 33437 h 142423"/>
              <a:gd name="connsiteX43" fmla="*/ 88492 w 222922"/>
              <a:gd name="connsiteY43" fmla="*/ 106883 h 142423"/>
              <a:gd name="connsiteX44" fmla="*/ 59036 w 222922"/>
              <a:gd name="connsiteY44" fmla="*/ 89145 h 142423"/>
              <a:gd name="connsiteX45" fmla="*/ 59067 w 222922"/>
              <a:gd name="connsiteY45" fmla="*/ 54434 h 142423"/>
              <a:gd name="connsiteX46" fmla="*/ 89755 w 222922"/>
              <a:gd name="connsiteY46" fmla="*/ 38321 h 142423"/>
              <a:gd name="connsiteX47" fmla="*/ 88492 w 222922"/>
              <a:gd name="connsiteY47" fmla="*/ 106883 h 142423"/>
              <a:gd name="connsiteX48" fmla="*/ 60397 w 222922"/>
              <a:gd name="connsiteY48" fmla="*/ 114795 h 142423"/>
              <a:gd name="connsiteX49" fmla="*/ 59005 w 222922"/>
              <a:gd name="connsiteY49" fmla="*/ 98661 h 142423"/>
              <a:gd name="connsiteX50" fmla="*/ 85554 w 222922"/>
              <a:gd name="connsiteY50" fmla="*/ 114009 h 142423"/>
              <a:gd name="connsiteX51" fmla="*/ 70923 w 222922"/>
              <a:gd name="connsiteY51" fmla="*/ 118097 h 142423"/>
              <a:gd name="connsiteX52" fmla="*/ 60397 w 222922"/>
              <a:gd name="connsiteY52" fmla="*/ 114795 h 142423"/>
              <a:gd name="connsiteX53" fmla="*/ 125714 w 222922"/>
              <a:gd name="connsiteY53" fmla="*/ 134923 h 142423"/>
              <a:gd name="connsiteX54" fmla="*/ 121723 w 222922"/>
              <a:gd name="connsiteY54" fmla="*/ 134441 h 142423"/>
              <a:gd name="connsiteX55" fmla="*/ 116236 w 222922"/>
              <a:gd name="connsiteY55" fmla="*/ 122093 h 142423"/>
              <a:gd name="connsiteX56" fmla="*/ 139692 w 222922"/>
              <a:gd name="connsiteY56" fmla="*/ 123297 h 142423"/>
              <a:gd name="connsiteX57" fmla="*/ 148815 w 222922"/>
              <a:gd name="connsiteY57" fmla="*/ 122919 h 142423"/>
              <a:gd name="connsiteX58" fmla="*/ 125714 w 222922"/>
              <a:gd name="connsiteY58" fmla="*/ 134923 h 142423"/>
              <a:gd name="connsiteX59" fmla="*/ 155960 w 222922"/>
              <a:gd name="connsiteY59" fmla="*/ 114430 h 142423"/>
              <a:gd name="connsiteX60" fmla="*/ 115444 w 222922"/>
              <a:gd name="connsiteY60" fmla="*/ 114660 h 142423"/>
              <a:gd name="connsiteX61" fmla="*/ 108761 w 222922"/>
              <a:gd name="connsiteY61" fmla="*/ 72845 h 142423"/>
              <a:gd name="connsiteX62" fmla="*/ 116985 w 222922"/>
              <a:gd name="connsiteY62" fmla="*/ 30776 h 142423"/>
              <a:gd name="connsiteX63" fmla="*/ 164176 w 222922"/>
              <a:gd name="connsiteY63" fmla="*/ 34250 h 142423"/>
              <a:gd name="connsiteX64" fmla="*/ 165532 w 222922"/>
              <a:gd name="connsiteY64" fmla="*/ 112506 h 142423"/>
              <a:gd name="connsiteX65" fmla="*/ 158954 w 222922"/>
              <a:gd name="connsiteY65" fmla="*/ 113956 h 142423"/>
              <a:gd name="connsiteX66" fmla="*/ 155960 w 222922"/>
              <a:gd name="connsiteY66" fmla="*/ 114429 h 142423"/>
              <a:gd name="connsiteX67" fmla="*/ 173507 w 222922"/>
              <a:gd name="connsiteY67" fmla="*/ 110286 h 142423"/>
              <a:gd name="connsiteX68" fmla="*/ 171484 w 222922"/>
              <a:gd name="connsiteY68" fmla="*/ 37080 h 142423"/>
              <a:gd name="connsiteX69" fmla="*/ 178104 w 222922"/>
              <a:gd name="connsiteY69" fmla="*/ 39509 h 142423"/>
              <a:gd name="connsiteX70" fmla="*/ 179613 w 222922"/>
              <a:gd name="connsiteY70" fmla="*/ 108134 h 142423"/>
              <a:gd name="connsiteX71" fmla="*/ 173507 w 222922"/>
              <a:gd name="connsiteY71" fmla="*/ 110286 h 142423"/>
              <a:gd name="connsiteX72" fmla="*/ 213863 w 222922"/>
              <a:gd name="connsiteY72" fmla="*/ 67627 h 142423"/>
              <a:gd name="connsiteX73" fmla="*/ 213859 w 222922"/>
              <a:gd name="connsiteY73" fmla="*/ 80491 h 142423"/>
              <a:gd name="connsiteX74" fmla="*/ 186911 w 222922"/>
              <a:gd name="connsiteY74" fmla="*/ 104977 h 142423"/>
              <a:gd name="connsiteX75" fmla="*/ 185243 w 222922"/>
              <a:gd name="connsiteY75" fmla="*/ 42673 h 142423"/>
              <a:gd name="connsiteX76" fmla="*/ 213863 w 222922"/>
              <a:gd name="connsiteY76" fmla="*/ 67627 h 142423"/>
              <a:gd name="connsiteX77" fmla="*/ 117785 w 222922"/>
              <a:gd name="connsiteY77" fmla="*/ 11924 h 142423"/>
              <a:gd name="connsiteX78" fmla="*/ 130930 w 222922"/>
              <a:gd name="connsiteY78" fmla="*/ 7509 h 142423"/>
              <a:gd name="connsiteX79" fmla="*/ 163270 w 222922"/>
              <a:gd name="connsiteY79" fmla="*/ 26427 h 142423"/>
              <a:gd name="connsiteX80" fmla="*/ 115613 w 222922"/>
              <a:gd name="connsiteY80" fmla="*/ 23351 h 142423"/>
              <a:gd name="connsiteX81" fmla="*/ 117785 w 222922"/>
              <a:gd name="connsiteY81" fmla="*/ 11924 h 142423"/>
              <a:gd name="connsiteX82" fmla="*/ 61253 w 222922"/>
              <a:gd name="connsiteY82" fmla="*/ 31220 h 142423"/>
              <a:gd name="connsiteX83" fmla="*/ 73071 w 222922"/>
              <a:gd name="connsiteY83" fmla="*/ 27743 h 142423"/>
              <a:gd name="connsiteX84" fmla="*/ 86994 w 222922"/>
              <a:gd name="connsiteY84" fmla="*/ 31322 h 142423"/>
              <a:gd name="connsiteX85" fmla="*/ 58403 w 222922"/>
              <a:gd name="connsiteY85" fmla="*/ 45923 h 142423"/>
              <a:gd name="connsiteX86" fmla="*/ 61253 w 222922"/>
              <a:gd name="connsiteY86" fmla="*/ 31220 h 142423"/>
              <a:gd name="connsiteX87" fmla="*/ 25013 w 222922"/>
              <a:gd name="connsiteY87" fmla="*/ 89508 h 142423"/>
              <a:gd name="connsiteX88" fmla="*/ 19956 w 222922"/>
              <a:gd name="connsiteY88" fmla="*/ 90643 h 142423"/>
              <a:gd name="connsiteX89" fmla="*/ 8467 w 222922"/>
              <a:gd name="connsiteY89" fmla="*/ 81592 h 142423"/>
              <a:gd name="connsiteX90" fmla="*/ 7557 w 222922"/>
              <a:gd name="connsiteY90" fmla="*/ 73048 h 142423"/>
              <a:gd name="connsiteX91" fmla="*/ 7557 w 222922"/>
              <a:gd name="connsiteY91" fmla="*/ 71776 h 142423"/>
              <a:gd name="connsiteX92" fmla="*/ 8468 w 222922"/>
              <a:gd name="connsiteY92" fmla="*/ 63233 h 142423"/>
              <a:gd name="connsiteX93" fmla="*/ 19955 w 222922"/>
              <a:gd name="connsiteY93" fmla="*/ 54182 h 142423"/>
              <a:gd name="connsiteX94" fmla="*/ 25013 w 222922"/>
              <a:gd name="connsiteY94" fmla="*/ 55316 h 142423"/>
              <a:gd name="connsiteX95" fmla="*/ 34801 w 222922"/>
              <a:gd name="connsiteY95" fmla="*/ 59899 h 142423"/>
              <a:gd name="connsiteX96" fmla="*/ 35069 w 222922"/>
              <a:gd name="connsiteY96" fmla="*/ 84799 h 142423"/>
              <a:gd name="connsiteX97" fmla="*/ 42105 w 222922"/>
              <a:gd name="connsiteY97" fmla="*/ 81885 h 142423"/>
              <a:gd name="connsiteX98" fmla="*/ 41873 w 222922"/>
              <a:gd name="connsiteY98" fmla="*/ 62861 h 142423"/>
              <a:gd name="connsiteX99" fmla="*/ 48699 w 222922"/>
              <a:gd name="connsiteY99" fmla="*/ 63002 h 142423"/>
              <a:gd name="connsiteX100" fmla="*/ 48943 w 222922"/>
              <a:gd name="connsiteY100" fmla="*/ 81851 h 142423"/>
              <a:gd name="connsiteX101" fmla="*/ 45655 w 222922"/>
              <a:gd name="connsiteY101" fmla="*/ 81446 h 142423"/>
              <a:gd name="connsiteX102" fmla="*/ 42105 w 222922"/>
              <a:gd name="connsiteY102" fmla="*/ 81885 h 14242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</a:cxnLst>
            <a:rect l="l" t="t" r="r" b="b"/>
            <a:pathLst>
              <a:path w="222922" h="142423">
                <a:moveTo>
                  <a:pt x="55281" y="120316"/>
                </a:moveTo>
                <a:cubicBezTo>
                  <a:pt x="59652" y="123946"/>
                  <a:pt x="65229" y="125829"/>
                  <a:pt x="70923" y="125597"/>
                </a:cubicBezTo>
                <a:cubicBezTo>
                  <a:pt x="79637" y="125403"/>
                  <a:pt x="88036" y="122330"/>
                  <a:pt x="94791" y="116864"/>
                </a:cubicBezTo>
                <a:cubicBezTo>
                  <a:pt x="99345" y="118418"/>
                  <a:pt x="103994" y="119684"/>
                  <a:pt x="108710" y="120654"/>
                </a:cubicBezTo>
                <a:cubicBezTo>
                  <a:pt x="108189" y="132099"/>
                  <a:pt x="112172" y="139715"/>
                  <a:pt x="119813" y="141697"/>
                </a:cubicBezTo>
                <a:cubicBezTo>
                  <a:pt x="121741" y="142187"/>
                  <a:pt x="123724" y="142431"/>
                  <a:pt x="125714" y="142423"/>
                </a:cubicBezTo>
                <a:cubicBezTo>
                  <a:pt x="138030" y="142423"/>
                  <a:pt x="151667" y="133887"/>
                  <a:pt x="159274" y="121533"/>
                </a:cubicBezTo>
                <a:cubicBezTo>
                  <a:pt x="189428" y="115997"/>
                  <a:pt x="211770" y="102254"/>
                  <a:pt x="220679" y="83721"/>
                </a:cubicBezTo>
                <a:cubicBezTo>
                  <a:pt x="223686" y="77588"/>
                  <a:pt x="223670" y="70419"/>
                  <a:pt x="220634" y="64298"/>
                </a:cubicBezTo>
                <a:cubicBezTo>
                  <a:pt x="213347" y="49684"/>
                  <a:pt x="196308" y="37354"/>
                  <a:pt x="172576" y="29491"/>
                </a:cubicBezTo>
                <a:cubicBezTo>
                  <a:pt x="172492" y="29209"/>
                  <a:pt x="172379" y="28941"/>
                  <a:pt x="172288" y="28661"/>
                </a:cubicBezTo>
                <a:cubicBezTo>
                  <a:pt x="172282" y="28620"/>
                  <a:pt x="172268" y="28580"/>
                  <a:pt x="172248" y="28544"/>
                </a:cubicBezTo>
                <a:cubicBezTo>
                  <a:pt x="166152" y="11150"/>
                  <a:pt x="149464" y="-370"/>
                  <a:pt x="130912" y="9"/>
                </a:cubicBezTo>
                <a:cubicBezTo>
                  <a:pt x="122181" y="44"/>
                  <a:pt x="115790" y="2462"/>
                  <a:pt x="111917" y="7197"/>
                </a:cubicBezTo>
                <a:cubicBezTo>
                  <a:pt x="108083" y="12566"/>
                  <a:pt x="106749" y="19308"/>
                  <a:pt x="108251" y="25718"/>
                </a:cubicBezTo>
                <a:cubicBezTo>
                  <a:pt x="104180" y="26488"/>
                  <a:pt x="100247" y="27418"/>
                  <a:pt x="96515" y="28493"/>
                </a:cubicBezTo>
                <a:cubicBezTo>
                  <a:pt x="89842" y="23232"/>
                  <a:pt x="81592" y="20330"/>
                  <a:pt x="73070" y="20243"/>
                </a:cubicBezTo>
                <a:cubicBezTo>
                  <a:pt x="67012" y="20031"/>
                  <a:pt x="61068" y="21921"/>
                  <a:pt x="56262" y="25588"/>
                </a:cubicBezTo>
                <a:cubicBezTo>
                  <a:pt x="48337" y="32226"/>
                  <a:pt x="47030" y="43857"/>
                  <a:pt x="53284" y="52066"/>
                </a:cubicBezTo>
                <a:cubicBezTo>
                  <a:pt x="52916" y="52341"/>
                  <a:pt x="52572" y="52596"/>
                  <a:pt x="52245" y="52837"/>
                </a:cubicBezTo>
                <a:cubicBezTo>
                  <a:pt x="51628" y="53294"/>
                  <a:pt x="51057" y="53717"/>
                  <a:pt x="50499" y="54153"/>
                </a:cubicBezTo>
                <a:cubicBezTo>
                  <a:pt x="49102" y="55251"/>
                  <a:pt x="47373" y="55852"/>
                  <a:pt x="45591" y="55858"/>
                </a:cubicBezTo>
                <a:cubicBezTo>
                  <a:pt x="44465" y="55859"/>
                  <a:pt x="43352" y="55611"/>
                  <a:pt x="42333" y="55134"/>
                </a:cubicBezTo>
                <a:lnTo>
                  <a:pt x="28238" y="48533"/>
                </a:lnTo>
                <a:cubicBezTo>
                  <a:pt x="18584" y="43990"/>
                  <a:pt x="7048" y="48075"/>
                  <a:pt x="2471" y="57656"/>
                </a:cubicBezTo>
                <a:cubicBezTo>
                  <a:pt x="1867" y="58920"/>
                  <a:pt x="1404" y="60247"/>
                  <a:pt x="1090" y="61611"/>
                </a:cubicBezTo>
                <a:cubicBezTo>
                  <a:pt x="356" y="64950"/>
                  <a:pt x="-10" y="68359"/>
                  <a:pt x="0" y="71776"/>
                </a:cubicBezTo>
                <a:lnTo>
                  <a:pt x="0" y="73048"/>
                </a:lnTo>
                <a:cubicBezTo>
                  <a:pt x="-9" y="76465"/>
                  <a:pt x="356" y="79873"/>
                  <a:pt x="1089" y="83212"/>
                </a:cubicBezTo>
                <a:cubicBezTo>
                  <a:pt x="3033" y="91988"/>
                  <a:pt x="10902" y="98216"/>
                  <a:pt x="19955" y="98143"/>
                </a:cubicBezTo>
                <a:lnTo>
                  <a:pt x="19957" y="98143"/>
                </a:lnTo>
                <a:cubicBezTo>
                  <a:pt x="22822" y="98144"/>
                  <a:pt x="25651" y="97512"/>
                  <a:pt x="28238" y="96291"/>
                </a:cubicBezTo>
                <a:lnTo>
                  <a:pt x="42351" y="89682"/>
                </a:lnTo>
                <a:cubicBezTo>
                  <a:pt x="43384" y="89198"/>
                  <a:pt x="44512" y="88946"/>
                  <a:pt x="45654" y="88947"/>
                </a:cubicBezTo>
                <a:cubicBezTo>
                  <a:pt x="47337" y="88945"/>
                  <a:pt x="48974" y="89493"/>
                  <a:pt x="50311" y="90507"/>
                </a:cubicBezTo>
                <a:cubicBezTo>
                  <a:pt x="50731" y="90825"/>
                  <a:pt x="51156" y="91133"/>
                  <a:pt x="51603" y="91457"/>
                </a:cubicBezTo>
                <a:cubicBezTo>
                  <a:pt x="52152" y="91855"/>
                  <a:pt x="52749" y="92289"/>
                  <a:pt x="53433" y="92813"/>
                </a:cubicBezTo>
                <a:cubicBezTo>
                  <a:pt x="45964" y="107238"/>
                  <a:pt x="50230" y="115705"/>
                  <a:pt x="55281" y="120316"/>
                </a:cubicBezTo>
                <a:close/>
                <a:moveTo>
                  <a:pt x="108012" y="33437"/>
                </a:moveTo>
                <a:cubicBezTo>
                  <a:pt x="99323" y="59047"/>
                  <a:pt x="98924" y="86714"/>
                  <a:pt x="106870" y="112560"/>
                </a:cubicBezTo>
                <a:cubicBezTo>
                  <a:pt x="103762" y="111817"/>
                  <a:pt x="100726" y="110935"/>
                  <a:pt x="97232" y="109766"/>
                </a:cubicBezTo>
                <a:cubicBezTo>
                  <a:pt x="89158" y="85638"/>
                  <a:pt x="89660" y="59493"/>
                  <a:pt x="98653" y="35687"/>
                </a:cubicBezTo>
                <a:cubicBezTo>
                  <a:pt x="101630" y="34831"/>
                  <a:pt x="104785" y="34091"/>
                  <a:pt x="108012" y="33437"/>
                </a:cubicBezTo>
                <a:close/>
                <a:moveTo>
                  <a:pt x="88492" y="106883"/>
                </a:moveTo>
                <a:cubicBezTo>
                  <a:pt x="78100" y="101964"/>
                  <a:pt x="68232" y="96021"/>
                  <a:pt x="59036" y="89145"/>
                </a:cubicBezTo>
                <a:cubicBezTo>
                  <a:pt x="54308" y="78048"/>
                  <a:pt x="54320" y="65523"/>
                  <a:pt x="59067" y="54434"/>
                </a:cubicBezTo>
                <a:cubicBezTo>
                  <a:pt x="68791" y="48164"/>
                  <a:pt x="79061" y="42771"/>
                  <a:pt x="89755" y="38321"/>
                </a:cubicBezTo>
                <a:cubicBezTo>
                  <a:pt x="82494" y="60545"/>
                  <a:pt x="82055" y="84410"/>
                  <a:pt x="88492" y="106883"/>
                </a:cubicBezTo>
                <a:close/>
                <a:moveTo>
                  <a:pt x="60397" y="114795"/>
                </a:moveTo>
                <a:cubicBezTo>
                  <a:pt x="58854" y="113388"/>
                  <a:pt x="54385" y="109293"/>
                  <a:pt x="59005" y="98661"/>
                </a:cubicBezTo>
                <a:cubicBezTo>
                  <a:pt x="67331" y="104621"/>
                  <a:pt x="76223" y="109761"/>
                  <a:pt x="85554" y="114009"/>
                </a:cubicBezTo>
                <a:cubicBezTo>
                  <a:pt x="81113" y="116599"/>
                  <a:pt x="76074" y="118007"/>
                  <a:pt x="70923" y="118097"/>
                </a:cubicBezTo>
                <a:cubicBezTo>
                  <a:pt x="67128" y="118296"/>
                  <a:pt x="63388" y="117123"/>
                  <a:pt x="60397" y="114795"/>
                </a:cubicBezTo>
                <a:close/>
                <a:moveTo>
                  <a:pt x="125714" y="134923"/>
                </a:moveTo>
                <a:cubicBezTo>
                  <a:pt x="124369" y="134931"/>
                  <a:pt x="123028" y="134769"/>
                  <a:pt x="121723" y="134441"/>
                </a:cubicBezTo>
                <a:cubicBezTo>
                  <a:pt x="116898" y="133189"/>
                  <a:pt x="116163" y="126597"/>
                  <a:pt x="116236" y="122093"/>
                </a:cubicBezTo>
                <a:cubicBezTo>
                  <a:pt x="124027" y="122909"/>
                  <a:pt x="131857" y="123312"/>
                  <a:pt x="139692" y="123297"/>
                </a:cubicBezTo>
                <a:cubicBezTo>
                  <a:pt x="143293" y="123298"/>
                  <a:pt x="146302" y="123133"/>
                  <a:pt x="148815" y="122919"/>
                </a:cubicBezTo>
                <a:cubicBezTo>
                  <a:pt x="143108" y="129907"/>
                  <a:pt x="134751" y="134250"/>
                  <a:pt x="125714" y="134923"/>
                </a:cubicBezTo>
                <a:close/>
                <a:moveTo>
                  <a:pt x="155960" y="114430"/>
                </a:moveTo>
                <a:cubicBezTo>
                  <a:pt x="142487" y="115673"/>
                  <a:pt x="128931" y="115750"/>
                  <a:pt x="115444" y="114660"/>
                </a:cubicBezTo>
                <a:cubicBezTo>
                  <a:pt x="110811" y="101207"/>
                  <a:pt x="108550" y="87061"/>
                  <a:pt x="108761" y="72845"/>
                </a:cubicBezTo>
                <a:cubicBezTo>
                  <a:pt x="108985" y="58451"/>
                  <a:pt x="111769" y="44208"/>
                  <a:pt x="116985" y="30776"/>
                </a:cubicBezTo>
                <a:cubicBezTo>
                  <a:pt x="132800" y="29961"/>
                  <a:pt x="148655" y="31128"/>
                  <a:pt x="164176" y="34250"/>
                </a:cubicBezTo>
                <a:cubicBezTo>
                  <a:pt x="146887" y="57683"/>
                  <a:pt x="147441" y="89677"/>
                  <a:pt x="165532" y="112506"/>
                </a:cubicBezTo>
                <a:lnTo>
                  <a:pt x="158954" y="113956"/>
                </a:lnTo>
                <a:cubicBezTo>
                  <a:pt x="157967" y="114175"/>
                  <a:pt x="156967" y="114333"/>
                  <a:pt x="155960" y="114429"/>
                </a:cubicBezTo>
                <a:close/>
                <a:moveTo>
                  <a:pt x="173507" y="110286"/>
                </a:moveTo>
                <a:cubicBezTo>
                  <a:pt x="155133" y="89561"/>
                  <a:pt x="154283" y="58774"/>
                  <a:pt x="171484" y="37080"/>
                </a:cubicBezTo>
                <a:cubicBezTo>
                  <a:pt x="173749" y="37857"/>
                  <a:pt x="175983" y="38652"/>
                  <a:pt x="178104" y="39509"/>
                </a:cubicBezTo>
                <a:cubicBezTo>
                  <a:pt x="161563" y="59649"/>
                  <a:pt x="162203" y="88728"/>
                  <a:pt x="179613" y="108134"/>
                </a:cubicBezTo>
                <a:cubicBezTo>
                  <a:pt x="177637" y="108896"/>
                  <a:pt x="175608" y="109618"/>
                  <a:pt x="173507" y="110286"/>
                </a:cubicBezTo>
                <a:close/>
                <a:moveTo>
                  <a:pt x="213863" y="67627"/>
                </a:moveTo>
                <a:cubicBezTo>
                  <a:pt x="215862" y="71686"/>
                  <a:pt x="215861" y="76434"/>
                  <a:pt x="213859" y="80491"/>
                </a:cubicBezTo>
                <a:cubicBezTo>
                  <a:pt x="209108" y="90374"/>
                  <a:pt x="199722" y="98760"/>
                  <a:pt x="186911" y="104977"/>
                </a:cubicBezTo>
                <a:cubicBezTo>
                  <a:pt x="169922" y="87881"/>
                  <a:pt x="169193" y="60641"/>
                  <a:pt x="185243" y="42673"/>
                </a:cubicBezTo>
                <a:cubicBezTo>
                  <a:pt x="199130" y="49422"/>
                  <a:pt x="209075" y="58025"/>
                  <a:pt x="213863" y="67627"/>
                </a:cubicBezTo>
                <a:close/>
                <a:moveTo>
                  <a:pt x="117785" y="11924"/>
                </a:moveTo>
                <a:cubicBezTo>
                  <a:pt x="120158" y="9021"/>
                  <a:pt x="124581" y="7536"/>
                  <a:pt x="130930" y="7509"/>
                </a:cubicBezTo>
                <a:cubicBezTo>
                  <a:pt x="144458" y="7197"/>
                  <a:pt x="156993" y="14530"/>
                  <a:pt x="163270" y="26427"/>
                </a:cubicBezTo>
                <a:cubicBezTo>
                  <a:pt x="147581" y="23392"/>
                  <a:pt x="131566" y="22358"/>
                  <a:pt x="115613" y="23351"/>
                </a:cubicBezTo>
                <a:cubicBezTo>
                  <a:pt x="114787" y="19407"/>
                  <a:pt x="115568" y="15299"/>
                  <a:pt x="117785" y="11924"/>
                </a:cubicBezTo>
                <a:close/>
                <a:moveTo>
                  <a:pt x="61253" y="31220"/>
                </a:moveTo>
                <a:cubicBezTo>
                  <a:pt x="64695" y="28793"/>
                  <a:pt x="68852" y="27570"/>
                  <a:pt x="73071" y="27743"/>
                </a:cubicBezTo>
                <a:cubicBezTo>
                  <a:pt x="77937" y="27788"/>
                  <a:pt x="82718" y="29017"/>
                  <a:pt x="86994" y="31322"/>
                </a:cubicBezTo>
                <a:cubicBezTo>
                  <a:pt x="77097" y="35447"/>
                  <a:pt x="67538" y="40329"/>
                  <a:pt x="58403" y="45923"/>
                </a:cubicBezTo>
                <a:cubicBezTo>
                  <a:pt x="55667" y="40979"/>
                  <a:pt x="56864" y="34802"/>
                  <a:pt x="61253" y="31220"/>
                </a:cubicBezTo>
                <a:close/>
                <a:moveTo>
                  <a:pt x="25013" y="89508"/>
                </a:moveTo>
                <a:cubicBezTo>
                  <a:pt x="23433" y="90255"/>
                  <a:pt x="21706" y="90642"/>
                  <a:pt x="19956" y="90643"/>
                </a:cubicBezTo>
                <a:cubicBezTo>
                  <a:pt x="14453" y="90699"/>
                  <a:pt x="9661" y="86924"/>
                  <a:pt x="8467" y="81592"/>
                </a:cubicBezTo>
                <a:cubicBezTo>
                  <a:pt x="7852" y="78785"/>
                  <a:pt x="7547" y="75920"/>
                  <a:pt x="7557" y="73048"/>
                </a:cubicBezTo>
                <a:lnTo>
                  <a:pt x="7557" y="71776"/>
                </a:lnTo>
                <a:cubicBezTo>
                  <a:pt x="7547" y="68904"/>
                  <a:pt x="7852" y="66039"/>
                  <a:pt x="8468" y="63233"/>
                </a:cubicBezTo>
                <a:cubicBezTo>
                  <a:pt x="9661" y="57900"/>
                  <a:pt x="14452" y="54125"/>
                  <a:pt x="19955" y="54182"/>
                </a:cubicBezTo>
                <a:cubicBezTo>
                  <a:pt x="21705" y="54182"/>
                  <a:pt x="23433" y="54569"/>
                  <a:pt x="25013" y="55316"/>
                </a:cubicBezTo>
                <a:lnTo>
                  <a:pt x="34801" y="59899"/>
                </a:lnTo>
                <a:cubicBezTo>
                  <a:pt x="32852" y="68097"/>
                  <a:pt x="32943" y="76643"/>
                  <a:pt x="35069" y="84799"/>
                </a:cubicBezTo>
                <a:close/>
                <a:moveTo>
                  <a:pt x="42105" y="81885"/>
                </a:moveTo>
                <a:cubicBezTo>
                  <a:pt x="40662" y="75633"/>
                  <a:pt x="40583" y="69146"/>
                  <a:pt x="41873" y="62861"/>
                </a:cubicBezTo>
                <a:cubicBezTo>
                  <a:pt x="44101" y="63472"/>
                  <a:pt x="46448" y="63521"/>
                  <a:pt x="48699" y="63002"/>
                </a:cubicBezTo>
                <a:cubicBezTo>
                  <a:pt x="47613" y="69246"/>
                  <a:pt x="47695" y="75636"/>
                  <a:pt x="48943" y="81851"/>
                </a:cubicBezTo>
                <a:cubicBezTo>
                  <a:pt x="47865" y="81597"/>
                  <a:pt x="46762" y="81461"/>
                  <a:pt x="45655" y="81446"/>
                </a:cubicBezTo>
                <a:cubicBezTo>
                  <a:pt x="44458" y="81455"/>
                  <a:pt x="43267" y="81602"/>
                  <a:pt x="42105" y="8188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2</xdr:col>
      <xdr:colOff>118382</xdr:colOff>
      <xdr:row>9</xdr:row>
      <xdr:rowOff>133527</xdr:rowOff>
    </xdr:from>
    <xdr:to>
      <xdr:col>2</xdr:col>
      <xdr:colOff>450421</xdr:colOff>
      <xdr:row>9</xdr:row>
      <xdr:rowOff>433909</xdr:rowOff>
    </xdr:to>
    <xdr:grpSp>
      <xdr:nvGrpSpPr>
        <xdr:cNvPr id="317" name="bat" descr="Bats outline">
          <a:extLst>
            <a:ext uri="{FF2B5EF4-FFF2-40B4-BE49-F238E27FC236}">
              <a16:creationId xmlns:a16="http://schemas.microsoft.com/office/drawing/2014/main" id="{8B5B7492-7003-4227-B68C-1D89F51A88BC}"/>
            </a:ext>
          </a:extLst>
        </xdr:cNvPr>
        <xdr:cNvGrpSpPr>
          <a:grpSpLocks noChangeAspect="1"/>
        </xdr:cNvGrpSpPr>
      </xdr:nvGrpSpPr>
      <xdr:grpSpPr>
        <a:xfrm>
          <a:off x="1547132" y="3657777"/>
          <a:ext cx="332039" cy="300382"/>
          <a:chOff x="1673981" y="2616964"/>
          <a:chExt cx="332039" cy="300382"/>
        </a:xfrm>
        <a:solidFill>
          <a:srgbClr val="1F4E78"/>
        </a:solidFill>
      </xdr:grpSpPr>
      <xdr:sp macro="" textlink="">
        <xdr:nvSpPr>
          <xdr:cNvPr id="318" name="Freeform: Shape 317">
            <a:extLst>
              <a:ext uri="{FF2B5EF4-FFF2-40B4-BE49-F238E27FC236}">
                <a16:creationId xmlns:a16="http://schemas.microsoft.com/office/drawing/2014/main" id="{5570EDFA-7CDF-48AC-9B42-421C018DD8BA}"/>
              </a:ext>
            </a:extLst>
          </xdr:cNvPr>
          <xdr:cNvSpPr/>
        </xdr:nvSpPr>
        <xdr:spPr>
          <a:xfrm>
            <a:off x="1795220" y="2792092"/>
            <a:ext cx="210799" cy="125253"/>
          </a:xfrm>
          <a:custGeom>
            <a:avLst/>
            <a:gdLst>
              <a:gd name="connsiteX0" fmla="*/ 190058 w 210799"/>
              <a:gd name="connsiteY0" fmla="*/ 50621 h 125253"/>
              <a:gd name="connsiteX1" fmla="*/ 154345 w 210799"/>
              <a:gd name="connsiteY1" fmla="*/ 55178 h 125253"/>
              <a:gd name="connsiteX2" fmla="*/ 130731 w 210799"/>
              <a:gd name="connsiteY2" fmla="*/ 52125 h 125253"/>
              <a:gd name="connsiteX3" fmla="*/ 132620 w 210799"/>
              <a:gd name="connsiteY3" fmla="*/ 48000 h 125253"/>
              <a:gd name="connsiteX4" fmla="*/ 138665 w 210799"/>
              <a:gd name="connsiteY4" fmla="*/ 44625 h 125253"/>
              <a:gd name="connsiteX5" fmla="*/ 140554 w 210799"/>
              <a:gd name="connsiteY5" fmla="*/ 35625 h 125253"/>
              <a:gd name="connsiteX6" fmla="*/ 138869 w 210799"/>
              <a:gd name="connsiteY6" fmla="*/ 35029 h 125253"/>
              <a:gd name="connsiteX7" fmla="*/ 132242 w 210799"/>
              <a:gd name="connsiteY7" fmla="*/ 38250 h 125253"/>
              <a:gd name="connsiteX8" fmla="*/ 125819 w 210799"/>
              <a:gd name="connsiteY8" fmla="*/ 31500 h 125253"/>
              <a:gd name="connsiteX9" fmla="*/ 121561 w 210799"/>
              <a:gd name="connsiteY9" fmla="*/ 30574 h 125253"/>
              <a:gd name="connsiteX10" fmla="*/ 115617 w 210799"/>
              <a:gd name="connsiteY10" fmla="*/ 32250 h 125253"/>
              <a:gd name="connsiteX11" fmla="*/ 111461 w 210799"/>
              <a:gd name="connsiteY11" fmla="*/ 24000 h 125253"/>
              <a:gd name="connsiteX12" fmla="*/ 106171 w 210799"/>
              <a:gd name="connsiteY12" fmla="*/ 31500 h 125253"/>
              <a:gd name="connsiteX13" fmla="*/ 108816 w 210799"/>
              <a:gd name="connsiteY13" fmla="*/ 38625 h 125253"/>
              <a:gd name="connsiteX14" fmla="*/ 107305 w 210799"/>
              <a:gd name="connsiteY14" fmla="*/ 42375 h 125253"/>
              <a:gd name="connsiteX15" fmla="*/ 66499 w 210799"/>
              <a:gd name="connsiteY15" fmla="*/ 0 h 125253"/>
              <a:gd name="connsiteX16" fmla="*/ 0 w 210799"/>
              <a:gd name="connsiteY16" fmla="*/ 39000 h 125253"/>
              <a:gd name="connsiteX17" fmla="*/ 23105 w 210799"/>
              <a:gd name="connsiteY17" fmla="*/ 32359 h 125253"/>
              <a:gd name="connsiteX18" fmla="*/ 37772 w 210799"/>
              <a:gd name="connsiteY18" fmla="*/ 35254 h 125253"/>
              <a:gd name="connsiteX19" fmla="*/ 53263 w 210799"/>
              <a:gd name="connsiteY19" fmla="*/ 58129 h 125253"/>
              <a:gd name="connsiteX20" fmla="*/ 67092 w 210799"/>
              <a:gd name="connsiteY20" fmla="*/ 56130 h 125253"/>
              <a:gd name="connsiteX21" fmla="*/ 80093 w 210799"/>
              <a:gd name="connsiteY21" fmla="*/ 58129 h 125253"/>
              <a:gd name="connsiteX22" fmla="*/ 100496 w 210799"/>
              <a:gd name="connsiteY22" fmla="*/ 91504 h 125253"/>
              <a:gd name="connsiteX23" fmla="*/ 131195 w 210799"/>
              <a:gd name="connsiteY23" fmla="*/ 81585 h 125253"/>
              <a:gd name="connsiteX24" fmla="*/ 138661 w 210799"/>
              <a:gd name="connsiteY24" fmla="*/ 82504 h 125253"/>
              <a:gd name="connsiteX25" fmla="*/ 157553 w 210799"/>
              <a:gd name="connsiteY25" fmla="*/ 101254 h 125253"/>
              <a:gd name="connsiteX26" fmla="*/ 180979 w 210799"/>
              <a:gd name="connsiteY26" fmla="*/ 95467 h 125253"/>
              <a:gd name="connsiteX27" fmla="*/ 184757 w 210799"/>
              <a:gd name="connsiteY27" fmla="*/ 96004 h 125253"/>
              <a:gd name="connsiteX28" fmla="*/ 208561 w 210799"/>
              <a:gd name="connsiteY28" fmla="*/ 125254 h 125253"/>
              <a:gd name="connsiteX29" fmla="*/ 190058 w 210799"/>
              <a:gd name="connsiteY29" fmla="*/ 50621 h 125253"/>
              <a:gd name="connsiteX30" fmla="*/ 187667 w 210799"/>
              <a:gd name="connsiteY30" fmla="*/ 89074 h 125253"/>
              <a:gd name="connsiteX31" fmla="*/ 187523 w 210799"/>
              <a:gd name="connsiteY31" fmla="*/ 89014 h 125253"/>
              <a:gd name="connsiteX32" fmla="*/ 187379 w 210799"/>
              <a:gd name="connsiteY32" fmla="*/ 88961 h 125253"/>
              <a:gd name="connsiteX33" fmla="*/ 181002 w 210799"/>
              <a:gd name="connsiteY33" fmla="*/ 87964 h 125253"/>
              <a:gd name="connsiteX34" fmla="*/ 160757 w 210799"/>
              <a:gd name="connsiteY34" fmla="*/ 92138 h 125253"/>
              <a:gd name="connsiteX35" fmla="*/ 142047 w 210799"/>
              <a:gd name="connsiteY35" fmla="*/ 75791 h 125253"/>
              <a:gd name="connsiteX36" fmla="*/ 141359 w 210799"/>
              <a:gd name="connsiteY36" fmla="*/ 75450 h 125253"/>
              <a:gd name="connsiteX37" fmla="*/ 140604 w 210799"/>
              <a:gd name="connsiteY37" fmla="*/ 75251 h 125253"/>
              <a:gd name="connsiteX38" fmla="*/ 131188 w 210799"/>
              <a:gd name="connsiteY38" fmla="*/ 74081 h 125253"/>
              <a:gd name="connsiteX39" fmla="*/ 105057 w 210799"/>
              <a:gd name="connsiteY39" fmla="*/ 80595 h 125253"/>
              <a:gd name="connsiteX40" fmla="*/ 83970 w 210799"/>
              <a:gd name="connsiteY40" fmla="*/ 51690 h 125253"/>
              <a:gd name="connsiteX41" fmla="*/ 83260 w 210799"/>
              <a:gd name="connsiteY41" fmla="*/ 51270 h 125253"/>
              <a:gd name="connsiteX42" fmla="*/ 82474 w 210799"/>
              <a:gd name="connsiteY42" fmla="*/ 51008 h 125253"/>
              <a:gd name="connsiteX43" fmla="*/ 67081 w 210799"/>
              <a:gd name="connsiteY43" fmla="*/ 48623 h 125253"/>
              <a:gd name="connsiteX44" fmla="*/ 57563 w 210799"/>
              <a:gd name="connsiteY44" fmla="*/ 49421 h 125253"/>
              <a:gd name="connsiteX45" fmla="*/ 40995 w 210799"/>
              <a:gd name="connsiteY45" fmla="*/ 28470 h 125253"/>
              <a:gd name="connsiteX46" fmla="*/ 40829 w 210799"/>
              <a:gd name="connsiteY46" fmla="*/ 28391 h 125253"/>
              <a:gd name="connsiteX47" fmla="*/ 40659 w 210799"/>
              <a:gd name="connsiteY47" fmla="*/ 28320 h 125253"/>
              <a:gd name="connsiteX48" fmla="*/ 24231 w 210799"/>
              <a:gd name="connsiteY48" fmla="*/ 24863 h 125253"/>
              <a:gd name="connsiteX49" fmla="*/ 22591 w 210799"/>
              <a:gd name="connsiteY49" fmla="*/ 24907 h 125253"/>
              <a:gd name="connsiteX50" fmla="*/ 24654 w 210799"/>
              <a:gd name="connsiteY50" fmla="*/ 23216 h 125253"/>
              <a:gd name="connsiteX51" fmla="*/ 62864 w 210799"/>
              <a:gd name="connsiteY51" fmla="*/ 7841 h 125253"/>
              <a:gd name="connsiteX52" fmla="*/ 65271 w 210799"/>
              <a:gd name="connsiteY52" fmla="*/ 11171 h 125253"/>
              <a:gd name="connsiteX53" fmla="*/ 103402 w 210799"/>
              <a:gd name="connsiteY53" fmla="*/ 48825 h 125253"/>
              <a:gd name="connsiteX54" fmla="*/ 105786 w 210799"/>
              <a:gd name="connsiteY54" fmla="*/ 50242 h 125253"/>
              <a:gd name="connsiteX55" fmla="*/ 106587 w 210799"/>
              <a:gd name="connsiteY55" fmla="*/ 52406 h 125253"/>
              <a:gd name="connsiteX56" fmla="*/ 111438 w 210799"/>
              <a:gd name="connsiteY56" fmla="*/ 54634 h 125253"/>
              <a:gd name="connsiteX57" fmla="*/ 113683 w 210799"/>
              <a:gd name="connsiteY57" fmla="*/ 49819 h 125253"/>
              <a:gd name="connsiteX58" fmla="*/ 113086 w 210799"/>
              <a:gd name="connsiteY58" fmla="*/ 48206 h 125253"/>
              <a:gd name="connsiteX59" fmla="*/ 115107 w 210799"/>
              <a:gd name="connsiteY59" fmla="*/ 43189 h 125253"/>
              <a:gd name="connsiteX60" fmla="*/ 115863 w 210799"/>
              <a:gd name="connsiteY60" fmla="*/ 41535 h 125253"/>
              <a:gd name="connsiteX61" fmla="*/ 122371 w 210799"/>
              <a:gd name="connsiteY61" fmla="*/ 38106 h 125253"/>
              <a:gd name="connsiteX62" fmla="*/ 125826 w 210799"/>
              <a:gd name="connsiteY62" fmla="*/ 44565 h 125253"/>
              <a:gd name="connsiteX63" fmla="*/ 125407 w 210799"/>
              <a:gd name="connsiteY63" fmla="*/ 45548 h 125253"/>
              <a:gd name="connsiteX64" fmla="*/ 124787 w 210799"/>
              <a:gd name="connsiteY64" fmla="*/ 46991 h 125253"/>
              <a:gd name="connsiteX65" fmla="*/ 122437 w 210799"/>
              <a:gd name="connsiteY65" fmla="*/ 52121 h 125253"/>
              <a:gd name="connsiteX66" fmla="*/ 120518 w 210799"/>
              <a:gd name="connsiteY66" fmla="*/ 52924 h 125253"/>
              <a:gd name="connsiteX67" fmla="*/ 118629 w 210799"/>
              <a:gd name="connsiteY67" fmla="*/ 57885 h 125253"/>
              <a:gd name="connsiteX68" fmla="*/ 123446 w 210799"/>
              <a:gd name="connsiteY68" fmla="*/ 59835 h 125253"/>
              <a:gd name="connsiteX69" fmla="*/ 126091 w 210799"/>
              <a:gd name="connsiteY69" fmla="*/ 58710 h 125253"/>
              <a:gd name="connsiteX70" fmla="*/ 128879 w 210799"/>
              <a:gd name="connsiteY70" fmla="*/ 59400 h 125253"/>
              <a:gd name="connsiteX71" fmla="*/ 154326 w 210799"/>
              <a:gd name="connsiteY71" fmla="*/ 62678 h 125253"/>
              <a:gd name="connsiteX72" fmla="*/ 183159 w 210799"/>
              <a:gd name="connsiteY72" fmla="*/ 59404 h 125253"/>
              <a:gd name="connsiteX73" fmla="*/ 187047 w 210799"/>
              <a:gd name="connsiteY73" fmla="*/ 58732 h 125253"/>
              <a:gd name="connsiteX74" fmla="*/ 202791 w 210799"/>
              <a:gd name="connsiteY74" fmla="*/ 96641 h 125253"/>
              <a:gd name="connsiteX75" fmla="*/ 203007 w 210799"/>
              <a:gd name="connsiteY75" fmla="*/ 99604 h 125253"/>
              <a:gd name="connsiteX76" fmla="*/ 200687 w 210799"/>
              <a:gd name="connsiteY76" fmla="*/ 97249 h 125253"/>
              <a:gd name="connsiteX77" fmla="*/ 187667 w 210799"/>
              <a:gd name="connsiteY77" fmla="*/ 89081 h 1252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</a:cxnLst>
            <a:rect l="l" t="t" r="r" b="b"/>
            <a:pathLst>
              <a:path w="210799" h="125253">
                <a:moveTo>
                  <a:pt x="190058" y="50621"/>
                </a:moveTo>
                <a:cubicBezTo>
                  <a:pt x="178302" y="53121"/>
                  <a:pt x="166356" y="54645"/>
                  <a:pt x="154345" y="55178"/>
                </a:cubicBezTo>
                <a:cubicBezTo>
                  <a:pt x="146376" y="55139"/>
                  <a:pt x="138443" y="54114"/>
                  <a:pt x="130731" y="52125"/>
                </a:cubicBezTo>
                <a:lnTo>
                  <a:pt x="132620" y="48000"/>
                </a:lnTo>
                <a:cubicBezTo>
                  <a:pt x="134919" y="47471"/>
                  <a:pt x="137016" y="46300"/>
                  <a:pt x="138665" y="44625"/>
                </a:cubicBezTo>
                <a:cubicBezTo>
                  <a:pt x="141688" y="41625"/>
                  <a:pt x="142444" y="37500"/>
                  <a:pt x="140554" y="35625"/>
                </a:cubicBezTo>
                <a:cubicBezTo>
                  <a:pt x="140097" y="35208"/>
                  <a:pt x="139489" y="34994"/>
                  <a:pt x="138869" y="35029"/>
                </a:cubicBezTo>
                <a:cubicBezTo>
                  <a:pt x="136369" y="35368"/>
                  <a:pt x="134045" y="36498"/>
                  <a:pt x="132242" y="38250"/>
                </a:cubicBezTo>
                <a:cubicBezTo>
                  <a:pt x="131170" y="35193"/>
                  <a:pt x="128833" y="32737"/>
                  <a:pt x="125819" y="31500"/>
                </a:cubicBezTo>
                <a:cubicBezTo>
                  <a:pt x="124481" y="30896"/>
                  <a:pt x="123030" y="30581"/>
                  <a:pt x="121561" y="30574"/>
                </a:cubicBezTo>
                <a:cubicBezTo>
                  <a:pt x="119467" y="30617"/>
                  <a:pt x="117421" y="31194"/>
                  <a:pt x="115617" y="32250"/>
                </a:cubicBezTo>
                <a:cubicBezTo>
                  <a:pt x="115239" y="28125"/>
                  <a:pt x="114106" y="24000"/>
                  <a:pt x="111461" y="24000"/>
                </a:cubicBezTo>
                <a:cubicBezTo>
                  <a:pt x="108438" y="24000"/>
                  <a:pt x="106171" y="27375"/>
                  <a:pt x="106171" y="31500"/>
                </a:cubicBezTo>
                <a:cubicBezTo>
                  <a:pt x="106029" y="34135"/>
                  <a:pt x="106986" y="36711"/>
                  <a:pt x="108816" y="38625"/>
                </a:cubicBezTo>
                <a:lnTo>
                  <a:pt x="107305" y="42375"/>
                </a:lnTo>
                <a:cubicBezTo>
                  <a:pt x="86524" y="30000"/>
                  <a:pt x="78967" y="16875"/>
                  <a:pt x="66499" y="0"/>
                </a:cubicBezTo>
                <a:cubicBezTo>
                  <a:pt x="39376" y="1864"/>
                  <a:pt x="14729" y="16319"/>
                  <a:pt x="0" y="39000"/>
                </a:cubicBezTo>
                <a:cubicBezTo>
                  <a:pt x="6951" y="34745"/>
                  <a:pt x="14938" y="32449"/>
                  <a:pt x="23105" y="32359"/>
                </a:cubicBezTo>
                <a:cubicBezTo>
                  <a:pt x="28139" y="32349"/>
                  <a:pt x="33125" y="33333"/>
                  <a:pt x="37772" y="35254"/>
                </a:cubicBezTo>
                <a:cubicBezTo>
                  <a:pt x="44951" y="38629"/>
                  <a:pt x="53263" y="58129"/>
                  <a:pt x="53263" y="58129"/>
                </a:cubicBezTo>
                <a:cubicBezTo>
                  <a:pt x="57747" y="56783"/>
                  <a:pt x="62408" y="56109"/>
                  <a:pt x="67092" y="56130"/>
                </a:cubicBezTo>
                <a:cubicBezTo>
                  <a:pt x="71506" y="56100"/>
                  <a:pt x="75896" y="56775"/>
                  <a:pt x="80093" y="58129"/>
                </a:cubicBezTo>
                <a:cubicBezTo>
                  <a:pt x="95207" y="67129"/>
                  <a:pt x="100496" y="91504"/>
                  <a:pt x="100496" y="91504"/>
                </a:cubicBezTo>
                <a:cubicBezTo>
                  <a:pt x="100496" y="91504"/>
                  <a:pt x="116044" y="81585"/>
                  <a:pt x="131195" y="81585"/>
                </a:cubicBezTo>
                <a:cubicBezTo>
                  <a:pt x="133714" y="81567"/>
                  <a:pt x="136224" y="81876"/>
                  <a:pt x="138661" y="82504"/>
                </a:cubicBezTo>
                <a:cubicBezTo>
                  <a:pt x="146694" y="86754"/>
                  <a:pt x="153271" y="93281"/>
                  <a:pt x="157553" y="101254"/>
                </a:cubicBezTo>
                <a:cubicBezTo>
                  <a:pt x="157553" y="101254"/>
                  <a:pt x="172266" y="95467"/>
                  <a:pt x="180979" y="95467"/>
                </a:cubicBezTo>
                <a:cubicBezTo>
                  <a:pt x="182260" y="95429"/>
                  <a:pt x="183538" y="95610"/>
                  <a:pt x="184757" y="96004"/>
                </a:cubicBezTo>
                <a:cubicBezTo>
                  <a:pt x="196906" y="101469"/>
                  <a:pt x="205733" y="112316"/>
                  <a:pt x="208561" y="125254"/>
                </a:cubicBezTo>
                <a:cubicBezTo>
                  <a:pt x="208561" y="125254"/>
                  <a:pt x="220289" y="84371"/>
                  <a:pt x="190058" y="50621"/>
                </a:cubicBezTo>
                <a:close/>
                <a:moveTo>
                  <a:pt x="187667" y="89074"/>
                </a:moveTo>
                <a:lnTo>
                  <a:pt x="187523" y="89014"/>
                </a:lnTo>
                <a:lnTo>
                  <a:pt x="187379" y="88961"/>
                </a:lnTo>
                <a:cubicBezTo>
                  <a:pt x="185330" y="88256"/>
                  <a:pt x="183170" y="87918"/>
                  <a:pt x="181002" y="87964"/>
                </a:cubicBezTo>
                <a:cubicBezTo>
                  <a:pt x="174088" y="88390"/>
                  <a:pt x="167270" y="89796"/>
                  <a:pt x="160757" y="92138"/>
                </a:cubicBezTo>
                <a:cubicBezTo>
                  <a:pt x="155944" y="85268"/>
                  <a:pt x="149523" y="79659"/>
                  <a:pt x="142047" y="75791"/>
                </a:cubicBezTo>
                <a:lnTo>
                  <a:pt x="141359" y="75450"/>
                </a:lnTo>
                <a:lnTo>
                  <a:pt x="140604" y="75251"/>
                </a:lnTo>
                <a:cubicBezTo>
                  <a:pt x="137529" y="74458"/>
                  <a:pt x="134364" y="74065"/>
                  <a:pt x="131188" y="74081"/>
                </a:cubicBezTo>
                <a:cubicBezTo>
                  <a:pt x="122115" y="74417"/>
                  <a:pt x="113213" y="76636"/>
                  <a:pt x="105057" y="80595"/>
                </a:cubicBezTo>
                <a:cubicBezTo>
                  <a:pt x="101755" y="71595"/>
                  <a:pt x="95233" y="58406"/>
                  <a:pt x="83970" y="51690"/>
                </a:cubicBezTo>
                <a:lnTo>
                  <a:pt x="83260" y="51270"/>
                </a:lnTo>
                <a:lnTo>
                  <a:pt x="82474" y="51008"/>
                </a:lnTo>
                <a:cubicBezTo>
                  <a:pt x="77505" y="49396"/>
                  <a:pt x="72308" y="48591"/>
                  <a:pt x="67081" y="48623"/>
                </a:cubicBezTo>
                <a:cubicBezTo>
                  <a:pt x="63891" y="48625"/>
                  <a:pt x="60708" y="48892"/>
                  <a:pt x="57563" y="49421"/>
                </a:cubicBezTo>
                <a:cubicBezTo>
                  <a:pt x="53849" y="41865"/>
                  <a:pt x="47800" y="31669"/>
                  <a:pt x="40995" y="28470"/>
                </a:cubicBezTo>
                <a:lnTo>
                  <a:pt x="40829" y="28391"/>
                </a:lnTo>
                <a:lnTo>
                  <a:pt x="40659" y="28320"/>
                </a:lnTo>
                <a:cubicBezTo>
                  <a:pt x="35447" y="26163"/>
                  <a:pt x="29876" y="24990"/>
                  <a:pt x="24231" y="24863"/>
                </a:cubicBezTo>
                <a:cubicBezTo>
                  <a:pt x="23683" y="24842"/>
                  <a:pt x="23136" y="24856"/>
                  <a:pt x="22591" y="24907"/>
                </a:cubicBezTo>
                <a:cubicBezTo>
                  <a:pt x="23222" y="24319"/>
                  <a:pt x="23943" y="23760"/>
                  <a:pt x="24654" y="23216"/>
                </a:cubicBezTo>
                <a:cubicBezTo>
                  <a:pt x="35703" y="14666"/>
                  <a:pt x="48935" y="9342"/>
                  <a:pt x="62864" y="7841"/>
                </a:cubicBezTo>
                <a:cubicBezTo>
                  <a:pt x="63683" y="8966"/>
                  <a:pt x="64485" y="10076"/>
                  <a:pt x="65271" y="11171"/>
                </a:cubicBezTo>
                <a:cubicBezTo>
                  <a:pt x="75401" y="25222"/>
                  <a:pt x="84163" y="37358"/>
                  <a:pt x="103402" y="48825"/>
                </a:cubicBezTo>
                <a:lnTo>
                  <a:pt x="105786" y="50242"/>
                </a:lnTo>
                <a:lnTo>
                  <a:pt x="106587" y="52406"/>
                </a:lnTo>
                <a:cubicBezTo>
                  <a:pt x="107307" y="54351"/>
                  <a:pt x="109479" y="55348"/>
                  <a:pt x="111438" y="54634"/>
                </a:cubicBezTo>
                <a:cubicBezTo>
                  <a:pt x="113398" y="53919"/>
                  <a:pt x="114403" y="51764"/>
                  <a:pt x="113683" y="49819"/>
                </a:cubicBezTo>
                <a:lnTo>
                  <a:pt x="113086" y="48206"/>
                </a:lnTo>
                <a:lnTo>
                  <a:pt x="115107" y="43189"/>
                </a:lnTo>
                <a:lnTo>
                  <a:pt x="115863" y="41535"/>
                </a:lnTo>
                <a:cubicBezTo>
                  <a:pt x="116706" y="38804"/>
                  <a:pt x="119620" y="37269"/>
                  <a:pt x="122371" y="38106"/>
                </a:cubicBezTo>
                <a:cubicBezTo>
                  <a:pt x="125122" y="38942"/>
                  <a:pt x="126669" y="41834"/>
                  <a:pt x="125826" y="44565"/>
                </a:cubicBezTo>
                <a:cubicBezTo>
                  <a:pt x="125721" y="44906"/>
                  <a:pt x="125580" y="45235"/>
                  <a:pt x="125407" y="45548"/>
                </a:cubicBezTo>
                <a:lnTo>
                  <a:pt x="124787" y="46991"/>
                </a:lnTo>
                <a:lnTo>
                  <a:pt x="122437" y="52121"/>
                </a:lnTo>
                <a:lnTo>
                  <a:pt x="120518" y="52924"/>
                </a:lnTo>
                <a:cubicBezTo>
                  <a:pt x="118616" y="53776"/>
                  <a:pt x="117771" y="55997"/>
                  <a:pt x="118629" y="57885"/>
                </a:cubicBezTo>
                <a:cubicBezTo>
                  <a:pt x="119456" y="59703"/>
                  <a:pt x="121573" y="60560"/>
                  <a:pt x="123446" y="59835"/>
                </a:cubicBezTo>
                <a:lnTo>
                  <a:pt x="126091" y="58710"/>
                </a:lnTo>
                <a:lnTo>
                  <a:pt x="128879" y="59400"/>
                </a:lnTo>
                <a:cubicBezTo>
                  <a:pt x="137192" y="61532"/>
                  <a:pt x="145740" y="62633"/>
                  <a:pt x="154326" y="62678"/>
                </a:cubicBezTo>
                <a:cubicBezTo>
                  <a:pt x="164017" y="62447"/>
                  <a:pt x="173667" y="61351"/>
                  <a:pt x="183159" y="59404"/>
                </a:cubicBezTo>
                <a:lnTo>
                  <a:pt x="187047" y="58732"/>
                </a:lnTo>
                <a:cubicBezTo>
                  <a:pt x="195820" y="69626"/>
                  <a:pt x="201282" y="82776"/>
                  <a:pt x="202791" y="96641"/>
                </a:cubicBezTo>
                <a:cubicBezTo>
                  <a:pt x="202905" y="97631"/>
                  <a:pt x="202980" y="98648"/>
                  <a:pt x="203007" y="99604"/>
                </a:cubicBezTo>
                <a:cubicBezTo>
                  <a:pt x="202275" y="98779"/>
                  <a:pt x="201501" y="97993"/>
                  <a:pt x="200687" y="97249"/>
                </a:cubicBezTo>
                <a:cubicBezTo>
                  <a:pt x="196851" y="93805"/>
                  <a:pt x="192447" y="91042"/>
                  <a:pt x="187667" y="8908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19" name="Freeform: Shape 318">
            <a:extLst>
              <a:ext uri="{FF2B5EF4-FFF2-40B4-BE49-F238E27FC236}">
                <a16:creationId xmlns:a16="http://schemas.microsoft.com/office/drawing/2014/main" id="{85C7C6E7-DA7F-4F7E-80D8-93FCED88CCA7}"/>
              </a:ext>
            </a:extLst>
          </xdr:cNvPr>
          <xdr:cNvSpPr/>
        </xdr:nvSpPr>
        <xdr:spPr>
          <a:xfrm>
            <a:off x="1673981" y="2616964"/>
            <a:ext cx="309786" cy="183750"/>
          </a:xfrm>
          <a:custGeom>
            <a:avLst/>
            <a:gdLst>
              <a:gd name="connsiteX0" fmla="*/ 192265 w 309786"/>
              <a:gd name="connsiteY0" fmla="*/ 85500 h 183750"/>
              <a:gd name="connsiteX1" fmla="*/ 211187 w 309786"/>
              <a:gd name="connsiteY1" fmla="*/ 82500 h 183750"/>
              <a:gd name="connsiteX2" fmla="*/ 231563 w 309786"/>
              <a:gd name="connsiteY2" fmla="*/ 85500 h 183750"/>
              <a:gd name="connsiteX3" fmla="*/ 254234 w 309786"/>
              <a:gd name="connsiteY3" fmla="*/ 51750 h 183750"/>
              <a:gd name="connsiteX4" fmla="*/ 275502 w 309786"/>
              <a:gd name="connsiteY4" fmla="*/ 47565 h 183750"/>
              <a:gd name="connsiteX5" fmla="*/ 309786 w 309786"/>
              <a:gd name="connsiteY5" fmla="*/ 57375 h 183750"/>
              <a:gd name="connsiteX6" fmla="*/ 212672 w 309786"/>
              <a:gd name="connsiteY6" fmla="*/ 0 h 183750"/>
              <a:gd name="connsiteX7" fmla="*/ 152596 w 309786"/>
              <a:gd name="connsiteY7" fmla="*/ 63000 h 183750"/>
              <a:gd name="connsiteX8" fmla="*/ 150329 w 309786"/>
              <a:gd name="connsiteY8" fmla="*/ 57000 h 183750"/>
              <a:gd name="connsiteX9" fmla="*/ 153352 w 309786"/>
              <a:gd name="connsiteY9" fmla="*/ 47250 h 183750"/>
              <a:gd name="connsiteX10" fmla="*/ 145795 w 309786"/>
              <a:gd name="connsiteY10" fmla="*/ 36000 h 183750"/>
              <a:gd name="connsiteX11" fmla="*/ 139750 w 309786"/>
              <a:gd name="connsiteY11" fmla="*/ 47250 h 183750"/>
              <a:gd name="connsiteX12" fmla="*/ 132057 w 309786"/>
              <a:gd name="connsiteY12" fmla="*/ 45641 h 183750"/>
              <a:gd name="connsiteX13" fmla="*/ 125770 w 309786"/>
              <a:gd name="connsiteY13" fmla="*/ 46875 h 183750"/>
              <a:gd name="connsiteX14" fmla="*/ 115946 w 309786"/>
              <a:gd name="connsiteY14" fmla="*/ 58125 h 183750"/>
              <a:gd name="connsiteX15" fmla="*/ 105235 w 309786"/>
              <a:gd name="connsiteY15" fmla="*/ 52691 h 183750"/>
              <a:gd name="connsiteX16" fmla="*/ 102722 w 309786"/>
              <a:gd name="connsiteY16" fmla="*/ 53625 h 183750"/>
              <a:gd name="connsiteX17" fmla="*/ 105367 w 309786"/>
              <a:gd name="connsiteY17" fmla="*/ 66750 h 183750"/>
              <a:gd name="connsiteX18" fmla="*/ 115568 w 309786"/>
              <a:gd name="connsiteY18" fmla="*/ 71625 h 183750"/>
              <a:gd name="connsiteX19" fmla="*/ 117835 w 309786"/>
              <a:gd name="connsiteY19" fmla="*/ 76875 h 183750"/>
              <a:gd name="connsiteX20" fmla="*/ 83331 w 309786"/>
              <a:gd name="connsiteY20" fmla="*/ 81056 h 183750"/>
              <a:gd name="connsiteX21" fmla="*/ 30544 w 309786"/>
              <a:gd name="connsiteY21" fmla="*/ 74250 h 183750"/>
              <a:gd name="connsiteX22" fmla="*/ 2943 w 309786"/>
              <a:gd name="connsiteY22" fmla="*/ 183750 h 183750"/>
              <a:gd name="connsiteX23" fmla="*/ 38082 w 309786"/>
              <a:gd name="connsiteY23" fmla="*/ 141000 h 183750"/>
              <a:gd name="connsiteX24" fmla="*/ 43568 w 309786"/>
              <a:gd name="connsiteY24" fmla="*/ 140250 h 183750"/>
              <a:gd name="connsiteX25" fmla="*/ 78136 w 309786"/>
              <a:gd name="connsiteY25" fmla="*/ 148875 h 183750"/>
              <a:gd name="connsiteX26" fmla="*/ 106096 w 309786"/>
              <a:gd name="connsiteY26" fmla="*/ 121125 h 183750"/>
              <a:gd name="connsiteX27" fmla="*/ 116335 w 309786"/>
              <a:gd name="connsiteY27" fmla="*/ 120000 h 183750"/>
              <a:gd name="connsiteX28" fmla="*/ 162431 w 309786"/>
              <a:gd name="connsiteY28" fmla="*/ 134648 h 183750"/>
              <a:gd name="connsiteX29" fmla="*/ 192265 w 309786"/>
              <a:gd name="connsiteY29" fmla="*/ 85500 h 183750"/>
              <a:gd name="connsiteX30" fmla="*/ 116335 w 309786"/>
              <a:gd name="connsiteY30" fmla="*/ 112500 h 183750"/>
              <a:gd name="connsiteX31" fmla="*/ 104328 w 309786"/>
              <a:gd name="connsiteY31" fmla="*/ 113858 h 183750"/>
              <a:gd name="connsiteX32" fmla="*/ 103515 w 309786"/>
              <a:gd name="connsiteY32" fmla="*/ 114094 h 183750"/>
              <a:gd name="connsiteX33" fmla="*/ 102729 w 309786"/>
              <a:gd name="connsiteY33" fmla="*/ 114439 h 183750"/>
              <a:gd name="connsiteX34" fmla="*/ 74876 w 309786"/>
              <a:gd name="connsiteY34" fmla="*/ 139673 h 183750"/>
              <a:gd name="connsiteX35" fmla="*/ 43576 w 309786"/>
              <a:gd name="connsiteY35" fmla="*/ 132750 h 183750"/>
              <a:gd name="connsiteX36" fmla="*/ 35641 w 309786"/>
              <a:gd name="connsiteY36" fmla="*/ 133905 h 183750"/>
              <a:gd name="connsiteX37" fmla="*/ 35418 w 309786"/>
              <a:gd name="connsiteY37" fmla="*/ 133980 h 183750"/>
              <a:gd name="connsiteX38" fmla="*/ 35203 w 309786"/>
              <a:gd name="connsiteY38" fmla="*/ 134070 h 183750"/>
              <a:gd name="connsiteX39" fmla="*/ 11021 w 309786"/>
              <a:gd name="connsiteY39" fmla="*/ 151650 h 183750"/>
              <a:gd name="connsiteX40" fmla="*/ 7621 w 309786"/>
              <a:gd name="connsiteY40" fmla="*/ 156116 h 183750"/>
              <a:gd name="connsiteX41" fmla="*/ 7821 w 309786"/>
              <a:gd name="connsiteY41" fmla="*/ 148616 h 183750"/>
              <a:gd name="connsiteX42" fmla="*/ 33472 w 309786"/>
              <a:gd name="connsiteY42" fmla="*/ 82365 h 183750"/>
              <a:gd name="connsiteX43" fmla="*/ 38517 w 309786"/>
              <a:gd name="connsiteY43" fmla="*/ 83273 h 183750"/>
              <a:gd name="connsiteX44" fmla="*/ 83305 w 309786"/>
              <a:gd name="connsiteY44" fmla="*/ 88523 h 183750"/>
              <a:gd name="connsiteX45" fmla="*/ 119532 w 309786"/>
              <a:gd name="connsiteY45" fmla="*/ 84143 h 183750"/>
              <a:gd name="connsiteX46" fmla="*/ 121640 w 309786"/>
              <a:gd name="connsiteY46" fmla="*/ 83655 h 183750"/>
              <a:gd name="connsiteX47" fmla="*/ 128082 w 309786"/>
              <a:gd name="connsiteY47" fmla="*/ 86100 h 183750"/>
              <a:gd name="connsiteX48" fmla="*/ 129431 w 309786"/>
              <a:gd name="connsiteY48" fmla="*/ 86348 h 183750"/>
              <a:gd name="connsiteX49" fmla="*/ 133195 w 309786"/>
              <a:gd name="connsiteY49" fmla="*/ 82583 h 183750"/>
              <a:gd name="connsiteX50" fmla="*/ 130776 w 309786"/>
              <a:gd name="connsiteY50" fmla="*/ 79099 h 183750"/>
              <a:gd name="connsiteX51" fmla="*/ 126269 w 309786"/>
              <a:gd name="connsiteY51" fmla="*/ 77385 h 183750"/>
              <a:gd name="connsiteX52" fmla="*/ 123027 w 309786"/>
              <a:gd name="connsiteY52" fmla="*/ 69971 h 183750"/>
              <a:gd name="connsiteX53" fmla="*/ 122316 w 309786"/>
              <a:gd name="connsiteY53" fmla="*/ 67635 h 183750"/>
              <a:gd name="connsiteX54" fmla="*/ 128815 w 309786"/>
              <a:gd name="connsiteY54" fmla="*/ 53505 h 183750"/>
              <a:gd name="connsiteX55" fmla="*/ 141136 w 309786"/>
              <a:gd name="connsiteY55" fmla="*/ 56880 h 183750"/>
              <a:gd name="connsiteX56" fmla="*/ 142772 w 309786"/>
              <a:gd name="connsiteY56" fmla="*/ 58984 h 183750"/>
              <a:gd name="connsiteX57" fmla="*/ 144083 w 309786"/>
              <a:gd name="connsiteY57" fmla="*/ 61549 h 183750"/>
              <a:gd name="connsiteX58" fmla="*/ 146906 w 309786"/>
              <a:gd name="connsiteY58" fmla="*/ 69323 h 183750"/>
              <a:gd name="connsiteX59" fmla="*/ 144748 w 309786"/>
              <a:gd name="connsiteY59" fmla="*/ 73751 h 183750"/>
              <a:gd name="connsiteX60" fmla="*/ 146596 w 309786"/>
              <a:gd name="connsiteY60" fmla="*/ 78727 h 183750"/>
              <a:gd name="connsiteX61" fmla="*/ 151549 w 309786"/>
              <a:gd name="connsiteY61" fmla="*/ 77018 h 183750"/>
              <a:gd name="connsiteX62" fmla="*/ 154648 w 309786"/>
              <a:gd name="connsiteY62" fmla="*/ 70643 h 183750"/>
              <a:gd name="connsiteX63" fmla="*/ 154701 w 309786"/>
              <a:gd name="connsiteY63" fmla="*/ 70448 h 183750"/>
              <a:gd name="connsiteX64" fmla="*/ 156507 w 309786"/>
              <a:gd name="connsiteY64" fmla="*/ 69353 h 183750"/>
              <a:gd name="connsiteX65" fmla="*/ 212740 w 309786"/>
              <a:gd name="connsiteY65" fmla="*/ 12866 h 183750"/>
              <a:gd name="connsiteX66" fmla="*/ 216356 w 309786"/>
              <a:gd name="connsiteY66" fmla="*/ 7744 h 183750"/>
              <a:gd name="connsiteX67" fmla="*/ 281887 w 309786"/>
              <a:gd name="connsiteY67" fmla="*/ 36559 h 183750"/>
              <a:gd name="connsiteX68" fmla="*/ 286576 w 309786"/>
              <a:gd name="connsiteY68" fmla="*/ 41059 h 183750"/>
              <a:gd name="connsiteX69" fmla="*/ 275490 w 309786"/>
              <a:gd name="connsiteY69" fmla="*/ 40001 h 183750"/>
              <a:gd name="connsiteX70" fmla="*/ 251309 w 309786"/>
              <a:gd name="connsiteY70" fmla="*/ 44760 h 183750"/>
              <a:gd name="connsiteX71" fmla="*/ 251116 w 309786"/>
              <a:gd name="connsiteY71" fmla="*/ 44839 h 183750"/>
              <a:gd name="connsiteX72" fmla="*/ 250961 w 309786"/>
              <a:gd name="connsiteY72" fmla="*/ 45000 h 183750"/>
              <a:gd name="connsiteX73" fmla="*/ 227294 w 309786"/>
              <a:gd name="connsiteY73" fmla="*/ 76673 h 183750"/>
              <a:gd name="connsiteX74" fmla="*/ 211187 w 309786"/>
              <a:gd name="connsiteY74" fmla="*/ 75000 h 183750"/>
              <a:gd name="connsiteX75" fmla="*/ 189794 w 309786"/>
              <a:gd name="connsiteY75" fmla="*/ 78413 h 183750"/>
              <a:gd name="connsiteX76" fmla="*/ 189000 w 309786"/>
              <a:gd name="connsiteY76" fmla="*/ 78724 h 183750"/>
              <a:gd name="connsiteX77" fmla="*/ 188362 w 309786"/>
              <a:gd name="connsiteY77" fmla="*/ 79080 h 183750"/>
              <a:gd name="connsiteX78" fmla="*/ 157727 w 309786"/>
              <a:gd name="connsiteY78" fmla="*/ 123559 h 183750"/>
              <a:gd name="connsiteX79" fmla="*/ 116335 w 309786"/>
              <a:gd name="connsiteY79" fmla="*/ 112500 h 1837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</a:cxnLst>
            <a:rect l="l" t="t" r="r" b="b"/>
            <a:pathLst>
              <a:path w="309786" h="183750">
                <a:moveTo>
                  <a:pt x="192265" y="85500"/>
                </a:moveTo>
                <a:cubicBezTo>
                  <a:pt x="198360" y="83464"/>
                  <a:pt x="204755" y="82450"/>
                  <a:pt x="211187" y="82500"/>
                </a:cubicBezTo>
                <a:cubicBezTo>
                  <a:pt x="218092" y="82478"/>
                  <a:pt x="224962" y="83489"/>
                  <a:pt x="231563" y="85500"/>
                </a:cubicBezTo>
                <a:cubicBezTo>
                  <a:pt x="231563" y="85500"/>
                  <a:pt x="244032" y="56625"/>
                  <a:pt x="254234" y="51750"/>
                </a:cubicBezTo>
                <a:cubicBezTo>
                  <a:pt x="260973" y="48969"/>
                  <a:pt x="268203" y="47546"/>
                  <a:pt x="275502" y="47565"/>
                </a:cubicBezTo>
                <a:cubicBezTo>
                  <a:pt x="287610" y="47722"/>
                  <a:pt x="299453" y="51110"/>
                  <a:pt x="309786" y="57375"/>
                </a:cubicBezTo>
                <a:cubicBezTo>
                  <a:pt x="309786" y="57375"/>
                  <a:pt x="278800" y="3750"/>
                  <a:pt x="212672" y="0"/>
                </a:cubicBezTo>
                <a:cubicBezTo>
                  <a:pt x="194913" y="24750"/>
                  <a:pt x="183578" y="44250"/>
                  <a:pt x="152596" y="63000"/>
                </a:cubicBezTo>
                <a:lnTo>
                  <a:pt x="150329" y="57000"/>
                </a:lnTo>
                <a:cubicBezTo>
                  <a:pt x="152389" y="54168"/>
                  <a:pt x="153451" y="50741"/>
                  <a:pt x="153352" y="47250"/>
                </a:cubicBezTo>
                <a:cubicBezTo>
                  <a:pt x="153352" y="40875"/>
                  <a:pt x="149951" y="36000"/>
                  <a:pt x="145795" y="36000"/>
                </a:cubicBezTo>
                <a:cubicBezTo>
                  <a:pt x="142395" y="36000"/>
                  <a:pt x="140128" y="41625"/>
                  <a:pt x="139750" y="47250"/>
                </a:cubicBezTo>
                <a:cubicBezTo>
                  <a:pt x="137318" y="46215"/>
                  <a:pt x="134703" y="45668"/>
                  <a:pt x="132057" y="45641"/>
                </a:cubicBezTo>
                <a:cubicBezTo>
                  <a:pt x="129899" y="45632"/>
                  <a:pt x="127762" y="46052"/>
                  <a:pt x="125770" y="46875"/>
                </a:cubicBezTo>
                <a:cubicBezTo>
                  <a:pt x="120946" y="48953"/>
                  <a:pt x="117333" y="53091"/>
                  <a:pt x="115946" y="58125"/>
                </a:cubicBezTo>
                <a:cubicBezTo>
                  <a:pt x="112997" y="55300"/>
                  <a:pt x="109269" y="53409"/>
                  <a:pt x="105235" y="52691"/>
                </a:cubicBezTo>
                <a:cubicBezTo>
                  <a:pt x="104304" y="52648"/>
                  <a:pt x="103395" y="52985"/>
                  <a:pt x="102722" y="53625"/>
                </a:cubicBezTo>
                <a:cubicBezTo>
                  <a:pt x="99699" y="56625"/>
                  <a:pt x="100833" y="62625"/>
                  <a:pt x="105367" y="66750"/>
                </a:cubicBezTo>
                <a:cubicBezTo>
                  <a:pt x="108060" y="69548"/>
                  <a:pt x="111685" y="71280"/>
                  <a:pt x="115568" y="71625"/>
                </a:cubicBezTo>
                <a:lnTo>
                  <a:pt x="117835" y="76875"/>
                </a:lnTo>
                <a:cubicBezTo>
                  <a:pt x="106538" y="79599"/>
                  <a:pt x="94958" y="81003"/>
                  <a:pt x="83331" y="81056"/>
                </a:cubicBezTo>
                <a:cubicBezTo>
                  <a:pt x="65377" y="81056"/>
                  <a:pt x="49704" y="77576"/>
                  <a:pt x="30544" y="74250"/>
                </a:cubicBezTo>
                <a:cubicBezTo>
                  <a:pt x="-13303" y="123750"/>
                  <a:pt x="2943" y="183750"/>
                  <a:pt x="2943" y="183750"/>
                </a:cubicBezTo>
                <a:cubicBezTo>
                  <a:pt x="2943" y="183750"/>
                  <a:pt x="8989" y="153000"/>
                  <a:pt x="38082" y="141000"/>
                </a:cubicBezTo>
                <a:cubicBezTo>
                  <a:pt x="39857" y="140456"/>
                  <a:pt x="41711" y="140203"/>
                  <a:pt x="43568" y="140250"/>
                </a:cubicBezTo>
                <a:cubicBezTo>
                  <a:pt x="56562" y="140250"/>
                  <a:pt x="78136" y="148875"/>
                  <a:pt x="78136" y="148875"/>
                </a:cubicBezTo>
                <a:cubicBezTo>
                  <a:pt x="84501" y="137096"/>
                  <a:pt x="94227" y="127442"/>
                  <a:pt x="106096" y="121125"/>
                </a:cubicBezTo>
                <a:cubicBezTo>
                  <a:pt x="109452" y="120347"/>
                  <a:pt x="112889" y="119969"/>
                  <a:pt x="116335" y="120000"/>
                </a:cubicBezTo>
                <a:cubicBezTo>
                  <a:pt x="138854" y="120000"/>
                  <a:pt x="162431" y="134648"/>
                  <a:pt x="162431" y="134648"/>
                </a:cubicBezTo>
                <a:cubicBezTo>
                  <a:pt x="162431" y="134648"/>
                  <a:pt x="170347" y="98625"/>
                  <a:pt x="192265" y="85500"/>
                </a:cubicBezTo>
                <a:close/>
                <a:moveTo>
                  <a:pt x="116335" y="112500"/>
                </a:moveTo>
                <a:cubicBezTo>
                  <a:pt x="112293" y="112478"/>
                  <a:pt x="108262" y="112934"/>
                  <a:pt x="104328" y="113858"/>
                </a:cubicBezTo>
                <a:cubicBezTo>
                  <a:pt x="104328" y="113858"/>
                  <a:pt x="103803" y="113985"/>
                  <a:pt x="103515" y="114094"/>
                </a:cubicBezTo>
                <a:cubicBezTo>
                  <a:pt x="103228" y="114202"/>
                  <a:pt x="102729" y="114439"/>
                  <a:pt x="102729" y="114439"/>
                </a:cubicBezTo>
                <a:cubicBezTo>
                  <a:pt x="91417" y="120339"/>
                  <a:pt x="81825" y="129029"/>
                  <a:pt x="74876" y="139673"/>
                </a:cubicBezTo>
                <a:cubicBezTo>
                  <a:pt x="64845" y="135841"/>
                  <a:pt x="54297" y="133508"/>
                  <a:pt x="43576" y="132750"/>
                </a:cubicBezTo>
                <a:cubicBezTo>
                  <a:pt x="40884" y="132695"/>
                  <a:pt x="38203" y="133085"/>
                  <a:pt x="35641" y="133905"/>
                </a:cubicBezTo>
                <a:lnTo>
                  <a:pt x="35418" y="133980"/>
                </a:lnTo>
                <a:lnTo>
                  <a:pt x="35203" y="134070"/>
                </a:lnTo>
                <a:cubicBezTo>
                  <a:pt x="25841" y="137925"/>
                  <a:pt x="17548" y="143954"/>
                  <a:pt x="11021" y="151650"/>
                </a:cubicBezTo>
                <a:cubicBezTo>
                  <a:pt x="9782" y="153056"/>
                  <a:pt x="8646" y="154549"/>
                  <a:pt x="7621" y="156116"/>
                </a:cubicBezTo>
                <a:cubicBezTo>
                  <a:pt x="7561" y="153615"/>
                  <a:pt x="7628" y="151112"/>
                  <a:pt x="7821" y="148616"/>
                </a:cubicBezTo>
                <a:cubicBezTo>
                  <a:pt x="9108" y="124398"/>
                  <a:pt x="18088" y="101206"/>
                  <a:pt x="33472" y="82365"/>
                </a:cubicBezTo>
                <a:lnTo>
                  <a:pt x="38517" y="83273"/>
                </a:lnTo>
                <a:cubicBezTo>
                  <a:pt x="53251" y="86391"/>
                  <a:pt x="68244" y="88148"/>
                  <a:pt x="83305" y="88523"/>
                </a:cubicBezTo>
                <a:cubicBezTo>
                  <a:pt x="95511" y="88461"/>
                  <a:pt x="107668" y="86992"/>
                  <a:pt x="119532" y="84143"/>
                </a:cubicBezTo>
                <a:lnTo>
                  <a:pt x="121640" y="83655"/>
                </a:lnTo>
                <a:lnTo>
                  <a:pt x="128082" y="86100"/>
                </a:lnTo>
                <a:cubicBezTo>
                  <a:pt x="128513" y="86264"/>
                  <a:pt x="128970" y="86348"/>
                  <a:pt x="129431" y="86348"/>
                </a:cubicBezTo>
                <a:cubicBezTo>
                  <a:pt x="131518" y="86340"/>
                  <a:pt x="133203" y="84654"/>
                  <a:pt x="133195" y="82583"/>
                </a:cubicBezTo>
                <a:cubicBezTo>
                  <a:pt x="133189" y="81038"/>
                  <a:pt x="132229" y="79655"/>
                  <a:pt x="130776" y="79099"/>
                </a:cubicBezTo>
                <a:lnTo>
                  <a:pt x="126269" y="77385"/>
                </a:lnTo>
                <a:cubicBezTo>
                  <a:pt x="126269" y="77385"/>
                  <a:pt x="123363" y="70763"/>
                  <a:pt x="123027" y="69971"/>
                </a:cubicBezTo>
                <a:cubicBezTo>
                  <a:pt x="122719" y="69216"/>
                  <a:pt x="122482" y="68433"/>
                  <a:pt x="122316" y="67635"/>
                </a:cubicBezTo>
                <a:cubicBezTo>
                  <a:pt x="120647" y="61977"/>
                  <a:pt x="123414" y="55960"/>
                  <a:pt x="128815" y="53505"/>
                </a:cubicBezTo>
                <a:cubicBezTo>
                  <a:pt x="133231" y="52013"/>
                  <a:pt x="138117" y="53351"/>
                  <a:pt x="141136" y="56880"/>
                </a:cubicBezTo>
                <a:cubicBezTo>
                  <a:pt x="141730" y="57543"/>
                  <a:pt x="142276" y="58246"/>
                  <a:pt x="142772" y="58984"/>
                </a:cubicBezTo>
                <a:cubicBezTo>
                  <a:pt x="143300" y="59790"/>
                  <a:pt x="143740" y="60650"/>
                  <a:pt x="144083" y="61549"/>
                </a:cubicBezTo>
                <a:lnTo>
                  <a:pt x="146906" y="69323"/>
                </a:lnTo>
                <a:lnTo>
                  <a:pt x="144748" y="73751"/>
                </a:lnTo>
                <a:cubicBezTo>
                  <a:pt x="143874" y="75632"/>
                  <a:pt x="144702" y="77860"/>
                  <a:pt x="146596" y="78727"/>
                </a:cubicBezTo>
                <a:cubicBezTo>
                  <a:pt x="148442" y="79572"/>
                  <a:pt x="150631" y="78817"/>
                  <a:pt x="151549" y="77018"/>
                </a:cubicBezTo>
                <a:lnTo>
                  <a:pt x="154648" y="70643"/>
                </a:lnTo>
                <a:cubicBezTo>
                  <a:pt x="154678" y="70579"/>
                  <a:pt x="154674" y="70511"/>
                  <a:pt x="154701" y="70448"/>
                </a:cubicBezTo>
                <a:lnTo>
                  <a:pt x="156507" y="69353"/>
                </a:lnTo>
                <a:cubicBezTo>
                  <a:pt x="185158" y="52016"/>
                  <a:pt x="197940" y="33874"/>
                  <a:pt x="212740" y="12866"/>
                </a:cubicBezTo>
                <a:cubicBezTo>
                  <a:pt x="213923" y="11181"/>
                  <a:pt x="215129" y="9474"/>
                  <a:pt x="216356" y="7744"/>
                </a:cubicBezTo>
                <a:cubicBezTo>
                  <a:pt x="240751" y="10114"/>
                  <a:pt x="263729" y="20217"/>
                  <a:pt x="281887" y="36559"/>
                </a:cubicBezTo>
                <a:cubicBezTo>
                  <a:pt x="283550" y="37953"/>
                  <a:pt x="285117" y="39456"/>
                  <a:pt x="286576" y="41059"/>
                </a:cubicBezTo>
                <a:cubicBezTo>
                  <a:pt x="282929" y="40322"/>
                  <a:pt x="279213" y="39968"/>
                  <a:pt x="275490" y="40001"/>
                </a:cubicBezTo>
                <a:cubicBezTo>
                  <a:pt x="267192" y="39982"/>
                  <a:pt x="258972" y="41600"/>
                  <a:pt x="251309" y="44760"/>
                </a:cubicBezTo>
                <a:lnTo>
                  <a:pt x="251116" y="44839"/>
                </a:lnTo>
                <a:lnTo>
                  <a:pt x="250961" y="45000"/>
                </a:lnTo>
                <a:cubicBezTo>
                  <a:pt x="241395" y="49571"/>
                  <a:pt x="232164" y="66465"/>
                  <a:pt x="227294" y="76673"/>
                </a:cubicBezTo>
                <a:cubicBezTo>
                  <a:pt x="221996" y="75576"/>
                  <a:pt x="216599" y="75015"/>
                  <a:pt x="211187" y="75000"/>
                </a:cubicBezTo>
                <a:cubicBezTo>
                  <a:pt x="203914" y="74946"/>
                  <a:pt x="196683" y="76100"/>
                  <a:pt x="189794" y="78413"/>
                </a:cubicBezTo>
                <a:cubicBezTo>
                  <a:pt x="189794" y="78413"/>
                  <a:pt x="189265" y="78600"/>
                  <a:pt x="189000" y="78724"/>
                </a:cubicBezTo>
                <a:cubicBezTo>
                  <a:pt x="188782" y="78832"/>
                  <a:pt x="188569" y="78951"/>
                  <a:pt x="188362" y="79080"/>
                </a:cubicBezTo>
                <a:cubicBezTo>
                  <a:pt x="171208" y="89351"/>
                  <a:pt x="161883" y="111015"/>
                  <a:pt x="157727" y="123559"/>
                </a:cubicBezTo>
                <a:cubicBezTo>
                  <a:pt x="144905" y="116928"/>
                  <a:pt x="130779" y="113154"/>
                  <a:pt x="116335" y="112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2</xdr:col>
      <xdr:colOff>114355</xdr:colOff>
      <xdr:row>16</xdr:row>
      <xdr:rowOff>158094</xdr:rowOff>
    </xdr:from>
    <xdr:to>
      <xdr:col>2</xdr:col>
      <xdr:colOff>454448</xdr:colOff>
      <xdr:row>16</xdr:row>
      <xdr:rowOff>413405</xdr:rowOff>
    </xdr:to>
    <xdr:grpSp>
      <xdr:nvGrpSpPr>
        <xdr:cNvPr id="320" name="camel" descr="Camel outline">
          <a:extLst>
            <a:ext uri="{FF2B5EF4-FFF2-40B4-BE49-F238E27FC236}">
              <a16:creationId xmlns:a16="http://schemas.microsoft.com/office/drawing/2014/main" id="{868AD2DC-0388-46E2-A54F-294B750388C4}"/>
            </a:ext>
          </a:extLst>
        </xdr:cNvPr>
        <xdr:cNvGrpSpPr>
          <a:grpSpLocks noChangeAspect="1"/>
        </xdr:cNvGrpSpPr>
      </xdr:nvGrpSpPr>
      <xdr:grpSpPr>
        <a:xfrm>
          <a:off x="1543105" y="8082894"/>
          <a:ext cx="340093" cy="255311"/>
          <a:chOff x="13027845" y="6756288"/>
          <a:chExt cx="340093" cy="255311"/>
        </a:xfrm>
        <a:solidFill>
          <a:srgbClr val="1F4E78"/>
        </a:solidFill>
      </xdr:grpSpPr>
      <xdr:sp macro="" textlink="">
        <xdr:nvSpPr>
          <xdr:cNvPr id="321" name="Freeform: Shape 320">
            <a:extLst>
              <a:ext uri="{FF2B5EF4-FFF2-40B4-BE49-F238E27FC236}">
                <a16:creationId xmlns:a16="http://schemas.microsoft.com/office/drawing/2014/main" id="{AD248838-095A-45C8-9B6A-5DE675FF866F}"/>
              </a:ext>
            </a:extLst>
          </xdr:cNvPr>
          <xdr:cNvSpPr/>
        </xdr:nvSpPr>
        <xdr:spPr>
          <a:xfrm>
            <a:off x="13027845" y="6756288"/>
            <a:ext cx="340093" cy="255311"/>
          </a:xfrm>
          <a:custGeom>
            <a:avLst/>
            <a:gdLst>
              <a:gd name="connsiteX0" fmla="*/ 340019 w 340093"/>
              <a:gd name="connsiteY0" fmla="*/ 33169 h 255311"/>
              <a:gd name="connsiteX1" fmla="*/ 319238 w 340093"/>
              <a:gd name="connsiteY1" fmla="*/ 9446 h 255311"/>
              <a:gd name="connsiteX2" fmla="*/ 300868 w 340093"/>
              <a:gd name="connsiteY2" fmla="*/ 7624 h 255311"/>
              <a:gd name="connsiteX3" fmla="*/ 289638 w 340093"/>
              <a:gd name="connsiteY3" fmla="*/ 1935 h 255311"/>
              <a:gd name="connsiteX4" fmla="*/ 254806 w 340093"/>
              <a:gd name="connsiteY4" fmla="*/ 18709 h 255311"/>
              <a:gd name="connsiteX5" fmla="*/ 252667 w 340093"/>
              <a:gd name="connsiteY5" fmla="*/ 24375 h 255311"/>
              <a:gd name="connsiteX6" fmla="*/ 246554 w 340093"/>
              <a:gd name="connsiteY6" fmla="*/ 57836 h 255311"/>
              <a:gd name="connsiteX7" fmla="*/ 246554 w 340093"/>
              <a:gd name="connsiteY7" fmla="*/ 85009 h 255311"/>
              <a:gd name="connsiteX8" fmla="*/ 240508 w 340093"/>
              <a:gd name="connsiteY8" fmla="*/ 93461 h 255311"/>
              <a:gd name="connsiteX9" fmla="*/ 231399 w 340093"/>
              <a:gd name="connsiteY9" fmla="*/ 89865 h 255311"/>
              <a:gd name="connsiteX10" fmla="*/ 230160 w 340093"/>
              <a:gd name="connsiteY10" fmla="*/ 87345 h 255311"/>
              <a:gd name="connsiteX11" fmla="*/ 227432 w 340093"/>
              <a:gd name="connsiteY11" fmla="*/ 77753 h 255311"/>
              <a:gd name="connsiteX12" fmla="*/ 227254 w 340093"/>
              <a:gd name="connsiteY12" fmla="*/ 76084 h 255311"/>
              <a:gd name="connsiteX13" fmla="*/ 185220 w 340093"/>
              <a:gd name="connsiteY13" fmla="*/ 34215 h 255311"/>
              <a:gd name="connsiteX14" fmla="*/ 167114 w 340093"/>
              <a:gd name="connsiteY14" fmla="*/ 22684 h 255311"/>
              <a:gd name="connsiteX15" fmla="*/ 125646 w 340093"/>
              <a:gd name="connsiteY15" fmla="*/ 0 h 255311"/>
              <a:gd name="connsiteX16" fmla="*/ 85532 w 340093"/>
              <a:gd name="connsiteY16" fmla="*/ 20738 h 255311"/>
              <a:gd name="connsiteX17" fmla="*/ 80242 w 340093"/>
              <a:gd name="connsiteY17" fmla="*/ 25845 h 255311"/>
              <a:gd name="connsiteX18" fmla="*/ 49067 w 340093"/>
              <a:gd name="connsiteY18" fmla="*/ 54859 h 255311"/>
              <a:gd name="connsiteX19" fmla="*/ 23926 w 340093"/>
              <a:gd name="connsiteY19" fmla="*/ 77471 h 255311"/>
              <a:gd name="connsiteX20" fmla="*/ 7599 w 340093"/>
              <a:gd name="connsiteY20" fmla="*/ 112125 h 255311"/>
              <a:gd name="connsiteX21" fmla="*/ 7599 w 340093"/>
              <a:gd name="connsiteY21" fmla="*/ 169391 h 255311"/>
              <a:gd name="connsiteX22" fmla="*/ 1153 w 340093"/>
              <a:gd name="connsiteY22" fmla="*/ 184849 h 255311"/>
              <a:gd name="connsiteX23" fmla="*/ 1061 w 340093"/>
              <a:gd name="connsiteY23" fmla="*/ 190151 h 255311"/>
              <a:gd name="connsiteX24" fmla="*/ 6403 w 340093"/>
              <a:gd name="connsiteY24" fmla="*/ 190244 h 255311"/>
              <a:gd name="connsiteX25" fmla="*/ 6496 w 340093"/>
              <a:gd name="connsiteY25" fmla="*/ 190151 h 255311"/>
              <a:gd name="connsiteX26" fmla="*/ 15160 w 340093"/>
              <a:gd name="connsiteY26" fmla="*/ 169391 h 255311"/>
              <a:gd name="connsiteX27" fmla="*/ 15160 w 340093"/>
              <a:gd name="connsiteY27" fmla="*/ 112125 h 255311"/>
              <a:gd name="connsiteX28" fmla="*/ 29034 w 340093"/>
              <a:gd name="connsiteY28" fmla="*/ 83029 h 255311"/>
              <a:gd name="connsiteX29" fmla="*/ 54198 w 340093"/>
              <a:gd name="connsiteY29" fmla="*/ 60401 h 255311"/>
              <a:gd name="connsiteX30" fmla="*/ 81923 w 340093"/>
              <a:gd name="connsiteY30" fmla="*/ 34718 h 255311"/>
              <a:gd name="connsiteX31" fmla="*/ 85513 w 340093"/>
              <a:gd name="connsiteY31" fmla="*/ 31253 h 255311"/>
              <a:gd name="connsiteX32" fmla="*/ 90825 w 340093"/>
              <a:gd name="connsiteY32" fmla="*/ 26111 h 255311"/>
              <a:gd name="connsiteX33" fmla="*/ 125646 w 340093"/>
              <a:gd name="connsiteY33" fmla="*/ 7500 h 255311"/>
              <a:gd name="connsiteX34" fmla="*/ 160729 w 340093"/>
              <a:gd name="connsiteY34" fmla="*/ 26696 h 255311"/>
              <a:gd name="connsiteX35" fmla="*/ 184154 w 340093"/>
              <a:gd name="connsiteY35" fmla="*/ 41640 h 255311"/>
              <a:gd name="connsiteX36" fmla="*/ 192879 w 340093"/>
              <a:gd name="connsiteY36" fmla="*/ 43841 h 255311"/>
              <a:gd name="connsiteX37" fmla="*/ 219743 w 340093"/>
              <a:gd name="connsiteY37" fmla="*/ 77055 h 255311"/>
              <a:gd name="connsiteX38" fmla="*/ 219894 w 340093"/>
              <a:gd name="connsiteY38" fmla="*/ 78413 h 255311"/>
              <a:gd name="connsiteX39" fmla="*/ 223355 w 340093"/>
              <a:gd name="connsiteY39" fmla="*/ 90645 h 255311"/>
              <a:gd name="connsiteX40" fmla="*/ 224711 w 340093"/>
              <a:gd name="connsiteY40" fmla="*/ 93383 h 255311"/>
              <a:gd name="connsiteX41" fmla="*/ 242401 w 340093"/>
              <a:gd name="connsiteY41" fmla="*/ 100733 h 255311"/>
              <a:gd name="connsiteX42" fmla="*/ 254114 w 340093"/>
              <a:gd name="connsiteY42" fmla="*/ 85024 h 255311"/>
              <a:gd name="connsiteX43" fmla="*/ 254114 w 340093"/>
              <a:gd name="connsiteY43" fmla="*/ 57851 h 255311"/>
              <a:gd name="connsiteX44" fmla="*/ 259748 w 340093"/>
              <a:gd name="connsiteY44" fmla="*/ 27026 h 255311"/>
              <a:gd name="connsiteX45" fmla="*/ 261898 w 340093"/>
              <a:gd name="connsiteY45" fmla="*/ 21341 h 255311"/>
              <a:gd name="connsiteX46" fmla="*/ 287613 w 340093"/>
              <a:gd name="connsiteY46" fmla="*/ 9158 h 255311"/>
              <a:gd name="connsiteX47" fmla="*/ 296375 w 340093"/>
              <a:gd name="connsiteY47" fmla="*/ 13658 h 255311"/>
              <a:gd name="connsiteX48" fmla="*/ 297188 w 340093"/>
              <a:gd name="connsiteY48" fmla="*/ 14261 h 255311"/>
              <a:gd name="connsiteX49" fmla="*/ 299077 w 340093"/>
              <a:gd name="connsiteY49" fmla="*/ 15011 h 255311"/>
              <a:gd name="connsiteX50" fmla="*/ 318497 w 340093"/>
              <a:gd name="connsiteY50" fmla="*/ 16939 h 255311"/>
              <a:gd name="connsiteX51" fmla="*/ 332477 w 340093"/>
              <a:gd name="connsiteY51" fmla="*/ 33116 h 255311"/>
              <a:gd name="connsiteX52" fmla="*/ 332500 w 340093"/>
              <a:gd name="connsiteY52" fmla="*/ 33784 h 255311"/>
              <a:gd name="connsiteX53" fmla="*/ 328344 w 340093"/>
              <a:gd name="connsiteY53" fmla="*/ 40804 h 255311"/>
              <a:gd name="connsiteX54" fmla="*/ 324641 w 340093"/>
              <a:gd name="connsiteY54" fmla="*/ 42259 h 255311"/>
              <a:gd name="connsiteX55" fmla="*/ 312354 w 340093"/>
              <a:gd name="connsiteY55" fmla="*/ 41610 h 255311"/>
              <a:gd name="connsiteX56" fmla="*/ 293406 w 340093"/>
              <a:gd name="connsiteY56" fmla="*/ 47831 h 255311"/>
              <a:gd name="connsiteX57" fmla="*/ 291902 w 340093"/>
              <a:gd name="connsiteY57" fmla="*/ 54105 h 255311"/>
              <a:gd name="connsiteX58" fmla="*/ 291902 w 340093"/>
              <a:gd name="connsiteY58" fmla="*/ 91654 h 255311"/>
              <a:gd name="connsiteX59" fmla="*/ 259971 w 340093"/>
              <a:gd name="connsiteY59" fmla="*/ 134085 h 255311"/>
              <a:gd name="connsiteX60" fmla="*/ 192742 w 340093"/>
              <a:gd name="connsiteY60" fmla="*/ 153863 h 255311"/>
              <a:gd name="connsiteX61" fmla="*/ 184642 w 340093"/>
              <a:gd name="connsiteY61" fmla="*/ 155873 h 255311"/>
              <a:gd name="connsiteX62" fmla="*/ 183191 w 340093"/>
              <a:gd name="connsiteY62" fmla="*/ 156533 h 255311"/>
              <a:gd name="connsiteX63" fmla="*/ 182991 w 340093"/>
              <a:gd name="connsiteY63" fmla="*/ 156668 h 255311"/>
              <a:gd name="connsiteX64" fmla="*/ 181404 w 340093"/>
              <a:gd name="connsiteY64" fmla="*/ 159641 h 255311"/>
              <a:gd name="connsiteX65" fmla="*/ 181404 w 340093"/>
              <a:gd name="connsiteY65" fmla="*/ 232500 h 255311"/>
              <a:gd name="connsiteX66" fmla="*/ 182511 w 340093"/>
              <a:gd name="connsiteY66" fmla="*/ 235151 h 255311"/>
              <a:gd name="connsiteX67" fmla="*/ 185635 w 340093"/>
              <a:gd name="connsiteY67" fmla="*/ 238256 h 255311"/>
              <a:gd name="connsiteX68" fmla="*/ 188938 w 340093"/>
              <a:gd name="connsiteY68" fmla="*/ 246206 h 255311"/>
              <a:gd name="connsiteX69" fmla="*/ 188938 w 340093"/>
              <a:gd name="connsiteY69" fmla="*/ 247500 h 255311"/>
              <a:gd name="connsiteX70" fmla="*/ 171625 w 340093"/>
              <a:gd name="connsiteY70" fmla="*/ 247500 h 255311"/>
              <a:gd name="connsiteX71" fmla="*/ 166290 w 340093"/>
              <a:gd name="connsiteY71" fmla="*/ 242198 h 255311"/>
              <a:gd name="connsiteX72" fmla="*/ 166290 w 340093"/>
              <a:gd name="connsiteY72" fmla="*/ 157313 h 255311"/>
              <a:gd name="connsiteX73" fmla="*/ 163419 w 340093"/>
              <a:gd name="connsiteY73" fmla="*/ 153671 h 255311"/>
              <a:gd name="connsiteX74" fmla="*/ 88131 w 340093"/>
              <a:gd name="connsiteY74" fmla="*/ 135184 h 255311"/>
              <a:gd name="connsiteX75" fmla="*/ 84557 w 340093"/>
              <a:gd name="connsiteY75" fmla="*/ 136170 h 255311"/>
              <a:gd name="connsiteX76" fmla="*/ 66020 w 340093"/>
              <a:gd name="connsiteY76" fmla="*/ 154545 h 255311"/>
              <a:gd name="connsiteX77" fmla="*/ 58014 w 340093"/>
              <a:gd name="connsiteY77" fmla="*/ 157830 h 255311"/>
              <a:gd name="connsiteX78" fmla="*/ 52917 w 340093"/>
              <a:gd name="connsiteY78" fmla="*/ 157830 h 255311"/>
              <a:gd name="connsiteX79" fmla="*/ 49139 w 340093"/>
              <a:gd name="connsiteY79" fmla="*/ 161580 h 255311"/>
              <a:gd name="connsiteX80" fmla="*/ 49139 w 340093"/>
              <a:gd name="connsiteY80" fmla="*/ 232830 h 255311"/>
              <a:gd name="connsiteX81" fmla="*/ 50242 w 340093"/>
              <a:gd name="connsiteY81" fmla="*/ 235481 h 255311"/>
              <a:gd name="connsiteX82" fmla="*/ 53370 w 340093"/>
              <a:gd name="connsiteY82" fmla="*/ 238590 h 255311"/>
              <a:gd name="connsiteX83" fmla="*/ 56695 w 340093"/>
              <a:gd name="connsiteY83" fmla="*/ 246521 h 255311"/>
              <a:gd name="connsiteX84" fmla="*/ 56695 w 340093"/>
              <a:gd name="connsiteY84" fmla="*/ 247811 h 255311"/>
              <a:gd name="connsiteX85" fmla="*/ 39379 w 340093"/>
              <a:gd name="connsiteY85" fmla="*/ 247811 h 255311"/>
              <a:gd name="connsiteX86" fmla="*/ 34044 w 340093"/>
              <a:gd name="connsiteY86" fmla="*/ 242509 h 255311"/>
              <a:gd name="connsiteX87" fmla="*/ 34044 w 340093"/>
              <a:gd name="connsiteY87" fmla="*/ 116250 h 255311"/>
              <a:gd name="connsiteX88" fmla="*/ 40732 w 340093"/>
              <a:gd name="connsiteY88" fmla="*/ 92603 h 255311"/>
              <a:gd name="connsiteX89" fmla="*/ 40231 w 340093"/>
              <a:gd name="connsiteY89" fmla="*/ 87321 h 255311"/>
              <a:gd name="connsiteX90" fmla="*/ 34909 w 340093"/>
              <a:gd name="connsiteY90" fmla="*/ 87818 h 255311"/>
              <a:gd name="connsiteX91" fmla="*/ 26487 w 340093"/>
              <a:gd name="connsiteY91" fmla="*/ 116250 h 255311"/>
              <a:gd name="connsiteX92" fmla="*/ 26487 w 340093"/>
              <a:gd name="connsiteY92" fmla="*/ 244061 h 255311"/>
              <a:gd name="connsiteX93" fmla="*/ 27594 w 340093"/>
              <a:gd name="connsiteY93" fmla="*/ 246713 h 255311"/>
              <a:gd name="connsiteX94" fmla="*/ 35151 w 340093"/>
              <a:gd name="connsiteY94" fmla="*/ 254213 h 255311"/>
              <a:gd name="connsiteX95" fmla="*/ 37822 w 340093"/>
              <a:gd name="connsiteY95" fmla="*/ 255311 h 255311"/>
              <a:gd name="connsiteX96" fmla="*/ 60493 w 340093"/>
              <a:gd name="connsiteY96" fmla="*/ 255311 h 255311"/>
              <a:gd name="connsiteX97" fmla="*/ 64271 w 340093"/>
              <a:gd name="connsiteY97" fmla="*/ 251561 h 255311"/>
              <a:gd name="connsiteX98" fmla="*/ 64271 w 340093"/>
              <a:gd name="connsiteY98" fmla="*/ 246521 h 255311"/>
              <a:gd name="connsiteX99" fmla="*/ 58747 w 340093"/>
              <a:gd name="connsiteY99" fmla="*/ 233273 h 255311"/>
              <a:gd name="connsiteX100" fmla="*/ 56722 w 340093"/>
              <a:gd name="connsiteY100" fmla="*/ 231259 h 255311"/>
              <a:gd name="connsiteX101" fmla="*/ 56722 w 340093"/>
              <a:gd name="connsiteY101" fmla="*/ 165311 h 255311"/>
              <a:gd name="connsiteX102" fmla="*/ 58029 w 340093"/>
              <a:gd name="connsiteY102" fmla="*/ 165311 h 255311"/>
              <a:gd name="connsiteX103" fmla="*/ 71370 w 340093"/>
              <a:gd name="connsiteY103" fmla="*/ 159836 h 255311"/>
              <a:gd name="connsiteX104" fmla="*/ 88399 w 340093"/>
              <a:gd name="connsiteY104" fmla="*/ 142961 h 255311"/>
              <a:gd name="connsiteX105" fmla="*/ 158749 w 340093"/>
              <a:gd name="connsiteY105" fmla="*/ 160238 h 255311"/>
              <a:gd name="connsiteX106" fmla="*/ 158749 w 340093"/>
              <a:gd name="connsiteY106" fmla="*/ 243750 h 255311"/>
              <a:gd name="connsiteX107" fmla="*/ 159856 w 340093"/>
              <a:gd name="connsiteY107" fmla="*/ 246401 h 255311"/>
              <a:gd name="connsiteX108" fmla="*/ 167412 w 340093"/>
              <a:gd name="connsiteY108" fmla="*/ 253901 h 255311"/>
              <a:gd name="connsiteX109" fmla="*/ 170046 w 340093"/>
              <a:gd name="connsiteY109" fmla="*/ 255000 h 255311"/>
              <a:gd name="connsiteX110" fmla="*/ 192716 w 340093"/>
              <a:gd name="connsiteY110" fmla="*/ 255000 h 255311"/>
              <a:gd name="connsiteX111" fmla="*/ 196494 w 340093"/>
              <a:gd name="connsiteY111" fmla="*/ 251250 h 255311"/>
              <a:gd name="connsiteX112" fmla="*/ 196494 w 340093"/>
              <a:gd name="connsiteY112" fmla="*/ 246206 h 255311"/>
              <a:gd name="connsiteX113" fmla="*/ 190967 w 340093"/>
              <a:gd name="connsiteY113" fmla="*/ 232958 h 255311"/>
              <a:gd name="connsiteX114" fmla="*/ 188945 w 340093"/>
              <a:gd name="connsiteY114" fmla="*/ 230948 h 255311"/>
              <a:gd name="connsiteX115" fmla="*/ 188945 w 340093"/>
              <a:gd name="connsiteY115" fmla="*/ 162533 h 255311"/>
              <a:gd name="connsiteX116" fmla="*/ 194715 w 340093"/>
              <a:gd name="connsiteY116" fmla="*/ 161096 h 255311"/>
              <a:gd name="connsiteX117" fmla="*/ 204062 w 340093"/>
              <a:gd name="connsiteY117" fmla="*/ 158348 h 255311"/>
              <a:gd name="connsiteX118" fmla="*/ 204062 w 340093"/>
              <a:gd name="connsiteY118" fmla="*/ 232500 h 255311"/>
              <a:gd name="connsiteX119" fmla="*/ 205166 w 340093"/>
              <a:gd name="connsiteY119" fmla="*/ 235151 h 255311"/>
              <a:gd name="connsiteX120" fmla="*/ 208290 w 340093"/>
              <a:gd name="connsiteY120" fmla="*/ 238256 h 255311"/>
              <a:gd name="connsiteX121" fmla="*/ 211608 w 340093"/>
              <a:gd name="connsiteY121" fmla="*/ 246206 h 255311"/>
              <a:gd name="connsiteX122" fmla="*/ 211608 w 340093"/>
              <a:gd name="connsiteY122" fmla="*/ 247500 h 255311"/>
              <a:gd name="connsiteX123" fmla="*/ 204051 w 340093"/>
              <a:gd name="connsiteY123" fmla="*/ 247500 h 255311"/>
              <a:gd name="connsiteX124" fmla="*/ 200273 w 340093"/>
              <a:gd name="connsiteY124" fmla="*/ 251250 h 255311"/>
              <a:gd name="connsiteX125" fmla="*/ 204051 w 340093"/>
              <a:gd name="connsiteY125" fmla="*/ 255000 h 255311"/>
              <a:gd name="connsiteX126" fmla="*/ 215386 w 340093"/>
              <a:gd name="connsiteY126" fmla="*/ 255000 h 255311"/>
              <a:gd name="connsiteX127" fmla="*/ 219165 w 340093"/>
              <a:gd name="connsiteY127" fmla="*/ 251250 h 255311"/>
              <a:gd name="connsiteX128" fmla="*/ 219165 w 340093"/>
              <a:gd name="connsiteY128" fmla="*/ 246206 h 255311"/>
              <a:gd name="connsiteX129" fmla="*/ 213641 w 340093"/>
              <a:gd name="connsiteY129" fmla="*/ 232958 h 255311"/>
              <a:gd name="connsiteX130" fmla="*/ 211619 w 340093"/>
              <a:gd name="connsiteY130" fmla="*/ 230948 h 255311"/>
              <a:gd name="connsiteX131" fmla="*/ 211619 w 340093"/>
              <a:gd name="connsiteY131" fmla="*/ 156124 h 255311"/>
              <a:gd name="connsiteX132" fmla="*/ 262102 w 340093"/>
              <a:gd name="connsiteY132" fmla="*/ 141278 h 255311"/>
              <a:gd name="connsiteX133" fmla="*/ 299436 w 340093"/>
              <a:gd name="connsiteY133" fmla="*/ 91654 h 255311"/>
              <a:gd name="connsiteX134" fmla="*/ 299436 w 340093"/>
              <a:gd name="connsiteY134" fmla="*/ 54075 h 255311"/>
              <a:gd name="connsiteX135" fmla="*/ 302530 w 340093"/>
              <a:gd name="connsiteY135" fmla="*/ 48566 h 255311"/>
              <a:gd name="connsiteX136" fmla="*/ 309240 w 340093"/>
              <a:gd name="connsiteY136" fmla="*/ 48431 h 255311"/>
              <a:gd name="connsiteX137" fmla="*/ 327407 w 340093"/>
              <a:gd name="connsiteY137" fmla="*/ 49200 h 255311"/>
              <a:gd name="connsiteX138" fmla="*/ 331098 w 340093"/>
              <a:gd name="connsiteY138" fmla="*/ 47749 h 255311"/>
              <a:gd name="connsiteX139" fmla="*/ 340019 w 340093"/>
              <a:gd name="connsiteY139" fmla="*/ 33169 h 25531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</a:cxnLst>
            <a:rect l="l" t="t" r="r" b="b"/>
            <a:pathLst>
              <a:path w="340093" h="255311">
                <a:moveTo>
                  <a:pt x="340019" y="33169"/>
                </a:moveTo>
                <a:cubicBezTo>
                  <a:pt x="340530" y="21042"/>
                  <a:pt x="331409" y="10630"/>
                  <a:pt x="319238" y="9446"/>
                </a:cubicBezTo>
                <a:lnTo>
                  <a:pt x="300868" y="7624"/>
                </a:lnTo>
                <a:cubicBezTo>
                  <a:pt x="297512" y="5054"/>
                  <a:pt x="293704" y="3125"/>
                  <a:pt x="289638" y="1935"/>
                </a:cubicBezTo>
                <a:cubicBezTo>
                  <a:pt x="275381" y="-2552"/>
                  <a:pt x="260078" y="4817"/>
                  <a:pt x="254806" y="18709"/>
                </a:cubicBezTo>
                <a:lnTo>
                  <a:pt x="252667" y="24375"/>
                </a:lnTo>
                <a:cubicBezTo>
                  <a:pt x="248619" y="35073"/>
                  <a:pt x="246548" y="46409"/>
                  <a:pt x="246554" y="57836"/>
                </a:cubicBezTo>
                <a:lnTo>
                  <a:pt x="246554" y="85009"/>
                </a:lnTo>
                <a:cubicBezTo>
                  <a:pt x="246660" y="88848"/>
                  <a:pt x="244195" y="92294"/>
                  <a:pt x="240508" y="93461"/>
                </a:cubicBezTo>
                <a:cubicBezTo>
                  <a:pt x="237005" y="94392"/>
                  <a:pt x="233301" y="92930"/>
                  <a:pt x="231399" y="89865"/>
                </a:cubicBezTo>
                <a:lnTo>
                  <a:pt x="230160" y="87345"/>
                </a:lnTo>
                <a:cubicBezTo>
                  <a:pt x="228664" y="84341"/>
                  <a:pt x="227739" y="81089"/>
                  <a:pt x="227432" y="77753"/>
                </a:cubicBezTo>
                <a:cubicBezTo>
                  <a:pt x="227386" y="77198"/>
                  <a:pt x="227322" y="76628"/>
                  <a:pt x="227254" y="76084"/>
                </a:cubicBezTo>
                <a:cubicBezTo>
                  <a:pt x="224231" y="54380"/>
                  <a:pt x="207077" y="37294"/>
                  <a:pt x="185220" y="34215"/>
                </a:cubicBezTo>
                <a:cubicBezTo>
                  <a:pt x="177770" y="33199"/>
                  <a:pt x="171149" y="28981"/>
                  <a:pt x="167114" y="22684"/>
                </a:cubicBezTo>
                <a:cubicBezTo>
                  <a:pt x="158155" y="8534"/>
                  <a:pt x="142484" y="-38"/>
                  <a:pt x="125646" y="0"/>
                </a:cubicBezTo>
                <a:cubicBezTo>
                  <a:pt x="108240" y="0"/>
                  <a:pt x="97180" y="9375"/>
                  <a:pt x="85532" y="20738"/>
                </a:cubicBezTo>
                <a:cubicBezTo>
                  <a:pt x="82887" y="23310"/>
                  <a:pt x="81496" y="24645"/>
                  <a:pt x="80242" y="25845"/>
                </a:cubicBezTo>
                <a:lnTo>
                  <a:pt x="49067" y="54859"/>
                </a:lnTo>
                <a:lnTo>
                  <a:pt x="23926" y="77471"/>
                </a:lnTo>
                <a:cubicBezTo>
                  <a:pt x="13849" y="86670"/>
                  <a:pt x="7599" y="95674"/>
                  <a:pt x="7599" y="112125"/>
                </a:cubicBezTo>
                <a:lnTo>
                  <a:pt x="7599" y="169391"/>
                </a:lnTo>
                <a:cubicBezTo>
                  <a:pt x="7613" y="175191"/>
                  <a:pt x="5293" y="180755"/>
                  <a:pt x="1153" y="184849"/>
                </a:cubicBezTo>
                <a:cubicBezTo>
                  <a:pt x="-347" y="186288"/>
                  <a:pt x="-389" y="188662"/>
                  <a:pt x="1061" y="190151"/>
                </a:cubicBezTo>
                <a:cubicBezTo>
                  <a:pt x="2510" y="191641"/>
                  <a:pt x="4902" y="191683"/>
                  <a:pt x="6403" y="190244"/>
                </a:cubicBezTo>
                <a:cubicBezTo>
                  <a:pt x="6435" y="190213"/>
                  <a:pt x="6466" y="190183"/>
                  <a:pt x="6496" y="190151"/>
                </a:cubicBezTo>
                <a:cubicBezTo>
                  <a:pt x="12060" y="184657"/>
                  <a:pt x="15180" y="177182"/>
                  <a:pt x="15160" y="169391"/>
                </a:cubicBezTo>
                <a:lnTo>
                  <a:pt x="15160" y="112125"/>
                </a:lnTo>
                <a:cubicBezTo>
                  <a:pt x="15160" y="98303"/>
                  <a:pt x="20041" y="91230"/>
                  <a:pt x="29034" y="83029"/>
                </a:cubicBezTo>
                <a:lnTo>
                  <a:pt x="54198" y="60401"/>
                </a:lnTo>
                <a:lnTo>
                  <a:pt x="81923" y="34718"/>
                </a:lnTo>
                <a:lnTo>
                  <a:pt x="85513" y="31253"/>
                </a:lnTo>
                <a:cubicBezTo>
                  <a:pt x="86763" y="30045"/>
                  <a:pt x="88158" y="28699"/>
                  <a:pt x="90825" y="26111"/>
                </a:cubicBezTo>
                <a:cubicBezTo>
                  <a:pt x="101658" y="15555"/>
                  <a:pt x="111073" y="7500"/>
                  <a:pt x="125646" y="7500"/>
                </a:cubicBezTo>
                <a:cubicBezTo>
                  <a:pt x="139892" y="7471"/>
                  <a:pt x="153149" y="14725"/>
                  <a:pt x="160729" y="26696"/>
                </a:cubicBezTo>
                <a:cubicBezTo>
                  <a:pt x="165945" y="34852"/>
                  <a:pt x="174513" y="40317"/>
                  <a:pt x="184154" y="41640"/>
                </a:cubicBezTo>
                <a:cubicBezTo>
                  <a:pt x="187133" y="42064"/>
                  <a:pt x="190058" y="42802"/>
                  <a:pt x="192879" y="43841"/>
                </a:cubicBezTo>
                <a:cubicBezTo>
                  <a:pt x="207311" y="49160"/>
                  <a:pt x="217632" y="61919"/>
                  <a:pt x="219743" y="77055"/>
                </a:cubicBezTo>
                <a:cubicBezTo>
                  <a:pt x="219807" y="77513"/>
                  <a:pt x="219852" y="77966"/>
                  <a:pt x="219894" y="78413"/>
                </a:cubicBezTo>
                <a:cubicBezTo>
                  <a:pt x="220280" y="82667"/>
                  <a:pt x="221453" y="86814"/>
                  <a:pt x="223355" y="90645"/>
                </a:cubicBezTo>
                <a:lnTo>
                  <a:pt x="224711" y="93383"/>
                </a:lnTo>
                <a:cubicBezTo>
                  <a:pt x="228266" y="99508"/>
                  <a:pt x="235510" y="102518"/>
                  <a:pt x="242401" y="100733"/>
                </a:cubicBezTo>
                <a:cubicBezTo>
                  <a:pt x="249452" y="98751"/>
                  <a:pt x="254266" y="92295"/>
                  <a:pt x="254114" y="85024"/>
                </a:cubicBezTo>
                <a:lnTo>
                  <a:pt x="254114" y="57851"/>
                </a:lnTo>
                <a:cubicBezTo>
                  <a:pt x="254108" y="47324"/>
                  <a:pt x="256017" y="36881"/>
                  <a:pt x="259748" y="27026"/>
                </a:cubicBezTo>
                <a:lnTo>
                  <a:pt x="261898" y="21341"/>
                </a:lnTo>
                <a:cubicBezTo>
                  <a:pt x="265846" y="11144"/>
                  <a:pt x="277141" y="5792"/>
                  <a:pt x="287613" y="9158"/>
                </a:cubicBezTo>
                <a:cubicBezTo>
                  <a:pt x="290790" y="10106"/>
                  <a:pt x="293761" y="11632"/>
                  <a:pt x="296375" y="13658"/>
                </a:cubicBezTo>
                <a:lnTo>
                  <a:pt x="297188" y="14261"/>
                </a:lnTo>
                <a:cubicBezTo>
                  <a:pt x="297736" y="14679"/>
                  <a:pt x="298389" y="14939"/>
                  <a:pt x="299077" y="15011"/>
                </a:cubicBezTo>
                <a:lnTo>
                  <a:pt x="318497" y="16939"/>
                </a:lnTo>
                <a:cubicBezTo>
                  <a:pt x="326773" y="17740"/>
                  <a:pt x="332940" y="24877"/>
                  <a:pt x="332477" y="33116"/>
                </a:cubicBezTo>
                <a:cubicBezTo>
                  <a:pt x="332462" y="33339"/>
                  <a:pt x="332470" y="33563"/>
                  <a:pt x="332500" y="33784"/>
                </a:cubicBezTo>
                <a:cubicBezTo>
                  <a:pt x="332924" y="36798"/>
                  <a:pt x="331203" y="39705"/>
                  <a:pt x="328344" y="40804"/>
                </a:cubicBezTo>
                <a:lnTo>
                  <a:pt x="324641" y="42259"/>
                </a:lnTo>
                <a:cubicBezTo>
                  <a:pt x="320643" y="43811"/>
                  <a:pt x="316164" y="43575"/>
                  <a:pt x="312354" y="41610"/>
                </a:cubicBezTo>
                <a:cubicBezTo>
                  <a:pt x="305391" y="38135"/>
                  <a:pt x="296908" y="40920"/>
                  <a:pt x="293406" y="47831"/>
                </a:cubicBezTo>
                <a:cubicBezTo>
                  <a:pt x="292420" y="49778"/>
                  <a:pt x="291905" y="51926"/>
                  <a:pt x="291902" y="54105"/>
                </a:cubicBezTo>
                <a:lnTo>
                  <a:pt x="291902" y="91654"/>
                </a:lnTo>
                <a:cubicBezTo>
                  <a:pt x="291815" y="111227"/>
                  <a:pt x="278856" y="128447"/>
                  <a:pt x="259971" y="134085"/>
                </a:cubicBezTo>
                <a:lnTo>
                  <a:pt x="192742" y="153863"/>
                </a:lnTo>
                <a:lnTo>
                  <a:pt x="184642" y="155873"/>
                </a:lnTo>
                <a:cubicBezTo>
                  <a:pt x="184132" y="156031"/>
                  <a:pt x="183645" y="156253"/>
                  <a:pt x="183191" y="156533"/>
                </a:cubicBezTo>
                <a:cubicBezTo>
                  <a:pt x="183121" y="156573"/>
                  <a:pt x="183054" y="156619"/>
                  <a:pt x="182991" y="156668"/>
                </a:cubicBezTo>
                <a:cubicBezTo>
                  <a:pt x="182009" y="157347"/>
                  <a:pt x="181419" y="158454"/>
                  <a:pt x="181404" y="159641"/>
                </a:cubicBezTo>
                <a:lnTo>
                  <a:pt x="181404" y="232500"/>
                </a:lnTo>
                <a:cubicBezTo>
                  <a:pt x="181404" y="233495"/>
                  <a:pt x="181802" y="234448"/>
                  <a:pt x="182511" y="235151"/>
                </a:cubicBezTo>
                <a:lnTo>
                  <a:pt x="185635" y="238256"/>
                </a:lnTo>
                <a:cubicBezTo>
                  <a:pt x="187760" y="240364"/>
                  <a:pt x="188949" y="243226"/>
                  <a:pt x="188938" y="246206"/>
                </a:cubicBezTo>
                <a:lnTo>
                  <a:pt x="188938" y="247500"/>
                </a:lnTo>
                <a:lnTo>
                  <a:pt x="171625" y="247500"/>
                </a:lnTo>
                <a:lnTo>
                  <a:pt x="166290" y="242198"/>
                </a:lnTo>
                <a:lnTo>
                  <a:pt x="166290" y="157313"/>
                </a:lnTo>
                <a:cubicBezTo>
                  <a:pt x="166186" y="155626"/>
                  <a:pt x="165044" y="154177"/>
                  <a:pt x="163419" y="153671"/>
                </a:cubicBezTo>
                <a:lnTo>
                  <a:pt x="88131" y="135184"/>
                </a:lnTo>
                <a:cubicBezTo>
                  <a:pt x="86851" y="134961"/>
                  <a:pt x="85538" y="135323"/>
                  <a:pt x="84557" y="136170"/>
                </a:cubicBezTo>
                <a:lnTo>
                  <a:pt x="66020" y="154545"/>
                </a:lnTo>
                <a:cubicBezTo>
                  <a:pt x="63899" y="156655"/>
                  <a:pt x="61017" y="157837"/>
                  <a:pt x="58014" y="157830"/>
                </a:cubicBezTo>
                <a:lnTo>
                  <a:pt x="52917" y="157830"/>
                </a:lnTo>
                <a:cubicBezTo>
                  <a:pt x="50830" y="157830"/>
                  <a:pt x="49139" y="159509"/>
                  <a:pt x="49139" y="161580"/>
                </a:cubicBezTo>
                <a:lnTo>
                  <a:pt x="49139" y="232830"/>
                </a:lnTo>
                <a:cubicBezTo>
                  <a:pt x="49138" y="233824"/>
                  <a:pt x="49535" y="234778"/>
                  <a:pt x="50242" y="235481"/>
                </a:cubicBezTo>
                <a:lnTo>
                  <a:pt x="53370" y="238590"/>
                </a:lnTo>
                <a:cubicBezTo>
                  <a:pt x="55499" y="240689"/>
                  <a:pt x="56696" y="243544"/>
                  <a:pt x="56695" y="246521"/>
                </a:cubicBezTo>
                <a:lnTo>
                  <a:pt x="56695" y="247811"/>
                </a:lnTo>
                <a:lnTo>
                  <a:pt x="39379" y="247811"/>
                </a:lnTo>
                <a:lnTo>
                  <a:pt x="34044" y="242509"/>
                </a:lnTo>
                <a:lnTo>
                  <a:pt x="34044" y="116250"/>
                </a:lnTo>
                <a:cubicBezTo>
                  <a:pt x="33712" y="107866"/>
                  <a:pt x="36053" y="99591"/>
                  <a:pt x="40732" y="92603"/>
                </a:cubicBezTo>
                <a:cubicBezTo>
                  <a:pt x="42063" y="91007"/>
                  <a:pt x="41839" y="88642"/>
                  <a:pt x="40231" y="87321"/>
                </a:cubicBezTo>
                <a:cubicBezTo>
                  <a:pt x="38623" y="85999"/>
                  <a:pt x="36241" y="86222"/>
                  <a:pt x="34909" y="87818"/>
                </a:cubicBezTo>
                <a:cubicBezTo>
                  <a:pt x="29044" y="96126"/>
                  <a:pt x="26086" y="106114"/>
                  <a:pt x="26487" y="116250"/>
                </a:cubicBezTo>
                <a:lnTo>
                  <a:pt x="26487" y="244061"/>
                </a:lnTo>
                <a:cubicBezTo>
                  <a:pt x="26488" y="245056"/>
                  <a:pt x="26886" y="246010"/>
                  <a:pt x="27594" y="246713"/>
                </a:cubicBezTo>
                <a:lnTo>
                  <a:pt x="35151" y="254213"/>
                </a:lnTo>
                <a:cubicBezTo>
                  <a:pt x="35860" y="254916"/>
                  <a:pt x="36820" y="255311"/>
                  <a:pt x="37822" y="255311"/>
                </a:cubicBezTo>
                <a:lnTo>
                  <a:pt x="60493" y="255311"/>
                </a:lnTo>
                <a:cubicBezTo>
                  <a:pt x="62579" y="255311"/>
                  <a:pt x="64271" y="253633"/>
                  <a:pt x="64271" y="251561"/>
                </a:cubicBezTo>
                <a:lnTo>
                  <a:pt x="64271" y="246521"/>
                </a:lnTo>
                <a:cubicBezTo>
                  <a:pt x="64284" y="241551"/>
                  <a:pt x="62295" y="236781"/>
                  <a:pt x="58747" y="233273"/>
                </a:cubicBezTo>
                <a:lnTo>
                  <a:pt x="56722" y="231259"/>
                </a:lnTo>
                <a:lnTo>
                  <a:pt x="56722" y="165311"/>
                </a:lnTo>
                <a:lnTo>
                  <a:pt x="58029" y="165311"/>
                </a:lnTo>
                <a:cubicBezTo>
                  <a:pt x="63033" y="165324"/>
                  <a:pt x="67836" y="163353"/>
                  <a:pt x="71370" y="159836"/>
                </a:cubicBezTo>
                <a:lnTo>
                  <a:pt x="88399" y="142961"/>
                </a:lnTo>
                <a:lnTo>
                  <a:pt x="158749" y="160238"/>
                </a:lnTo>
                <a:lnTo>
                  <a:pt x="158749" y="243750"/>
                </a:lnTo>
                <a:cubicBezTo>
                  <a:pt x="158749" y="244745"/>
                  <a:pt x="159147" y="245698"/>
                  <a:pt x="159856" y="246401"/>
                </a:cubicBezTo>
                <a:lnTo>
                  <a:pt x="167412" y="253901"/>
                </a:lnTo>
                <a:cubicBezTo>
                  <a:pt x="168111" y="254596"/>
                  <a:pt x="169057" y="254990"/>
                  <a:pt x="170046" y="255000"/>
                </a:cubicBezTo>
                <a:lnTo>
                  <a:pt x="192716" y="255000"/>
                </a:lnTo>
                <a:cubicBezTo>
                  <a:pt x="194803" y="255000"/>
                  <a:pt x="196494" y="253321"/>
                  <a:pt x="196494" y="251250"/>
                </a:cubicBezTo>
                <a:lnTo>
                  <a:pt x="196494" y="246206"/>
                </a:lnTo>
                <a:cubicBezTo>
                  <a:pt x="196507" y="241235"/>
                  <a:pt x="194516" y="236465"/>
                  <a:pt x="190967" y="232958"/>
                </a:cubicBezTo>
                <a:lnTo>
                  <a:pt x="188945" y="230948"/>
                </a:lnTo>
                <a:lnTo>
                  <a:pt x="188945" y="162533"/>
                </a:lnTo>
                <a:lnTo>
                  <a:pt x="194715" y="161096"/>
                </a:lnTo>
                <a:lnTo>
                  <a:pt x="204062" y="158348"/>
                </a:lnTo>
                <a:lnTo>
                  <a:pt x="204062" y="232500"/>
                </a:lnTo>
                <a:cubicBezTo>
                  <a:pt x="204062" y="233494"/>
                  <a:pt x="204458" y="234448"/>
                  <a:pt x="205166" y="235151"/>
                </a:cubicBezTo>
                <a:lnTo>
                  <a:pt x="208290" y="238256"/>
                </a:lnTo>
                <a:cubicBezTo>
                  <a:pt x="210421" y="240361"/>
                  <a:pt x="211615" y="243223"/>
                  <a:pt x="211608" y="246206"/>
                </a:cubicBezTo>
                <a:lnTo>
                  <a:pt x="211608" y="247500"/>
                </a:lnTo>
                <a:lnTo>
                  <a:pt x="204051" y="247500"/>
                </a:lnTo>
                <a:cubicBezTo>
                  <a:pt x="201964" y="247500"/>
                  <a:pt x="200273" y="249179"/>
                  <a:pt x="200273" y="251250"/>
                </a:cubicBezTo>
                <a:cubicBezTo>
                  <a:pt x="200273" y="253321"/>
                  <a:pt x="201964" y="255000"/>
                  <a:pt x="204051" y="255000"/>
                </a:cubicBezTo>
                <a:lnTo>
                  <a:pt x="215386" y="255000"/>
                </a:lnTo>
                <a:cubicBezTo>
                  <a:pt x="217473" y="255000"/>
                  <a:pt x="219165" y="253321"/>
                  <a:pt x="219165" y="251250"/>
                </a:cubicBezTo>
                <a:lnTo>
                  <a:pt x="219165" y="246206"/>
                </a:lnTo>
                <a:cubicBezTo>
                  <a:pt x="219177" y="241236"/>
                  <a:pt x="217188" y="236466"/>
                  <a:pt x="213641" y="232958"/>
                </a:cubicBezTo>
                <a:lnTo>
                  <a:pt x="211619" y="230948"/>
                </a:lnTo>
                <a:lnTo>
                  <a:pt x="211619" y="156124"/>
                </a:lnTo>
                <a:lnTo>
                  <a:pt x="262102" y="141278"/>
                </a:lnTo>
                <a:cubicBezTo>
                  <a:pt x="284184" y="134680"/>
                  <a:pt x="299335" y="114542"/>
                  <a:pt x="299436" y="91654"/>
                </a:cubicBezTo>
                <a:lnTo>
                  <a:pt x="299436" y="54075"/>
                </a:lnTo>
                <a:cubicBezTo>
                  <a:pt x="299416" y="51826"/>
                  <a:pt x="300591" y="49732"/>
                  <a:pt x="302530" y="48566"/>
                </a:cubicBezTo>
                <a:cubicBezTo>
                  <a:pt x="304578" y="47321"/>
                  <a:pt x="307144" y="47270"/>
                  <a:pt x="309240" y="48431"/>
                </a:cubicBezTo>
                <a:cubicBezTo>
                  <a:pt x="314910" y="51241"/>
                  <a:pt x="321517" y="51521"/>
                  <a:pt x="327407" y="49200"/>
                </a:cubicBezTo>
                <a:lnTo>
                  <a:pt x="331098" y="47749"/>
                </a:lnTo>
                <a:cubicBezTo>
                  <a:pt x="337025" y="45418"/>
                  <a:pt x="340668" y="39463"/>
                  <a:pt x="340019" y="3316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22" name="Freeform: Shape 321">
            <a:extLst>
              <a:ext uri="{FF2B5EF4-FFF2-40B4-BE49-F238E27FC236}">
                <a16:creationId xmlns:a16="http://schemas.microsoft.com/office/drawing/2014/main" id="{9EFCC978-6AD2-4A24-A9D6-A53037014153}"/>
              </a:ext>
            </a:extLst>
          </xdr:cNvPr>
          <xdr:cNvSpPr/>
        </xdr:nvSpPr>
        <xdr:spPr>
          <a:xfrm>
            <a:off x="13095875" y="6921600"/>
            <a:ext cx="18891" cy="90000"/>
          </a:xfrm>
          <a:custGeom>
            <a:avLst/>
            <a:gdLst>
              <a:gd name="connsiteX0" fmla="*/ 11358 w 18891"/>
              <a:gd name="connsiteY0" fmla="*/ 65947 h 90000"/>
              <a:gd name="connsiteX1" fmla="*/ 11358 w 18891"/>
              <a:gd name="connsiteY1" fmla="*/ 3750 h 90000"/>
              <a:gd name="connsiteX2" fmla="*/ 7579 w 18891"/>
              <a:gd name="connsiteY2" fmla="*/ 0 h 90000"/>
              <a:gd name="connsiteX3" fmla="*/ 3801 w 18891"/>
              <a:gd name="connsiteY3" fmla="*/ 3750 h 90000"/>
              <a:gd name="connsiteX4" fmla="*/ 3801 w 18891"/>
              <a:gd name="connsiteY4" fmla="*/ 67500 h 90000"/>
              <a:gd name="connsiteX5" fmla="*/ 4904 w 18891"/>
              <a:gd name="connsiteY5" fmla="*/ 70148 h 90000"/>
              <a:gd name="connsiteX6" fmla="*/ 8029 w 18891"/>
              <a:gd name="connsiteY6" fmla="*/ 73260 h 90000"/>
              <a:gd name="connsiteX7" fmla="*/ 11335 w 18891"/>
              <a:gd name="connsiteY7" fmla="*/ 81206 h 90000"/>
              <a:gd name="connsiteX8" fmla="*/ 11335 w 18891"/>
              <a:gd name="connsiteY8" fmla="*/ 82500 h 90000"/>
              <a:gd name="connsiteX9" fmla="*/ 3778 w 18891"/>
              <a:gd name="connsiteY9" fmla="*/ 82500 h 90000"/>
              <a:gd name="connsiteX10" fmla="*/ 0 w 18891"/>
              <a:gd name="connsiteY10" fmla="*/ 86250 h 90000"/>
              <a:gd name="connsiteX11" fmla="*/ 3778 w 18891"/>
              <a:gd name="connsiteY11" fmla="*/ 90000 h 90000"/>
              <a:gd name="connsiteX12" fmla="*/ 15113 w 18891"/>
              <a:gd name="connsiteY12" fmla="*/ 90000 h 90000"/>
              <a:gd name="connsiteX13" fmla="*/ 18892 w 18891"/>
              <a:gd name="connsiteY13" fmla="*/ 86250 h 90000"/>
              <a:gd name="connsiteX14" fmla="*/ 18892 w 18891"/>
              <a:gd name="connsiteY14" fmla="*/ 81206 h 90000"/>
              <a:gd name="connsiteX15" fmla="*/ 13368 w 18891"/>
              <a:gd name="connsiteY15" fmla="*/ 67961 h 9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18891" h="90000">
                <a:moveTo>
                  <a:pt x="11358" y="65947"/>
                </a:moveTo>
                <a:lnTo>
                  <a:pt x="11358" y="3750"/>
                </a:lnTo>
                <a:cubicBezTo>
                  <a:pt x="11358" y="1679"/>
                  <a:pt x="9666" y="0"/>
                  <a:pt x="7579" y="0"/>
                </a:cubicBezTo>
                <a:cubicBezTo>
                  <a:pt x="5493" y="0"/>
                  <a:pt x="3801" y="1679"/>
                  <a:pt x="3801" y="3750"/>
                </a:cubicBezTo>
                <a:lnTo>
                  <a:pt x="3801" y="67500"/>
                </a:lnTo>
                <a:cubicBezTo>
                  <a:pt x="3801" y="68493"/>
                  <a:pt x="4198" y="69445"/>
                  <a:pt x="4904" y="70148"/>
                </a:cubicBezTo>
                <a:lnTo>
                  <a:pt x="8029" y="73260"/>
                </a:lnTo>
                <a:cubicBezTo>
                  <a:pt x="10155" y="75365"/>
                  <a:pt x="11345" y="78226"/>
                  <a:pt x="11335" y="81206"/>
                </a:cubicBezTo>
                <a:lnTo>
                  <a:pt x="11335" y="82500"/>
                </a:lnTo>
                <a:lnTo>
                  <a:pt x="3778" y="82500"/>
                </a:lnTo>
                <a:cubicBezTo>
                  <a:pt x="1692" y="82500"/>
                  <a:pt x="0" y="84179"/>
                  <a:pt x="0" y="86250"/>
                </a:cubicBezTo>
                <a:cubicBezTo>
                  <a:pt x="0" y="88321"/>
                  <a:pt x="1692" y="90000"/>
                  <a:pt x="3778" y="90000"/>
                </a:cubicBezTo>
                <a:lnTo>
                  <a:pt x="15113" y="90000"/>
                </a:lnTo>
                <a:cubicBezTo>
                  <a:pt x="17200" y="90000"/>
                  <a:pt x="18892" y="88321"/>
                  <a:pt x="18892" y="86250"/>
                </a:cubicBezTo>
                <a:lnTo>
                  <a:pt x="18892" y="81206"/>
                </a:lnTo>
                <a:cubicBezTo>
                  <a:pt x="18903" y="76237"/>
                  <a:pt x="16915" y="71469"/>
                  <a:pt x="13368" y="6796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23" name="Freeform: Shape 322">
            <a:extLst>
              <a:ext uri="{FF2B5EF4-FFF2-40B4-BE49-F238E27FC236}">
                <a16:creationId xmlns:a16="http://schemas.microsoft.com/office/drawing/2014/main" id="{F81E7300-38E9-431E-BC00-83A331455B03}"/>
              </a:ext>
            </a:extLst>
          </xdr:cNvPr>
          <xdr:cNvSpPr/>
        </xdr:nvSpPr>
        <xdr:spPr>
          <a:xfrm>
            <a:off x="13307478" y="6771289"/>
            <a:ext cx="11335" cy="11250"/>
          </a:xfrm>
          <a:custGeom>
            <a:avLst/>
            <a:gdLst>
              <a:gd name="connsiteX0" fmla="*/ 11335 w 11335"/>
              <a:gd name="connsiteY0" fmla="*/ 5625 h 11250"/>
              <a:gd name="connsiteX1" fmla="*/ 5668 w 11335"/>
              <a:gd name="connsiteY1" fmla="*/ 11250 h 11250"/>
              <a:gd name="connsiteX2" fmla="*/ 0 w 11335"/>
              <a:gd name="connsiteY2" fmla="*/ 5625 h 11250"/>
              <a:gd name="connsiteX3" fmla="*/ 5668 w 11335"/>
              <a:gd name="connsiteY3" fmla="*/ 0 h 11250"/>
              <a:gd name="connsiteX4" fmla="*/ 11335 w 11335"/>
              <a:gd name="connsiteY4" fmla="*/ 5625 h 1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335" h="11250">
                <a:moveTo>
                  <a:pt x="11335" y="5625"/>
                </a:moveTo>
                <a:cubicBezTo>
                  <a:pt x="11335" y="8732"/>
                  <a:pt x="8798" y="11250"/>
                  <a:pt x="5668" y="11250"/>
                </a:cubicBezTo>
                <a:cubicBezTo>
                  <a:pt x="2537" y="11250"/>
                  <a:pt x="0" y="8732"/>
                  <a:pt x="0" y="5625"/>
                </a:cubicBezTo>
                <a:cubicBezTo>
                  <a:pt x="0" y="2518"/>
                  <a:pt x="2537" y="0"/>
                  <a:pt x="5668" y="0"/>
                </a:cubicBezTo>
                <a:cubicBezTo>
                  <a:pt x="8798" y="0"/>
                  <a:pt x="11335" y="2518"/>
                  <a:pt x="11335" y="56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2</xdr:col>
      <xdr:colOff>169160</xdr:colOff>
      <xdr:row>17</xdr:row>
      <xdr:rowOff>141907</xdr:rowOff>
    </xdr:from>
    <xdr:to>
      <xdr:col>2</xdr:col>
      <xdr:colOff>399643</xdr:colOff>
      <xdr:row>17</xdr:row>
      <xdr:rowOff>445771</xdr:rowOff>
    </xdr:to>
    <xdr:grpSp>
      <xdr:nvGrpSpPr>
        <xdr:cNvPr id="324" name="cat" descr="Cat outline">
          <a:extLst>
            <a:ext uri="{FF2B5EF4-FFF2-40B4-BE49-F238E27FC236}">
              <a16:creationId xmlns:a16="http://schemas.microsoft.com/office/drawing/2014/main" id="{EFDA6666-752C-4D57-B77F-1BAE1CAEA2CE}"/>
            </a:ext>
          </a:extLst>
        </xdr:cNvPr>
        <xdr:cNvGrpSpPr>
          <a:grpSpLocks noChangeAspect="1"/>
        </xdr:cNvGrpSpPr>
      </xdr:nvGrpSpPr>
      <xdr:grpSpPr>
        <a:xfrm>
          <a:off x="1597910" y="8695357"/>
          <a:ext cx="230483" cy="303864"/>
          <a:chOff x="14990946" y="5312509"/>
          <a:chExt cx="230483" cy="303864"/>
        </a:xfrm>
        <a:solidFill>
          <a:srgbClr val="1F4E78"/>
        </a:solidFill>
      </xdr:grpSpPr>
      <xdr:sp macro="" textlink="">
        <xdr:nvSpPr>
          <xdr:cNvPr id="325" name="Freeform: Shape 324">
            <a:extLst>
              <a:ext uri="{FF2B5EF4-FFF2-40B4-BE49-F238E27FC236}">
                <a16:creationId xmlns:a16="http://schemas.microsoft.com/office/drawing/2014/main" id="{5BB3935E-E859-4D48-9CAB-19894CF53DE9}"/>
              </a:ext>
            </a:extLst>
          </xdr:cNvPr>
          <xdr:cNvSpPr/>
        </xdr:nvSpPr>
        <xdr:spPr>
          <a:xfrm>
            <a:off x="14990946" y="5387827"/>
            <a:ext cx="138023" cy="228545"/>
          </a:xfrm>
          <a:custGeom>
            <a:avLst/>
            <a:gdLst>
              <a:gd name="connsiteX0" fmla="*/ 125109 w 138023"/>
              <a:gd name="connsiteY0" fmla="*/ 199024 h 228545"/>
              <a:gd name="connsiteX1" fmla="*/ 124610 w 138023"/>
              <a:gd name="connsiteY1" fmla="*/ 198990 h 228545"/>
              <a:gd name="connsiteX2" fmla="*/ 109648 w 138023"/>
              <a:gd name="connsiteY2" fmla="*/ 198990 h 228545"/>
              <a:gd name="connsiteX3" fmla="*/ 134234 w 138023"/>
              <a:gd name="connsiteY3" fmla="*/ 151256 h 228545"/>
              <a:gd name="connsiteX4" fmla="*/ 111159 w 138023"/>
              <a:gd name="connsiteY4" fmla="*/ 104940 h 228545"/>
              <a:gd name="connsiteX5" fmla="*/ 105998 w 138023"/>
              <a:gd name="connsiteY5" fmla="*/ 106315 h 228545"/>
              <a:gd name="connsiteX6" fmla="*/ 107383 w 138023"/>
              <a:gd name="connsiteY6" fmla="*/ 111437 h 228545"/>
              <a:gd name="connsiteX7" fmla="*/ 107540 w 138023"/>
              <a:gd name="connsiteY7" fmla="*/ 111521 h 228545"/>
              <a:gd name="connsiteX8" fmla="*/ 126677 w 138023"/>
              <a:gd name="connsiteY8" fmla="*/ 151271 h 228545"/>
              <a:gd name="connsiteX9" fmla="*/ 95222 w 138023"/>
              <a:gd name="connsiteY9" fmla="*/ 199474 h 228545"/>
              <a:gd name="connsiteX10" fmla="*/ 93745 w 138023"/>
              <a:gd name="connsiteY10" fmla="*/ 204570 h 228545"/>
              <a:gd name="connsiteX11" fmla="*/ 97051 w 138023"/>
              <a:gd name="connsiteY11" fmla="*/ 206505 h 228545"/>
              <a:gd name="connsiteX12" fmla="*/ 124334 w 138023"/>
              <a:gd name="connsiteY12" fmla="*/ 206505 h 228545"/>
              <a:gd name="connsiteX13" fmla="*/ 130399 w 138023"/>
              <a:gd name="connsiteY13" fmla="*/ 214789 h 228545"/>
              <a:gd name="connsiteX14" fmla="*/ 122566 w 138023"/>
              <a:gd name="connsiteY14" fmla="*/ 221070 h 228545"/>
              <a:gd name="connsiteX15" fmla="*/ 71120 w 138023"/>
              <a:gd name="connsiteY15" fmla="*/ 221070 h 228545"/>
              <a:gd name="connsiteX16" fmla="*/ 55270 w 138023"/>
              <a:gd name="connsiteY16" fmla="*/ 204086 h 228545"/>
              <a:gd name="connsiteX17" fmla="*/ 55198 w 138023"/>
              <a:gd name="connsiteY17" fmla="*/ 203992 h 228545"/>
              <a:gd name="connsiteX18" fmla="*/ 54745 w 138023"/>
              <a:gd name="connsiteY18" fmla="*/ 203392 h 228545"/>
              <a:gd name="connsiteX19" fmla="*/ 54257 w 138023"/>
              <a:gd name="connsiteY19" fmla="*/ 202830 h 228545"/>
              <a:gd name="connsiteX20" fmla="*/ 54178 w 138023"/>
              <a:gd name="connsiteY20" fmla="*/ 202736 h 228545"/>
              <a:gd name="connsiteX21" fmla="*/ 51087 w 138023"/>
              <a:gd name="connsiteY21" fmla="*/ 200389 h 228545"/>
              <a:gd name="connsiteX22" fmla="*/ 7557 w 138023"/>
              <a:gd name="connsiteY22" fmla="*/ 134711 h 228545"/>
              <a:gd name="connsiteX23" fmla="*/ 23369 w 138023"/>
              <a:gd name="connsiteY23" fmla="*/ 86662 h 228545"/>
              <a:gd name="connsiteX24" fmla="*/ 25980 w 138023"/>
              <a:gd name="connsiteY24" fmla="*/ 81881 h 228545"/>
              <a:gd name="connsiteX25" fmla="*/ 20399 w 138023"/>
              <a:gd name="connsiteY25" fmla="*/ 1155 h 228545"/>
              <a:gd name="connsiteX26" fmla="*/ 15057 w 138023"/>
              <a:gd name="connsiteY26" fmla="*/ 1043 h 228545"/>
              <a:gd name="connsiteX27" fmla="*/ 14945 w 138023"/>
              <a:gd name="connsiteY27" fmla="*/ 6345 h 228545"/>
              <a:gd name="connsiteX28" fmla="*/ 15034 w 138023"/>
              <a:gd name="connsiteY28" fmla="*/ 6435 h 228545"/>
              <a:gd name="connsiteX29" fmla="*/ 19323 w 138023"/>
              <a:gd name="connsiteY29" fmla="*/ 78337 h 228545"/>
              <a:gd name="connsiteX30" fmla="*/ 16734 w 138023"/>
              <a:gd name="connsiteY30" fmla="*/ 83070 h 228545"/>
              <a:gd name="connsiteX31" fmla="*/ 0 w 138023"/>
              <a:gd name="connsiteY31" fmla="*/ 134711 h 228545"/>
              <a:gd name="connsiteX32" fmla="*/ 46515 w 138023"/>
              <a:gd name="connsiteY32" fmla="*/ 206336 h 228545"/>
              <a:gd name="connsiteX33" fmla="*/ 48911 w 138023"/>
              <a:gd name="connsiteY33" fmla="*/ 208155 h 228545"/>
              <a:gd name="connsiteX34" fmla="*/ 71120 w 138023"/>
              <a:gd name="connsiteY34" fmla="*/ 228544 h 228545"/>
              <a:gd name="connsiteX35" fmla="*/ 122566 w 138023"/>
              <a:gd name="connsiteY35" fmla="*/ 228544 h 228545"/>
              <a:gd name="connsiteX36" fmla="*/ 137887 w 138023"/>
              <a:gd name="connsiteY36" fmla="*/ 215745 h 228545"/>
              <a:gd name="connsiteX37" fmla="*/ 125109 w 138023"/>
              <a:gd name="connsiteY37" fmla="*/ 199024 h 22854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</a:cxnLst>
            <a:rect l="l" t="t" r="r" b="b"/>
            <a:pathLst>
              <a:path w="138023" h="228545">
                <a:moveTo>
                  <a:pt x="125109" y="199024"/>
                </a:moveTo>
                <a:cubicBezTo>
                  <a:pt x="124944" y="199001"/>
                  <a:pt x="124777" y="198990"/>
                  <a:pt x="124610" y="198990"/>
                </a:cubicBezTo>
                <a:lnTo>
                  <a:pt x="109648" y="198990"/>
                </a:lnTo>
                <a:cubicBezTo>
                  <a:pt x="125042" y="187879"/>
                  <a:pt x="134174" y="170147"/>
                  <a:pt x="134234" y="151256"/>
                </a:cubicBezTo>
                <a:cubicBezTo>
                  <a:pt x="134234" y="125651"/>
                  <a:pt x="128627" y="114397"/>
                  <a:pt x="111159" y="104940"/>
                </a:cubicBezTo>
                <a:cubicBezTo>
                  <a:pt x="109352" y="103905"/>
                  <a:pt x="107041" y="104521"/>
                  <a:pt x="105998" y="106315"/>
                </a:cubicBezTo>
                <a:cubicBezTo>
                  <a:pt x="104956" y="108109"/>
                  <a:pt x="105576" y="110402"/>
                  <a:pt x="107383" y="111437"/>
                </a:cubicBezTo>
                <a:cubicBezTo>
                  <a:pt x="107435" y="111466"/>
                  <a:pt x="107487" y="111494"/>
                  <a:pt x="107540" y="111521"/>
                </a:cubicBezTo>
                <a:cubicBezTo>
                  <a:pt x="122562" y="119659"/>
                  <a:pt x="126677" y="128201"/>
                  <a:pt x="126677" y="151271"/>
                </a:cubicBezTo>
                <a:cubicBezTo>
                  <a:pt x="126677" y="176846"/>
                  <a:pt x="109572" y="191602"/>
                  <a:pt x="95222" y="199474"/>
                </a:cubicBezTo>
                <a:cubicBezTo>
                  <a:pt x="93396" y="200476"/>
                  <a:pt x="92735" y="202758"/>
                  <a:pt x="93745" y="204570"/>
                </a:cubicBezTo>
                <a:cubicBezTo>
                  <a:pt x="94411" y="205764"/>
                  <a:pt x="95677" y="206505"/>
                  <a:pt x="97051" y="206505"/>
                </a:cubicBezTo>
                <a:lnTo>
                  <a:pt x="124334" y="206505"/>
                </a:lnTo>
                <a:cubicBezTo>
                  <a:pt x="128273" y="207195"/>
                  <a:pt x="130954" y="210857"/>
                  <a:pt x="130399" y="214789"/>
                </a:cubicBezTo>
                <a:cubicBezTo>
                  <a:pt x="129691" y="218504"/>
                  <a:pt x="126375" y="221163"/>
                  <a:pt x="122566" y="221070"/>
                </a:cubicBezTo>
                <a:lnTo>
                  <a:pt x="71120" y="221070"/>
                </a:lnTo>
                <a:cubicBezTo>
                  <a:pt x="69488" y="221070"/>
                  <a:pt x="62018" y="218186"/>
                  <a:pt x="55270" y="204086"/>
                </a:cubicBezTo>
                <a:cubicBezTo>
                  <a:pt x="55270" y="204049"/>
                  <a:pt x="55217" y="204030"/>
                  <a:pt x="55198" y="203992"/>
                </a:cubicBezTo>
                <a:cubicBezTo>
                  <a:pt x="55067" y="203778"/>
                  <a:pt x="54915" y="203577"/>
                  <a:pt x="54745" y="203392"/>
                </a:cubicBezTo>
                <a:cubicBezTo>
                  <a:pt x="54602" y="203189"/>
                  <a:pt x="54438" y="203000"/>
                  <a:pt x="54257" y="202830"/>
                </a:cubicBezTo>
                <a:cubicBezTo>
                  <a:pt x="54227" y="202804"/>
                  <a:pt x="54212" y="202762"/>
                  <a:pt x="54178" y="202736"/>
                </a:cubicBezTo>
                <a:cubicBezTo>
                  <a:pt x="53275" y="202039"/>
                  <a:pt x="52236" y="201255"/>
                  <a:pt x="51087" y="200389"/>
                </a:cubicBezTo>
                <a:cubicBezTo>
                  <a:pt x="36956" y="189724"/>
                  <a:pt x="7557" y="167569"/>
                  <a:pt x="7557" y="134711"/>
                </a:cubicBezTo>
                <a:cubicBezTo>
                  <a:pt x="7557" y="115417"/>
                  <a:pt x="15593" y="100800"/>
                  <a:pt x="23369" y="86662"/>
                </a:cubicBezTo>
                <a:cubicBezTo>
                  <a:pt x="24249" y="85057"/>
                  <a:pt x="25126" y="83467"/>
                  <a:pt x="25980" y="81881"/>
                </a:cubicBezTo>
                <a:cubicBezTo>
                  <a:pt x="42472" y="51341"/>
                  <a:pt x="40387" y="21165"/>
                  <a:pt x="20399" y="1155"/>
                </a:cubicBezTo>
                <a:cubicBezTo>
                  <a:pt x="18955" y="-340"/>
                  <a:pt x="16564" y="-390"/>
                  <a:pt x="15057" y="1043"/>
                </a:cubicBezTo>
                <a:cubicBezTo>
                  <a:pt x="13551" y="2476"/>
                  <a:pt x="13500" y="4850"/>
                  <a:pt x="14945" y="6345"/>
                </a:cubicBezTo>
                <a:cubicBezTo>
                  <a:pt x="14974" y="6376"/>
                  <a:pt x="15004" y="6406"/>
                  <a:pt x="15034" y="6435"/>
                </a:cubicBezTo>
                <a:cubicBezTo>
                  <a:pt x="32819" y="24240"/>
                  <a:pt x="34383" y="50449"/>
                  <a:pt x="19323" y="78337"/>
                </a:cubicBezTo>
                <a:cubicBezTo>
                  <a:pt x="18471" y="79905"/>
                  <a:pt x="17608" y="81482"/>
                  <a:pt x="16734" y="83070"/>
                </a:cubicBezTo>
                <a:cubicBezTo>
                  <a:pt x="8890" y="97335"/>
                  <a:pt x="0" y="113505"/>
                  <a:pt x="0" y="134711"/>
                </a:cubicBezTo>
                <a:cubicBezTo>
                  <a:pt x="0" y="171289"/>
                  <a:pt x="32596" y="195855"/>
                  <a:pt x="46515" y="206336"/>
                </a:cubicBezTo>
                <a:cubicBezTo>
                  <a:pt x="47403" y="207004"/>
                  <a:pt x="48166" y="207585"/>
                  <a:pt x="48911" y="208155"/>
                </a:cubicBezTo>
                <a:cubicBezTo>
                  <a:pt x="55886" y="222191"/>
                  <a:pt x="65029" y="228544"/>
                  <a:pt x="71120" y="228544"/>
                </a:cubicBezTo>
                <a:lnTo>
                  <a:pt x="122566" y="228544"/>
                </a:lnTo>
                <a:cubicBezTo>
                  <a:pt x="130177" y="228673"/>
                  <a:pt x="136717" y="223210"/>
                  <a:pt x="137887" y="215745"/>
                </a:cubicBezTo>
                <a:cubicBezTo>
                  <a:pt x="138992" y="207630"/>
                  <a:pt x="133280" y="200156"/>
                  <a:pt x="125109" y="19902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26" name="Freeform: Shape 325">
            <a:extLst>
              <a:ext uri="{FF2B5EF4-FFF2-40B4-BE49-F238E27FC236}">
                <a16:creationId xmlns:a16="http://schemas.microsoft.com/office/drawing/2014/main" id="{7C8B35A6-CEA8-4E72-BB48-5DF1BFC255E3}"/>
              </a:ext>
            </a:extLst>
          </xdr:cNvPr>
          <xdr:cNvSpPr/>
        </xdr:nvSpPr>
        <xdr:spPr>
          <a:xfrm>
            <a:off x="15028636" y="5312509"/>
            <a:ext cx="192793" cy="303782"/>
          </a:xfrm>
          <a:custGeom>
            <a:avLst/>
            <a:gdLst>
              <a:gd name="connsiteX0" fmla="*/ 145938 w 192793"/>
              <a:gd name="connsiteY0" fmla="*/ 190852 h 303782"/>
              <a:gd name="connsiteX1" fmla="*/ 133333 w 192793"/>
              <a:gd name="connsiteY1" fmla="*/ 218876 h 303782"/>
              <a:gd name="connsiteX2" fmla="*/ 131444 w 192793"/>
              <a:gd name="connsiteY2" fmla="*/ 222071 h 303782"/>
              <a:gd name="connsiteX3" fmla="*/ 130809 w 192793"/>
              <a:gd name="connsiteY3" fmla="*/ 224029 h 303782"/>
              <a:gd name="connsiteX4" fmla="*/ 130809 w 192793"/>
              <a:gd name="connsiteY4" fmla="*/ 277530 h 303782"/>
              <a:gd name="connsiteX5" fmla="*/ 134588 w 192793"/>
              <a:gd name="connsiteY5" fmla="*/ 281280 h 303782"/>
              <a:gd name="connsiteX6" fmla="*/ 137939 w 192793"/>
              <a:gd name="connsiteY6" fmla="*/ 281280 h 303782"/>
              <a:gd name="connsiteX7" fmla="*/ 145817 w 192793"/>
              <a:gd name="connsiteY7" fmla="*/ 287512 h 303782"/>
              <a:gd name="connsiteX8" fmla="*/ 139646 w 192793"/>
              <a:gd name="connsiteY8" fmla="*/ 296172 h 303782"/>
              <a:gd name="connsiteX9" fmla="*/ 138381 w 192793"/>
              <a:gd name="connsiteY9" fmla="*/ 296280 h 303782"/>
              <a:gd name="connsiteX10" fmla="*/ 122992 w 192793"/>
              <a:gd name="connsiteY10" fmla="*/ 296280 h 303782"/>
              <a:gd name="connsiteX11" fmla="*/ 115435 w 192793"/>
              <a:gd name="connsiteY11" fmla="*/ 288780 h 303782"/>
              <a:gd name="connsiteX12" fmla="*/ 115435 w 192793"/>
              <a:gd name="connsiteY12" fmla="*/ 241504 h 303782"/>
              <a:gd name="connsiteX13" fmla="*/ 111657 w 192793"/>
              <a:gd name="connsiteY13" fmla="*/ 237754 h 303782"/>
              <a:gd name="connsiteX14" fmla="*/ 107878 w 192793"/>
              <a:gd name="connsiteY14" fmla="*/ 241504 h 303782"/>
              <a:gd name="connsiteX15" fmla="*/ 107878 w 192793"/>
              <a:gd name="connsiteY15" fmla="*/ 288780 h 303782"/>
              <a:gd name="connsiteX16" fmla="*/ 122992 w 192793"/>
              <a:gd name="connsiteY16" fmla="*/ 303780 h 303782"/>
              <a:gd name="connsiteX17" fmla="*/ 137693 w 192793"/>
              <a:gd name="connsiteY17" fmla="*/ 303780 h 303782"/>
              <a:gd name="connsiteX18" fmla="*/ 153408 w 192793"/>
              <a:gd name="connsiteY18" fmla="*/ 290280 h 303782"/>
              <a:gd name="connsiteX19" fmla="*/ 139841 w 192793"/>
              <a:gd name="connsiteY19" fmla="*/ 273853 h 303782"/>
              <a:gd name="connsiteX20" fmla="*/ 138381 w 192793"/>
              <a:gd name="connsiteY20" fmla="*/ 273780 h 303782"/>
              <a:gd name="connsiteX21" fmla="*/ 138381 w 192793"/>
              <a:gd name="connsiteY21" fmla="*/ 225086 h 303782"/>
              <a:gd name="connsiteX22" fmla="*/ 153449 w 192793"/>
              <a:gd name="connsiteY22" fmla="*/ 191865 h 303782"/>
              <a:gd name="connsiteX23" fmla="*/ 155761 w 192793"/>
              <a:gd name="connsiteY23" fmla="*/ 166042 h 303782"/>
              <a:gd name="connsiteX24" fmla="*/ 155761 w 192793"/>
              <a:gd name="connsiteY24" fmla="*/ 164059 h 303782"/>
              <a:gd name="connsiteX25" fmla="*/ 151065 w 192793"/>
              <a:gd name="connsiteY25" fmla="*/ 131332 h 303782"/>
              <a:gd name="connsiteX26" fmla="*/ 148352 w 192793"/>
              <a:gd name="connsiteY26" fmla="*/ 115991 h 303782"/>
              <a:gd name="connsiteX27" fmla="*/ 159880 w 192793"/>
              <a:gd name="connsiteY27" fmla="*/ 105292 h 303782"/>
              <a:gd name="connsiteX28" fmla="*/ 192789 w 192793"/>
              <a:gd name="connsiteY28" fmla="*/ 72124 h 303782"/>
              <a:gd name="connsiteX29" fmla="*/ 189899 w 192793"/>
              <a:gd name="connsiteY29" fmla="*/ 63379 h 303782"/>
              <a:gd name="connsiteX30" fmla="*/ 159449 w 192793"/>
              <a:gd name="connsiteY30" fmla="*/ 19477 h 303782"/>
              <a:gd name="connsiteX31" fmla="*/ 159449 w 192793"/>
              <a:gd name="connsiteY31" fmla="*/ 7789 h 303782"/>
              <a:gd name="connsiteX32" fmla="*/ 155788 w 192793"/>
              <a:gd name="connsiteY32" fmla="*/ 1039 h 303782"/>
              <a:gd name="connsiteX33" fmla="*/ 146795 w 192793"/>
              <a:gd name="connsiteY33" fmla="*/ 2070 h 303782"/>
              <a:gd name="connsiteX34" fmla="*/ 95686 w 192793"/>
              <a:gd name="connsiteY34" fmla="*/ 49530 h 303782"/>
              <a:gd name="connsiteX35" fmla="*/ 85231 w 192793"/>
              <a:gd name="connsiteY35" fmla="*/ 73597 h 303782"/>
              <a:gd name="connsiteX36" fmla="*/ 85231 w 192793"/>
              <a:gd name="connsiteY36" fmla="*/ 75802 h 303782"/>
              <a:gd name="connsiteX37" fmla="*/ 61522 w 192793"/>
              <a:gd name="connsiteY37" fmla="*/ 104332 h 303782"/>
              <a:gd name="connsiteX38" fmla="*/ 29 w 192793"/>
              <a:gd name="connsiteY38" fmla="*/ 219221 h 303782"/>
              <a:gd name="connsiteX39" fmla="*/ 2693 w 192793"/>
              <a:gd name="connsiteY39" fmla="*/ 254126 h 303782"/>
              <a:gd name="connsiteX40" fmla="*/ 6399 w 192793"/>
              <a:gd name="connsiteY40" fmla="*/ 257171 h 303782"/>
              <a:gd name="connsiteX41" fmla="*/ 7117 w 192793"/>
              <a:gd name="connsiteY41" fmla="*/ 257100 h 303782"/>
              <a:gd name="connsiteX42" fmla="*/ 10113 w 192793"/>
              <a:gd name="connsiteY42" fmla="*/ 252712 h 303782"/>
              <a:gd name="connsiteX43" fmla="*/ 7586 w 192793"/>
              <a:gd name="connsiteY43" fmla="*/ 219221 h 303782"/>
              <a:gd name="connsiteX44" fmla="*/ 66282 w 192793"/>
              <a:gd name="connsiteY44" fmla="*/ 110160 h 303782"/>
              <a:gd name="connsiteX45" fmla="*/ 92788 w 192793"/>
              <a:gd name="connsiteY45" fmla="*/ 75802 h 303782"/>
              <a:gd name="connsiteX46" fmla="*/ 92788 w 192793"/>
              <a:gd name="connsiteY46" fmla="*/ 73597 h 303782"/>
              <a:gd name="connsiteX47" fmla="*/ 100851 w 192793"/>
              <a:gd name="connsiteY47" fmla="*/ 55005 h 303782"/>
              <a:gd name="connsiteX48" fmla="*/ 151858 w 192793"/>
              <a:gd name="connsiteY48" fmla="*/ 7462 h 303782"/>
              <a:gd name="connsiteX49" fmla="*/ 151912 w 192793"/>
              <a:gd name="connsiteY49" fmla="*/ 7463 h 303782"/>
              <a:gd name="connsiteX50" fmla="*/ 151923 w 192793"/>
              <a:gd name="connsiteY50" fmla="*/ 7489 h 303782"/>
              <a:gd name="connsiteX51" fmla="*/ 151923 w 192793"/>
              <a:gd name="connsiteY51" fmla="*/ 20655 h 303782"/>
              <a:gd name="connsiteX52" fmla="*/ 152591 w 192793"/>
              <a:gd name="connsiteY52" fmla="*/ 22781 h 303782"/>
              <a:gd name="connsiteX53" fmla="*/ 183869 w 192793"/>
              <a:gd name="connsiteY53" fmla="*/ 67860 h 303782"/>
              <a:gd name="connsiteX54" fmla="*/ 182051 w 192793"/>
              <a:gd name="connsiteY54" fmla="*/ 82725 h 303782"/>
              <a:gd name="connsiteX55" fmla="*/ 159071 w 192793"/>
              <a:gd name="connsiteY55" fmla="*/ 97826 h 303782"/>
              <a:gd name="connsiteX56" fmla="*/ 140810 w 192793"/>
              <a:gd name="connsiteY56" fmla="*/ 115965 h 303782"/>
              <a:gd name="connsiteX57" fmla="*/ 143833 w 192793"/>
              <a:gd name="connsiteY57" fmla="*/ 133511 h 303782"/>
              <a:gd name="connsiteX58" fmla="*/ 148205 w 192793"/>
              <a:gd name="connsiteY58" fmla="*/ 164059 h 303782"/>
              <a:gd name="connsiteX59" fmla="*/ 148205 w 192793"/>
              <a:gd name="connsiteY59" fmla="*/ 166076 h 303782"/>
              <a:gd name="connsiteX60" fmla="*/ 146036 w 192793"/>
              <a:gd name="connsiteY60" fmla="*/ 190421 h 30378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</a:cxnLst>
            <a:rect l="l" t="t" r="r" b="b"/>
            <a:pathLst>
              <a:path w="192793" h="303782">
                <a:moveTo>
                  <a:pt x="145938" y="190852"/>
                </a:moveTo>
                <a:cubicBezTo>
                  <a:pt x="145938" y="190946"/>
                  <a:pt x="144574" y="200340"/>
                  <a:pt x="133333" y="218876"/>
                </a:cubicBezTo>
                <a:cubicBezTo>
                  <a:pt x="132710" y="219904"/>
                  <a:pt x="131444" y="222071"/>
                  <a:pt x="131444" y="222071"/>
                </a:cubicBezTo>
                <a:cubicBezTo>
                  <a:pt x="131049" y="222650"/>
                  <a:pt x="130828" y="223329"/>
                  <a:pt x="130809" y="224029"/>
                </a:cubicBezTo>
                <a:lnTo>
                  <a:pt x="130809" y="277530"/>
                </a:lnTo>
                <a:cubicBezTo>
                  <a:pt x="130809" y="279601"/>
                  <a:pt x="132501" y="281280"/>
                  <a:pt x="134588" y="281280"/>
                </a:cubicBezTo>
                <a:lnTo>
                  <a:pt x="137939" y="281280"/>
                </a:lnTo>
                <a:cubicBezTo>
                  <a:pt x="141738" y="281194"/>
                  <a:pt x="145054" y="283818"/>
                  <a:pt x="145817" y="287512"/>
                </a:cubicBezTo>
                <a:cubicBezTo>
                  <a:pt x="146522" y="291595"/>
                  <a:pt x="143759" y="295472"/>
                  <a:pt x="139646" y="296172"/>
                </a:cubicBezTo>
                <a:cubicBezTo>
                  <a:pt x="139228" y="296243"/>
                  <a:pt x="138805" y="296279"/>
                  <a:pt x="138381" y="296280"/>
                </a:cubicBezTo>
                <a:lnTo>
                  <a:pt x="122992" y="296280"/>
                </a:lnTo>
                <a:cubicBezTo>
                  <a:pt x="118818" y="296280"/>
                  <a:pt x="115435" y="292922"/>
                  <a:pt x="115435" y="288780"/>
                </a:cubicBezTo>
                <a:lnTo>
                  <a:pt x="115435" y="241504"/>
                </a:lnTo>
                <a:cubicBezTo>
                  <a:pt x="115435" y="239432"/>
                  <a:pt x="113743" y="237754"/>
                  <a:pt x="111657" y="237754"/>
                </a:cubicBezTo>
                <a:cubicBezTo>
                  <a:pt x="109570" y="237754"/>
                  <a:pt x="107878" y="239432"/>
                  <a:pt x="107878" y="241504"/>
                </a:cubicBezTo>
                <a:lnTo>
                  <a:pt x="107878" y="288780"/>
                </a:lnTo>
                <a:cubicBezTo>
                  <a:pt x="107878" y="297064"/>
                  <a:pt x="114645" y="303780"/>
                  <a:pt x="122992" y="303780"/>
                </a:cubicBezTo>
                <a:lnTo>
                  <a:pt x="137693" y="303780"/>
                </a:lnTo>
                <a:cubicBezTo>
                  <a:pt x="145633" y="303914"/>
                  <a:pt x="152403" y="298098"/>
                  <a:pt x="153408" y="290280"/>
                </a:cubicBezTo>
                <a:cubicBezTo>
                  <a:pt x="154232" y="282026"/>
                  <a:pt x="148158" y="274671"/>
                  <a:pt x="139841" y="273853"/>
                </a:cubicBezTo>
                <a:cubicBezTo>
                  <a:pt x="139356" y="273805"/>
                  <a:pt x="138869" y="273781"/>
                  <a:pt x="138381" y="273780"/>
                </a:cubicBezTo>
                <a:lnTo>
                  <a:pt x="138381" y="225086"/>
                </a:lnTo>
                <a:cubicBezTo>
                  <a:pt x="151352" y="204326"/>
                  <a:pt x="153256" y="193245"/>
                  <a:pt x="153449" y="191865"/>
                </a:cubicBezTo>
                <a:cubicBezTo>
                  <a:pt x="155263" y="183381"/>
                  <a:pt x="156039" y="174711"/>
                  <a:pt x="155761" y="166042"/>
                </a:cubicBezTo>
                <a:lnTo>
                  <a:pt x="155761" y="164059"/>
                </a:lnTo>
                <a:cubicBezTo>
                  <a:pt x="156055" y="152966"/>
                  <a:pt x="154467" y="141903"/>
                  <a:pt x="151065" y="131332"/>
                </a:cubicBezTo>
                <a:cubicBezTo>
                  <a:pt x="149296" y="126407"/>
                  <a:pt x="148379" y="121220"/>
                  <a:pt x="148352" y="115991"/>
                </a:cubicBezTo>
                <a:cubicBezTo>
                  <a:pt x="148592" y="109892"/>
                  <a:pt x="153733" y="105121"/>
                  <a:pt x="159880" y="105292"/>
                </a:cubicBezTo>
                <a:cubicBezTo>
                  <a:pt x="178105" y="104942"/>
                  <a:pt x="192717" y="90216"/>
                  <a:pt x="192789" y="72124"/>
                </a:cubicBezTo>
                <a:cubicBezTo>
                  <a:pt x="192868" y="68965"/>
                  <a:pt x="191847" y="65877"/>
                  <a:pt x="189899" y="63379"/>
                </a:cubicBezTo>
                <a:lnTo>
                  <a:pt x="159449" y="19477"/>
                </a:lnTo>
                <a:lnTo>
                  <a:pt x="159449" y="7789"/>
                </a:lnTo>
                <a:cubicBezTo>
                  <a:pt x="159527" y="5052"/>
                  <a:pt x="158132" y="2481"/>
                  <a:pt x="155788" y="1039"/>
                </a:cubicBezTo>
                <a:cubicBezTo>
                  <a:pt x="152898" y="-663"/>
                  <a:pt x="149218" y="-242"/>
                  <a:pt x="146795" y="2070"/>
                </a:cubicBezTo>
                <a:lnTo>
                  <a:pt x="95686" y="49530"/>
                </a:lnTo>
                <a:cubicBezTo>
                  <a:pt x="89013" y="55784"/>
                  <a:pt x="85232" y="64489"/>
                  <a:pt x="85231" y="73597"/>
                </a:cubicBezTo>
                <a:lnTo>
                  <a:pt x="85231" y="75802"/>
                </a:lnTo>
                <a:cubicBezTo>
                  <a:pt x="85231" y="85249"/>
                  <a:pt x="74769" y="93671"/>
                  <a:pt x="61522" y="104332"/>
                </a:cubicBezTo>
                <a:cubicBezTo>
                  <a:pt x="35572" y="125224"/>
                  <a:pt x="29" y="153832"/>
                  <a:pt x="29" y="219221"/>
                </a:cubicBezTo>
                <a:cubicBezTo>
                  <a:pt x="-177" y="230913"/>
                  <a:pt x="715" y="242598"/>
                  <a:pt x="2693" y="254126"/>
                </a:cubicBezTo>
                <a:cubicBezTo>
                  <a:pt x="3033" y="255892"/>
                  <a:pt x="4588" y="257169"/>
                  <a:pt x="6399" y="257171"/>
                </a:cubicBezTo>
                <a:cubicBezTo>
                  <a:pt x="6640" y="257171"/>
                  <a:pt x="6881" y="257147"/>
                  <a:pt x="7117" y="257100"/>
                </a:cubicBezTo>
                <a:cubicBezTo>
                  <a:pt x="9165" y="256708"/>
                  <a:pt x="10506" y="254745"/>
                  <a:pt x="10113" y="252712"/>
                </a:cubicBezTo>
                <a:cubicBezTo>
                  <a:pt x="8228" y="241650"/>
                  <a:pt x="7382" y="230438"/>
                  <a:pt x="7586" y="219221"/>
                </a:cubicBezTo>
                <a:cubicBezTo>
                  <a:pt x="7586" y="157406"/>
                  <a:pt x="41512" y="130099"/>
                  <a:pt x="66282" y="110160"/>
                </a:cubicBezTo>
                <a:cubicBezTo>
                  <a:pt x="81090" y="98239"/>
                  <a:pt x="92788" y="88822"/>
                  <a:pt x="92788" y="75802"/>
                </a:cubicBezTo>
                <a:lnTo>
                  <a:pt x="92788" y="73597"/>
                </a:lnTo>
                <a:cubicBezTo>
                  <a:pt x="92783" y="66563"/>
                  <a:pt x="95700" y="59837"/>
                  <a:pt x="100851" y="55005"/>
                </a:cubicBezTo>
                <a:lnTo>
                  <a:pt x="151858" y="7462"/>
                </a:lnTo>
                <a:cubicBezTo>
                  <a:pt x="151873" y="7448"/>
                  <a:pt x="151897" y="7448"/>
                  <a:pt x="151912" y="7463"/>
                </a:cubicBezTo>
                <a:cubicBezTo>
                  <a:pt x="151918" y="7470"/>
                  <a:pt x="151923" y="7479"/>
                  <a:pt x="151923" y="7489"/>
                </a:cubicBezTo>
                <a:lnTo>
                  <a:pt x="151923" y="20655"/>
                </a:lnTo>
                <a:cubicBezTo>
                  <a:pt x="151923" y="21415"/>
                  <a:pt x="152156" y="22156"/>
                  <a:pt x="152591" y="22781"/>
                </a:cubicBezTo>
                <a:lnTo>
                  <a:pt x="183869" y="67860"/>
                </a:lnTo>
                <a:cubicBezTo>
                  <a:pt x="186268" y="70837"/>
                  <a:pt x="185508" y="75360"/>
                  <a:pt x="182051" y="82725"/>
                </a:cubicBezTo>
                <a:cubicBezTo>
                  <a:pt x="177824" y="91614"/>
                  <a:pt x="168968" y="97434"/>
                  <a:pt x="159071" y="97826"/>
                </a:cubicBezTo>
                <a:cubicBezTo>
                  <a:pt x="149074" y="98047"/>
                  <a:pt x="141024" y="106042"/>
                  <a:pt x="140810" y="115965"/>
                </a:cubicBezTo>
                <a:cubicBezTo>
                  <a:pt x="140832" y="121939"/>
                  <a:pt x="141853" y="127869"/>
                  <a:pt x="143833" y="133511"/>
                </a:cubicBezTo>
                <a:cubicBezTo>
                  <a:pt x="147029" y="143373"/>
                  <a:pt x="148507" y="153704"/>
                  <a:pt x="148205" y="164059"/>
                </a:cubicBezTo>
                <a:lnTo>
                  <a:pt x="148205" y="166076"/>
                </a:lnTo>
                <a:cubicBezTo>
                  <a:pt x="148475" y="174248"/>
                  <a:pt x="147747" y="182423"/>
                  <a:pt x="146036" y="19042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27" name="Freeform: Shape 326">
            <a:extLst>
              <a:ext uri="{FF2B5EF4-FFF2-40B4-BE49-F238E27FC236}">
                <a16:creationId xmlns:a16="http://schemas.microsoft.com/office/drawing/2014/main" id="{632A075D-4C84-43AD-BBBA-2D0CE5B25A52}"/>
              </a:ext>
            </a:extLst>
          </xdr:cNvPr>
          <xdr:cNvSpPr/>
        </xdr:nvSpPr>
        <xdr:spPr>
          <a:xfrm>
            <a:off x="15179859" y="5357539"/>
            <a:ext cx="11335" cy="11250"/>
          </a:xfrm>
          <a:custGeom>
            <a:avLst/>
            <a:gdLst>
              <a:gd name="connsiteX0" fmla="*/ 11335 w 11335"/>
              <a:gd name="connsiteY0" fmla="*/ 5625 h 11250"/>
              <a:gd name="connsiteX1" fmla="*/ 5668 w 11335"/>
              <a:gd name="connsiteY1" fmla="*/ 11250 h 11250"/>
              <a:gd name="connsiteX2" fmla="*/ 0 w 11335"/>
              <a:gd name="connsiteY2" fmla="*/ 5625 h 11250"/>
              <a:gd name="connsiteX3" fmla="*/ 5668 w 11335"/>
              <a:gd name="connsiteY3" fmla="*/ 0 h 11250"/>
              <a:gd name="connsiteX4" fmla="*/ 11335 w 11335"/>
              <a:gd name="connsiteY4" fmla="*/ 5625 h 1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335" h="11250">
                <a:moveTo>
                  <a:pt x="11335" y="5625"/>
                </a:moveTo>
                <a:cubicBezTo>
                  <a:pt x="11335" y="8732"/>
                  <a:pt x="8798" y="11250"/>
                  <a:pt x="5668" y="11250"/>
                </a:cubicBezTo>
                <a:cubicBezTo>
                  <a:pt x="2537" y="11250"/>
                  <a:pt x="0" y="8732"/>
                  <a:pt x="0" y="5625"/>
                </a:cubicBezTo>
                <a:cubicBezTo>
                  <a:pt x="0" y="2518"/>
                  <a:pt x="2537" y="0"/>
                  <a:pt x="5668" y="0"/>
                </a:cubicBezTo>
                <a:cubicBezTo>
                  <a:pt x="8798" y="0"/>
                  <a:pt x="11335" y="2518"/>
                  <a:pt x="11335" y="56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146335</xdr:colOff>
      <xdr:row>6</xdr:row>
      <xdr:rowOff>142870</xdr:rowOff>
    </xdr:from>
    <xdr:to>
      <xdr:col>4</xdr:col>
      <xdr:colOff>432986</xdr:colOff>
      <xdr:row>6</xdr:row>
      <xdr:rowOff>439120</xdr:rowOff>
    </xdr:to>
    <xdr:sp macro="" textlink="">
      <xdr:nvSpPr>
        <xdr:cNvPr id="328" name="crab" descr="Crab outline">
          <a:extLst>
            <a:ext uri="{FF2B5EF4-FFF2-40B4-BE49-F238E27FC236}">
              <a16:creationId xmlns:a16="http://schemas.microsoft.com/office/drawing/2014/main" id="{2E5C3130-F90E-432C-A5BC-501C0D4B1EB0}"/>
            </a:ext>
          </a:extLst>
        </xdr:cNvPr>
        <xdr:cNvSpPr>
          <a:spLocks noChangeAspect="1"/>
        </xdr:cNvSpPr>
      </xdr:nvSpPr>
      <xdr:spPr>
        <a:xfrm>
          <a:off x="3203860" y="1724020"/>
          <a:ext cx="286651" cy="296250"/>
        </a:xfrm>
        <a:custGeom>
          <a:avLst/>
          <a:gdLst>
            <a:gd name="connsiteX0" fmla="*/ 247187 w 286651"/>
            <a:gd name="connsiteY0" fmla="*/ 111971 h 296250"/>
            <a:gd name="connsiteX1" fmla="*/ 286652 w 286651"/>
            <a:gd name="connsiteY1" fmla="*/ 56250 h 296250"/>
            <a:gd name="connsiteX2" fmla="*/ 241311 w 286651"/>
            <a:gd name="connsiteY2" fmla="*/ 0 h 296250"/>
            <a:gd name="connsiteX3" fmla="*/ 237533 w 286651"/>
            <a:gd name="connsiteY3" fmla="*/ 0 h 296250"/>
            <a:gd name="connsiteX4" fmla="*/ 237533 w 286651"/>
            <a:gd name="connsiteY4" fmla="*/ 73448 h 296250"/>
            <a:gd name="connsiteX5" fmla="*/ 198937 w 286651"/>
            <a:gd name="connsiteY5" fmla="*/ 35141 h 296250"/>
            <a:gd name="connsiteX6" fmla="*/ 197505 w 286651"/>
            <a:gd name="connsiteY6" fmla="*/ 41921 h 296250"/>
            <a:gd name="connsiteX7" fmla="*/ 195971 w 286651"/>
            <a:gd name="connsiteY7" fmla="*/ 56250 h 296250"/>
            <a:gd name="connsiteX8" fmla="*/ 236328 w 286651"/>
            <a:gd name="connsiteY8" fmla="*/ 112144 h 296250"/>
            <a:gd name="connsiteX9" fmla="*/ 218411 w 286651"/>
            <a:gd name="connsiteY9" fmla="*/ 129923 h 296250"/>
            <a:gd name="connsiteX10" fmla="*/ 200789 w 286651"/>
            <a:gd name="connsiteY10" fmla="*/ 115331 h 296250"/>
            <a:gd name="connsiteX11" fmla="*/ 175315 w 286651"/>
            <a:gd name="connsiteY11" fmla="*/ 109009 h 296250"/>
            <a:gd name="connsiteX12" fmla="*/ 177462 w 286651"/>
            <a:gd name="connsiteY12" fmla="*/ 87903 h 296250"/>
            <a:gd name="connsiteX13" fmla="*/ 156197 w 286651"/>
            <a:gd name="connsiteY13" fmla="*/ 85772 h 296250"/>
            <a:gd name="connsiteX14" fmla="*/ 152218 w 286651"/>
            <a:gd name="connsiteY14" fmla="*/ 104059 h 296250"/>
            <a:gd name="connsiteX15" fmla="*/ 134407 w 286651"/>
            <a:gd name="connsiteY15" fmla="*/ 104104 h 296250"/>
            <a:gd name="connsiteX16" fmla="*/ 136020 w 286651"/>
            <a:gd name="connsiteY16" fmla="*/ 97500 h 296250"/>
            <a:gd name="connsiteX17" fmla="*/ 120974 w 286651"/>
            <a:gd name="connsiteY17" fmla="*/ 82434 h 296250"/>
            <a:gd name="connsiteX18" fmla="*/ 105794 w 286651"/>
            <a:gd name="connsiteY18" fmla="*/ 97368 h 296250"/>
            <a:gd name="connsiteX19" fmla="*/ 111438 w 286651"/>
            <a:gd name="connsiteY19" fmla="*/ 109125 h 296250"/>
            <a:gd name="connsiteX20" fmla="*/ 86350 w 286651"/>
            <a:gd name="connsiteY20" fmla="*/ 115350 h 296250"/>
            <a:gd name="connsiteX21" fmla="*/ 68562 w 286651"/>
            <a:gd name="connsiteY21" fmla="*/ 130279 h 296250"/>
            <a:gd name="connsiteX22" fmla="*/ 50309 w 286651"/>
            <a:gd name="connsiteY22" fmla="*/ 112163 h 296250"/>
            <a:gd name="connsiteX23" fmla="*/ 90669 w 286651"/>
            <a:gd name="connsiteY23" fmla="*/ 56288 h 296250"/>
            <a:gd name="connsiteX24" fmla="*/ 89135 w 286651"/>
            <a:gd name="connsiteY24" fmla="*/ 41959 h 296250"/>
            <a:gd name="connsiteX25" fmla="*/ 87703 w 286651"/>
            <a:gd name="connsiteY25" fmla="*/ 35179 h 296250"/>
            <a:gd name="connsiteX26" fmla="*/ 49118 w 286651"/>
            <a:gd name="connsiteY26" fmla="*/ 73448 h 296250"/>
            <a:gd name="connsiteX27" fmla="*/ 49118 w 286651"/>
            <a:gd name="connsiteY27" fmla="*/ 0 h 296250"/>
            <a:gd name="connsiteX28" fmla="*/ 45340 w 286651"/>
            <a:gd name="connsiteY28" fmla="*/ 0 h 296250"/>
            <a:gd name="connsiteX29" fmla="*/ 0 w 286651"/>
            <a:gd name="connsiteY29" fmla="*/ 56250 h 296250"/>
            <a:gd name="connsiteX30" fmla="*/ 39465 w 286651"/>
            <a:gd name="connsiteY30" fmla="*/ 111971 h 296250"/>
            <a:gd name="connsiteX31" fmla="*/ 66401 w 286651"/>
            <a:gd name="connsiteY31" fmla="*/ 138705 h 296250"/>
            <a:gd name="connsiteX32" fmla="*/ 63877 w 286651"/>
            <a:gd name="connsiteY32" fmla="*/ 161250 h 296250"/>
            <a:gd name="connsiteX33" fmla="*/ 43776 w 286651"/>
            <a:gd name="connsiteY33" fmla="*/ 161250 h 296250"/>
            <a:gd name="connsiteX34" fmla="*/ 20003 w 286651"/>
            <a:gd name="connsiteY34" fmla="*/ 184849 h 296250"/>
            <a:gd name="connsiteX35" fmla="*/ 19910 w 286651"/>
            <a:gd name="connsiteY35" fmla="*/ 190151 h 296250"/>
            <a:gd name="connsiteX36" fmla="*/ 25252 w 286651"/>
            <a:gd name="connsiteY36" fmla="*/ 190244 h 296250"/>
            <a:gd name="connsiteX37" fmla="*/ 25345 w 286651"/>
            <a:gd name="connsiteY37" fmla="*/ 190151 h 296250"/>
            <a:gd name="connsiteX38" fmla="*/ 46904 w 286651"/>
            <a:gd name="connsiteY38" fmla="*/ 168750 h 296250"/>
            <a:gd name="connsiteX39" fmla="*/ 63038 w 286651"/>
            <a:gd name="connsiteY39" fmla="*/ 168750 h 296250"/>
            <a:gd name="connsiteX40" fmla="*/ 60098 w 286651"/>
            <a:gd name="connsiteY40" fmla="*/ 195000 h 296250"/>
            <a:gd name="connsiteX41" fmla="*/ 51333 w 286651"/>
            <a:gd name="connsiteY41" fmla="*/ 195000 h 296250"/>
            <a:gd name="connsiteX42" fmla="*/ 27559 w 286651"/>
            <a:gd name="connsiteY42" fmla="*/ 218599 h 296250"/>
            <a:gd name="connsiteX43" fmla="*/ 27466 w 286651"/>
            <a:gd name="connsiteY43" fmla="*/ 223901 h 296250"/>
            <a:gd name="connsiteX44" fmla="*/ 32809 w 286651"/>
            <a:gd name="connsiteY44" fmla="*/ 223993 h 296250"/>
            <a:gd name="connsiteX45" fmla="*/ 32902 w 286651"/>
            <a:gd name="connsiteY45" fmla="*/ 223901 h 296250"/>
            <a:gd name="connsiteX46" fmla="*/ 54461 w 286651"/>
            <a:gd name="connsiteY46" fmla="*/ 202500 h 296250"/>
            <a:gd name="connsiteX47" fmla="*/ 59535 w 286651"/>
            <a:gd name="connsiteY47" fmla="*/ 202500 h 296250"/>
            <a:gd name="connsiteX48" fmla="*/ 71482 w 286651"/>
            <a:gd name="connsiteY48" fmla="*/ 223751 h 296250"/>
            <a:gd name="connsiteX49" fmla="*/ 49118 w 286651"/>
            <a:gd name="connsiteY49" fmla="*/ 245948 h 296250"/>
            <a:gd name="connsiteX50" fmla="*/ 49118 w 286651"/>
            <a:gd name="connsiteY50" fmla="*/ 277500 h 296250"/>
            <a:gd name="connsiteX51" fmla="*/ 52897 w 286651"/>
            <a:gd name="connsiteY51" fmla="*/ 281250 h 296250"/>
            <a:gd name="connsiteX52" fmla="*/ 56675 w 286651"/>
            <a:gd name="connsiteY52" fmla="*/ 277500 h 296250"/>
            <a:gd name="connsiteX53" fmla="*/ 56675 w 286651"/>
            <a:gd name="connsiteY53" fmla="*/ 249053 h 296250"/>
            <a:gd name="connsiteX54" fmla="*/ 78238 w 286651"/>
            <a:gd name="connsiteY54" fmla="*/ 227651 h 296250"/>
            <a:gd name="connsiteX55" fmla="*/ 78650 w 286651"/>
            <a:gd name="connsiteY55" fmla="*/ 227036 h 296250"/>
            <a:gd name="connsiteX56" fmla="*/ 79270 w 286651"/>
            <a:gd name="connsiteY56" fmla="*/ 227228 h 296250"/>
            <a:gd name="connsiteX57" fmla="*/ 106277 w 286651"/>
            <a:gd name="connsiteY57" fmla="*/ 234218 h 296250"/>
            <a:gd name="connsiteX58" fmla="*/ 94459 w 286651"/>
            <a:gd name="connsiteY58" fmla="*/ 245948 h 296250"/>
            <a:gd name="connsiteX59" fmla="*/ 94459 w 286651"/>
            <a:gd name="connsiteY59" fmla="*/ 292500 h 296250"/>
            <a:gd name="connsiteX60" fmla="*/ 98237 w 286651"/>
            <a:gd name="connsiteY60" fmla="*/ 296250 h 296250"/>
            <a:gd name="connsiteX61" fmla="*/ 102015 w 286651"/>
            <a:gd name="connsiteY61" fmla="*/ 292500 h 296250"/>
            <a:gd name="connsiteX62" fmla="*/ 102015 w 286651"/>
            <a:gd name="connsiteY62" fmla="*/ 249053 h 296250"/>
            <a:gd name="connsiteX63" fmla="*/ 114752 w 286651"/>
            <a:gd name="connsiteY63" fmla="*/ 236411 h 296250"/>
            <a:gd name="connsiteX64" fmla="*/ 127364 w 286651"/>
            <a:gd name="connsiteY64" fmla="*/ 239678 h 296250"/>
            <a:gd name="connsiteX65" fmla="*/ 159790 w 286651"/>
            <a:gd name="connsiteY65" fmla="*/ 239678 h 296250"/>
            <a:gd name="connsiteX66" fmla="*/ 172005 w 286651"/>
            <a:gd name="connsiteY66" fmla="*/ 236516 h 296250"/>
            <a:gd name="connsiteX67" fmla="*/ 184636 w 286651"/>
            <a:gd name="connsiteY67" fmla="*/ 249053 h 296250"/>
            <a:gd name="connsiteX68" fmla="*/ 184636 w 286651"/>
            <a:gd name="connsiteY68" fmla="*/ 292500 h 296250"/>
            <a:gd name="connsiteX69" fmla="*/ 188415 w 286651"/>
            <a:gd name="connsiteY69" fmla="*/ 296250 h 296250"/>
            <a:gd name="connsiteX70" fmla="*/ 192193 w 286651"/>
            <a:gd name="connsiteY70" fmla="*/ 292500 h 296250"/>
            <a:gd name="connsiteX71" fmla="*/ 192193 w 286651"/>
            <a:gd name="connsiteY71" fmla="*/ 245948 h 296250"/>
            <a:gd name="connsiteX72" fmla="*/ 180480 w 286651"/>
            <a:gd name="connsiteY72" fmla="*/ 234323 h 296250"/>
            <a:gd name="connsiteX73" fmla="*/ 207884 w 286651"/>
            <a:gd name="connsiteY73" fmla="*/ 227228 h 296250"/>
            <a:gd name="connsiteX74" fmla="*/ 208089 w 286651"/>
            <a:gd name="connsiteY74" fmla="*/ 227164 h 296250"/>
            <a:gd name="connsiteX75" fmla="*/ 208413 w 286651"/>
            <a:gd name="connsiteY75" fmla="*/ 227651 h 296250"/>
            <a:gd name="connsiteX76" fmla="*/ 229976 w 286651"/>
            <a:gd name="connsiteY76" fmla="*/ 249053 h 296250"/>
            <a:gd name="connsiteX77" fmla="*/ 229976 w 286651"/>
            <a:gd name="connsiteY77" fmla="*/ 277500 h 296250"/>
            <a:gd name="connsiteX78" fmla="*/ 233755 w 286651"/>
            <a:gd name="connsiteY78" fmla="*/ 281250 h 296250"/>
            <a:gd name="connsiteX79" fmla="*/ 237533 w 286651"/>
            <a:gd name="connsiteY79" fmla="*/ 277500 h 296250"/>
            <a:gd name="connsiteX80" fmla="*/ 237533 w 286651"/>
            <a:gd name="connsiteY80" fmla="*/ 245948 h 296250"/>
            <a:gd name="connsiteX81" fmla="*/ 215366 w 286651"/>
            <a:gd name="connsiteY81" fmla="*/ 223946 h 296250"/>
            <a:gd name="connsiteX82" fmla="*/ 227615 w 286651"/>
            <a:gd name="connsiteY82" fmla="*/ 202500 h 296250"/>
            <a:gd name="connsiteX83" fmla="*/ 232191 w 286651"/>
            <a:gd name="connsiteY83" fmla="*/ 202500 h 296250"/>
            <a:gd name="connsiteX84" fmla="*/ 253754 w 286651"/>
            <a:gd name="connsiteY84" fmla="*/ 223901 h 296250"/>
            <a:gd name="connsiteX85" fmla="*/ 259096 w 286651"/>
            <a:gd name="connsiteY85" fmla="*/ 223809 h 296250"/>
            <a:gd name="connsiteX86" fmla="*/ 259096 w 286651"/>
            <a:gd name="connsiteY86" fmla="*/ 218599 h 296250"/>
            <a:gd name="connsiteX87" fmla="*/ 235319 w 286651"/>
            <a:gd name="connsiteY87" fmla="*/ 195000 h 296250"/>
            <a:gd name="connsiteX88" fmla="*/ 227056 w 286651"/>
            <a:gd name="connsiteY88" fmla="*/ 195000 h 296250"/>
            <a:gd name="connsiteX89" fmla="*/ 224120 w 286651"/>
            <a:gd name="connsiteY89" fmla="*/ 168750 h 296250"/>
            <a:gd name="connsiteX90" fmla="*/ 239751 w 286651"/>
            <a:gd name="connsiteY90" fmla="*/ 168750 h 296250"/>
            <a:gd name="connsiteX91" fmla="*/ 261314 w 286651"/>
            <a:gd name="connsiteY91" fmla="*/ 190151 h 296250"/>
            <a:gd name="connsiteX92" fmla="*/ 266657 w 286651"/>
            <a:gd name="connsiteY92" fmla="*/ 190059 h 296250"/>
            <a:gd name="connsiteX93" fmla="*/ 266657 w 286651"/>
            <a:gd name="connsiteY93" fmla="*/ 184849 h 296250"/>
            <a:gd name="connsiteX94" fmla="*/ 242876 w 286651"/>
            <a:gd name="connsiteY94" fmla="*/ 161250 h 296250"/>
            <a:gd name="connsiteX95" fmla="*/ 223277 w 286651"/>
            <a:gd name="connsiteY95" fmla="*/ 161250 h 296250"/>
            <a:gd name="connsiteX96" fmla="*/ 220704 w 286651"/>
            <a:gd name="connsiteY96" fmla="*/ 138259 h 296250"/>
            <a:gd name="connsiteX97" fmla="*/ 203528 w 286651"/>
            <a:gd name="connsiteY97" fmla="*/ 56250 h 296250"/>
            <a:gd name="connsiteX98" fmla="*/ 203804 w 286651"/>
            <a:gd name="connsiteY98" fmla="*/ 50576 h 296250"/>
            <a:gd name="connsiteX99" fmla="*/ 238640 w 286651"/>
            <a:gd name="connsiteY99" fmla="*/ 85151 h 296250"/>
            <a:gd name="connsiteX100" fmla="*/ 243984 w 286651"/>
            <a:gd name="connsiteY100" fmla="*/ 85151 h 296250"/>
            <a:gd name="connsiteX101" fmla="*/ 245090 w 286651"/>
            <a:gd name="connsiteY101" fmla="*/ 82500 h 296250"/>
            <a:gd name="connsiteX102" fmla="*/ 245090 w 286651"/>
            <a:gd name="connsiteY102" fmla="*/ 7740 h 296250"/>
            <a:gd name="connsiteX103" fmla="*/ 279095 w 286651"/>
            <a:gd name="connsiteY103" fmla="*/ 56250 h 296250"/>
            <a:gd name="connsiteX104" fmla="*/ 241311 w 286651"/>
            <a:gd name="connsiteY104" fmla="*/ 105000 h 296250"/>
            <a:gd name="connsiteX105" fmla="*/ 203528 w 286651"/>
            <a:gd name="connsiteY105" fmla="*/ 56250 h 296250"/>
            <a:gd name="connsiteX106" fmla="*/ 165745 w 286651"/>
            <a:gd name="connsiteY106" fmla="*/ 90000 h 296250"/>
            <a:gd name="connsiteX107" fmla="*/ 173301 w 286651"/>
            <a:gd name="connsiteY107" fmla="*/ 97500 h 296250"/>
            <a:gd name="connsiteX108" fmla="*/ 165745 w 286651"/>
            <a:gd name="connsiteY108" fmla="*/ 105000 h 296250"/>
            <a:gd name="connsiteX109" fmla="*/ 158188 w 286651"/>
            <a:gd name="connsiteY109" fmla="*/ 97500 h 296250"/>
            <a:gd name="connsiteX110" fmla="*/ 165745 w 286651"/>
            <a:gd name="connsiteY110" fmla="*/ 90000 h 296250"/>
            <a:gd name="connsiteX111" fmla="*/ 120907 w 286651"/>
            <a:gd name="connsiteY111" fmla="*/ 90000 h 296250"/>
            <a:gd name="connsiteX112" fmla="*/ 128464 w 286651"/>
            <a:gd name="connsiteY112" fmla="*/ 97500 h 296250"/>
            <a:gd name="connsiteX113" fmla="*/ 120907 w 286651"/>
            <a:gd name="connsiteY113" fmla="*/ 105000 h 296250"/>
            <a:gd name="connsiteX114" fmla="*/ 113350 w 286651"/>
            <a:gd name="connsiteY114" fmla="*/ 97500 h 296250"/>
            <a:gd name="connsiteX115" fmla="*/ 120907 w 286651"/>
            <a:gd name="connsiteY115" fmla="*/ 90000 h 296250"/>
            <a:gd name="connsiteX116" fmla="*/ 7557 w 286651"/>
            <a:gd name="connsiteY116" fmla="*/ 56250 h 296250"/>
            <a:gd name="connsiteX117" fmla="*/ 41562 w 286651"/>
            <a:gd name="connsiteY117" fmla="*/ 7740 h 296250"/>
            <a:gd name="connsiteX118" fmla="*/ 41562 w 286651"/>
            <a:gd name="connsiteY118" fmla="*/ 82500 h 296250"/>
            <a:gd name="connsiteX119" fmla="*/ 45341 w 286651"/>
            <a:gd name="connsiteY119" fmla="*/ 86249 h 296250"/>
            <a:gd name="connsiteX120" fmla="*/ 48011 w 286651"/>
            <a:gd name="connsiteY120" fmla="*/ 85151 h 296250"/>
            <a:gd name="connsiteX121" fmla="*/ 82848 w 286651"/>
            <a:gd name="connsiteY121" fmla="*/ 50576 h 296250"/>
            <a:gd name="connsiteX122" fmla="*/ 83124 w 286651"/>
            <a:gd name="connsiteY122" fmla="*/ 56250 h 296250"/>
            <a:gd name="connsiteX123" fmla="*/ 45340 w 286651"/>
            <a:gd name="connsiteY123" fmla="*/ 105000 h 296250"/>
            <a:gd name="connsiteX124" fmla="*/ 7557 w 286651"/>
            <a:gd name="connsiteY124" fmla="*/ 56250 h 296250"/>
            <a:gd name="connsiteX125" fmla="*/ 205976 w 286651"/>
            <a:gd name="connsiteY125" fmla="*/ 219967 h 296250"/>
            <a:gd name="connsiteX126" fmla="*/ 157882 w 286651"/>
            <a:gd name="connsiteY126" fmla="*/ 232421 h 296250"/>
            <a:gd name="connsiteX127" fmla="*/ 129272 w 286651"/>
            <a:gd name="connsiteY127" fmla="*/ 232421 h 296250"/>
            <a:gd name="connsiteX128" fmla="*/ 81178 w 286651"/>
            <a:gd name="connsiteY128" fmla="*/ 219967 h 296250"/>
            <a:gd name="connsiteX129" fmla="*/ 67168 w 286651"/>
            <a:gd name="connsiteY129" fmla="*/ 199755 h 296250"/>
            <a:gd name="connsiteX130" fmla="*/ 73999 w 286651"/>
            <a:gd name="connsiteY130" fmla="*/ 138728 h 296250"/>
            <a:gd name="connsiteX131" fmla="*/ 88198 w 286651"/>
            <a:gd name="connsiteY131" fmla="*/ 122603 h 296250"/>
            <a:gd name="connsiteX132" fmla="*/ 126174 w 286651"/>
            <a:gd name="connsiteY132" fmla="*/ 113186 h 296250"/>
            <a:gd name="connsiteX133" fmla="*/ 160995 w 286651"/>
            <a:gd name="connsiteY133" fmla="*/ 113186 h 296250"/>
            <a:gd name="connsiteX134" fmla="*/ 198956 w 286651"/>
            <a:gd name="connsiteY134" fmla="*/ 122625 h 296250"/>
            <a:gd name="connsiteX135" fmla="*/ 212793 w 286651"/>
            <a:gd name="connsiteY135" fmla="*/ 136875 h 296250"/>
            <a:gd name="connsiteX136" fmla="*/ 213151 w 286651"/>
            <a:gd name="connsiteY136" fmla="*/ 138750 h 296250"/>
            <a:gd name="connsiteX137" fmla="*/ 213151 w 286651"/>
            <a:gd name="connsiteY137" fmla="*/ 138750 h 296250"/>
            <a:gd name="connsiteX138" fmla="*/ 219983 w 286651"/>
            <a:gd name="connsiteY138" fmla="*/ 199778 h 296250"/>
            <a:gd name="connsiteX139" fmla="*/ 205976 w 286651"/>
            <a:gd name="connsiteY139" fmla="*/ 219967 h 296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</a:cxnLst>
          <a:rect l="l" t="t" r="r" b="b"/>
          <a:pathLst>
            <a:path w="286651" h="296250">
              <a:moveTo>
                <a:pt x="247187" y="111971"/>
              </a:moveTo>
              <a:cubicBezTo>
                <a:pt x="269415" y="108375"/>
                <a:pt x="286652" y="84791"/>
                <a:pt x="286652" y="56250"/>
              </a:cubicBezTo>
              <a:cubicBezTo>
                <a:pt x="286652" y="25234"/>
                <a:pt x="266313" y="0"/>
                <a:pt x="241311" y="0"/>
              </a:cubicBezTo>
              <a:lnTo>
                <a:pt x="237533" y="0"/>
              </a:lnTo>
              <a:lnTo>
                <a:pt x="237533" y="73448"/>
              </a:lnTo>
              <a:lnTo>
                <a:pt x="198937" y="35141"/>
              </a:lnTo>
              <a:lnTo>
                <a:pt x="197505" y="41921"/>
              </a:lnTo>
              <a:cubicBezTo>
                <a:pt x="196498" y="46632"/>
                <a:pt x="195984" y="51434"/>
                <a:pt x="195971" y="56250"/>
              </a:cubicBezTo>
              <a:cubicBezTo>
                <a:pt x="195971" y="85178"/>
                <a:pt x="213665" y="109054"/>
                <a:pt x="236328" y="112144"/>
              </a:cubicBezTo>
              <a:lnTo>
                <a:pt x="218411" y="129923"/>
              </a:lnTo>
              <a:cubicBezTo>
                <a:pt x="215066" y="122661"/>
                <a:pt x="208586" y="117296"/>
                <a:pt x="200789" y="115331"/>
              </a:cubicBezTo>
              <a:lnTo>
                <a:pt x="175315" y="109009"/>
              </a:lnTo>
              <a:cubicBezTo>
                <a:pt x="181780" y="103769"/>
                <a:pt x="182741" y="94320"/>
                <a:pt x="177462" y="87903"/>
              </a:cubicBezTo>
              <a:cubicBezTo>
                <a:pt x="172183" y="81486"/>
                <a:pt x="162662" y="80532"/>
                <a:pt x="156197" y="85772"/>
              </a:cubicBezTo>
              <a:cubicBezTo>
                <a:pt x="150734" y="90200"/>
                <a:pt x="149083" y="97788"/>
                <a:pt x="152218" y="104059"/>
              </a:cubicBezTo>
              <a:cubicBezTo>
                <a:pt x="146298" y="103414"/>
                <a:pt x="140324" y="103429"/>
                <a:pt x="134407" y="104104"/>
              </a:cubicBezTo>
              <a:cubicBezTo>
                <a:pt x="135453" y="102056"/>
                <a:pt x="136005" y="99795"/>
                <a:pt x="136020" y="97500"/>
              </a:cubicBezTo>
              <a:cubicBezTo>
                <a:pt x="136057" y="89216"/>
                <a:pt x="129321" y="82470"/>
                <a:pt x="120974" y="82434"/>
              </a:cubicBezTo>
              <a:cubicBezTo>
                <a:pt x="112627" y="82397"/>
                <a:pt x="105831" y="89084"/>
                <a:pt x="105794" y="97368"/>
              </a:cubicBezTo>
              <a:cubicBezTo>
                <a:pt x="105774" y="101935"/>
                <a:pt x="107851" y="106263"/>
                <a:pt x="111438" y="109125"/>
              </a:cubicBezTo>
              <a:lnTo>
                <a:pt x="86350" y="115350"/>
              </a:lnTo>
              <a:cubicBezTo>
                <a:pt x="78421" y="117342"/>
                <a:pt x="71859" y="122850"/>
                <a:pt x="68562" y="130279"/>
              </a:cubicBezTo>
              <a:lnTo>
                <a:pt x="50309" y="112163"/>
              </a:lnTo>
              <a:cubicBezTo>
                <a:pt x="72979" y="109072"/>
                <a:pt x="90669" y="85196"/>
                <a:pt x="90669" y="56288"/>
              </a:cubicBezTo>
              <a:cubicBezTo>
                <a:pt x="90656" y="51471"/>
                <a:pt x="90142" y="46670"/>
                <a:pt x="89135" y="41959"/>
              </a:cubicBezTo>
              <a:lnTo>
                <a:pt x="87703" y="35179"/>
              </a:lnTo>
              <a:lnTo>
                <a:pt x="49118" y="73448"/>
              </a:lnTo>
              <a:lnTo>
                <a:pt x="49118" y="0"/>
              </a:lnTo>
              <a:lnTo>
                <a:pt x="45340" y="0"/>
              </a:lnTo>
              <a:cubicBezTo>
                <a:pt x="20339" y="0"/>
                <a:pt x="0" y="25234"/>
                <a:pt x="0" y="56250"/>
              </a:cubicBezTo>
              <a:cubicBezTo>
                <a:pt x="0" y="84791"/>
                <a:pt x="17237" y="108375"/>
                <a:pt x="39465" y="111971"/>
              </a:cubicBezTo>
              <a:lnTo>
                <a:pt x="66401" y="138705"/>
              </a:lnTo>
              <a:lnTo>
                <a:pt x="63877" y="161250"/>
              </a:lnTo>
              <a:lnTo>
                <a:pt x="43776" y="161250"/>
              </a:lnTo>
              <a:lnTo>
                <a:pt x="20003" y="184849"/>
              </a:lnTo>
              <a:cubicBezTo>
                <a:pt x="18501" y="186288"/>
                <a:pt x="18460" y="188661"/>
                <a:pt x="19910" y="190151"/>
              </a:cubicBezTo>
              <a:cubicBezTo>
                <a:pt x="21359" y="191641"/>
                <a:pt x="23751" y="191682"/>
                <a:pt x="25252" y="190244"/>
              </a:cubicBezTo>
              <a:cubicBezTo>
                <a:pt x="25284" y="190213"/>
                <a:pt x="25315" y="190182"/>
                <a:pt x="25345" y="190151"/>
              </a:cubicBezTo>
              <a:lnTo>
                <a:pt x="46904" y="168750"/>
              </a:lnTo>
              <a:lnTo>
                <a:pt x="63038" y="168750"/>
              </a:lnTo>
              <a:lnTo>
                <a:pt x="60098" y="195000"/>
              </a:lnTo>
              <a:lnTo>
                <a:pt x="51333" y="195000"/>
              </a:lnTo>
              <a:lnTo>
                <a:pt x="27559" y="218599"/>
              </a:lnTo>
              <a:cubicBezTo>
                <a:pt x="26058" y="220038"/>
                <a:pt x="26017" y="222411"/>
                <a:pt x="27466" y="223901"/>
              </a:cubicBezTo>
              <a:cubicBezTo>
                <a:pt x="28916" y="225391"/>
                <a:pt x="31308" y="225432"/>
                <a:pt x="32809" y="223993"/>
              </a:cubicBezTo>
              <a:cubicBezTo>
                <a:pt x="32841" y="223963"/>
                <a:pt x="32871" y="223932"/>
                <a:pt x="32902" y="223901"/>
              </a:cubicBezTo>
              <a:lnTo>
                <a:pt x="54461" y="202500"/>
              </a:lnTo>
              <a:lnTo>
                <a:pt x="59535" y="202500"/>
              </a:lnTo>
              <a:cubicBezTo>
                <a:pt x="59805" y="211089"/>
                <a:pt x="64260" y="219013"/>
                <a:pt x="71482" y="223751"/>
              </a:cubicBezTo>
              <a:lnTo>
                <a:pt x="49118" y="245948"/>
              </a:lnTo>
              <a:lnTo>
                <a:pt x="49118" y="277500"/>
              </a:lnTo>
              <a:cubicBezTo>
                <a:pt x="49118" y="279571"/>
                <a:pt x="50810" y="281250"/>
                <a:pt x="52897" y="281250"/>
              </a:cubicBezTo>
              <a:cubicBezTo>
                <a:pt x="54984" y="281250"/>
                <a:pt x="56675" y="279571"/>
                <a:pt x="56675" y="277500"/>
              </a:cubicBezTo>
              <a:lnTo>
                <a:pt x="56675" y="249053"/>
              </a:lnTo>
              <a:lnTo>
                <a:pt x="78238" y="227651"/>
              </a:lnTo>
              <a:cubicBezTo>
                <a:pt x="78396" y="227460"/>
                <a:pt x="78534" y="227254"/>
                <a:pt x="78650" y="227036"/>
              </a:cubicBezTo>
              <a:cubicBezTo>
                <a:pt x="78858" y="227096"/>
                <a:pt x="79058" y="227171"/>
                <a:pt x="79270" y="227228"/>
              </a:cubicBezTo>
              <a:lnTo>
                <a:pt x="106277" y="234218"/>
              </a:lnTo>
              <a:lnTo>
                <a:pt x="94459" y="245948"/>
              </a:lnTo>
              <a:lnTo>
                <a:pt x="94459" y="292500"/>
              </a:lnTo>
              <a:cubicBezTo>
                <a:pt x="94459" y="294571"/>
                <a:pt x="96150" y="296250"/>
                <a:pt x="98237" y="296250"/>
              </a:cubicBezTo>
              <a:cubicBezTo>
                <a:pt x="100324" y="296250"/>
                <a:pt x="102015" y="294571"/>
                <a:pt x="102015" y="292500"/>
              </a:cubicBezTo>
              <a:lnTo>
                <a:pt x="102015" y="249053"/>
              </a:lnTo>
              <a:lnTo>
                <a:pt x="114752" y="236411"/>
              </a:lnTo>
              <a:lnTo>
                <a:pt x="127364" y="239678"/>
              </a:lnTo>
              <a:cubicBezTo>
                <a:pt x="137996" y="242423"/>
                <a:pt x="149158" y="242423"/>
                <a:pt x="159790" y="239678"/>
              </a:cubicBezTo>
              <a:lnTo>
                <a:pt x="172005" y="236516"/>
              </a:lnTo>
              <a:lnTo>
                <a:pt x="184636" y="249053"/>
              </a:lnTo>
              <a:lnTo>
                <a:pt x="184636" y="292500"/>
              </a:lnTo>
              <a:cubicBezTo>
                <a:pt x="184636" y="294571"/>
                <a:pt x="186328" y="296250"/>
                <a:pt x="188415" y="296250"/>
              </a:cubicBezTo>
              <a:cubicBezTo>
                <a:pt x="190501" y="296250"/>
                <a:pt x="192193" y="294571"/>
                <a:pt x="192193" y="292500"/>
              </a:cubicBezTo>
              <a:lnTo>
                <a:pt x="192193" y="245948"/>
              </a:lnTo>
              <a:lnTo>
                <a:pt x="180480" y="234323"/>
              </a:lnTo>
              <a:lnTo>
                <a:pt x="207884" y="227228"/>
              </a:lnTo>
              <a:lnTo>
                <a:pt x="208089" y="227164"/>
              </a:lnTo>
              <a:cubicBezTo>
                <a:pt x="208182" y="227336"/>
                <a:pt x="208291" y="227499"/>
                <a:pt x="208413" y="227651"/>
              </a:cubicBezTo>
              <a:lnTo>
                <a:pt x="229976" y="249053"/>
              </a:lnTo>
              <a:lnTo>
                <a:pt x="229976" y="277500"/>
              </a:lnTo>
              <a:cubicBezTo>
                <a:pt x="229976" y="279571"/>
                <a:pt x="231668" y="281250"/>
                <a:pt x="233755" y="281250"/>
              </a:cubicBezTo>
              <a:cubicBezTo>
                <a:pt x="235842" y="281250"/>
                <a:pt x="237533" y="279571"/>
                <a:pt x="237533" y="277500"/>
              </a:cubicBezTo>
              <a:lnTo>
                <a:pt x="237533" y="245948"/>
              </a:lnTo>
              <a:lnTo>
                <a:pt x="215366" y="223946"/>
              </a:lnTo>
              <a:cubicBezTo>
                <a:pt x="222761" y="219239"/>
                <a:pt x="227344" y="211216"/>
                <a:pt x="227615" y="202500"/>
              </a:cubicBezTo>
              <a:lnTo>
                <a:pt x="232191" y="202500"/>
              </a:lnTo>
              <a:lnTo>
                <a:pt x="253754" y="223901"/>
              </a:lnTo>
              <a:cubicBezTo>
                <a:pt x="255255" y="225340"/>
                <a:pt x="257646" y="225299"/>
                <a:pt x="259096" y="223809"/>
              </a:cubicBezTo>
              <a:cubicBezTo>
                <a:pt x="260510" y="222356"/>
                <a:pt x="260510" y="220052"/>
                <a:pt x="259096" y="218599"/>
              </a:cubicBezTo>
              <a:lnTo>
                <a:pt x="235319" y="195000"/>
              </a:lnTo>
              <a:lnTo>
                <a:pt x="227056" y="195000"/>
              </a:lnTo>
              <a:lnTo>
                <a:pt x="224120" y="168750"/>
              </a:lnTo>
              <a:lnTo>
                <a:pt x="239751" y="168750"/>
              </a:lnTo>
              <a:lnTo>
                <a:pt x="261314" y="190151"/>
              </a:lnTo>
              <a:cubicBezTo>
                <a:pt x="262815" y="191590"/>
                <a:pt x="265207" y="191549"/>
                <a:pt x="266657" y="190059"/>
              </a:cubicBezTo>
              <a:cubicBezTo>
                <a:pt x="268071" y="188606"/>
                <a:pt x="268071" y="186302"/>
                <a:pt x="266657" y="184849"/>
              </a:cubicBezTo>
              <a:lnTo>
                <a:pt x="242876" y="161250"/>
              </a:lnTo>
              <a:lnTo>
                <a:pt x="223277" y="161250"/>
              </a:lnTo>
              <a:lnTo>
                <a:pt x="220704" y="138259"/>
              </a:lnTo>
              <a:close/>
              <a:moveTo>
                <a:pt x="203528" y="56250"/>
              </a:moveTo>
              <a:cubicBezTo>
                <a:pt x="203528" y="54380"/>
                <a:pt x="203620" y="52489"/>
                <a:pt x="203804" y="50576"/>
              </a:cubicBezTo>
              <a:lnTo>
                <a:pt x="238640" y="85151"/>
              </a:lnTo>
              <a:cubicBezTo>
                <a:pt x="240116" y="86616"/>
                <a:pt x="242508" y="86615"/>
                <a:pt x="243984" y="85151"/>
              </a:cubicBezTo>
              <a:cubicBezTo>
                <a:pt x="244692" y="84447"/>
                <a:pt x="245089" y="83494"/>
                <a:pt x="245090" y="82500"/>
              </a:cubicBezTo>
              <a:lnTo>
                <a:pt x="245090" y="7740"/>
              </a:lnTo>
              <a:cubicBezTo>
                <a:pt x="264155" y="10196"/>
                <a:pt x="279095" y="31016"/>
                <a:pt x="279095" y="56250"/>
              </a:cubicBezTo>
              <a:cubicBezTo>
                <a:pt x="279095" y="83130"/>
                <a:pt x="262145" y="105000"/>
                <a:pt x="241311" y="105000"/>
              </a:cubicBezTo>
              <a:cubicBezTo>
                <a:pt x="220478" y="105000"/>
                <a:pt x="203528" y="83130"/>
                <a:pt x="203528" y="56250"/>
              </a:cubicBezTo>
              <a:close/>
              <a:moveTo>
                <a:pt x="165745" y="90000"/>
              </a:moveTo>
              <a:cubicBezTo>
                <a:pt x="169918" y="90000"/>
                <a:pt x="173301" y="93358"/>
                <a:pt x="173301" y="97500"/>
              </a:cubicBezTo>
              <a:cubicBezTo>
                <a:pt x="173301" y="101642"/>
                <a:pt x="169918" y="105000"/>
                <a:pt x="165745" y="105000"/>
              </a:cubicBezTo>
              <a:cubicBezTo>
                <a:pt x="161571" y="105000"/>
                <a:pt x="158188" y="101642"/>
                <a:pt x="158188" y="97500"/>
              </a:cubicBezTo>
              <a:cubicBezTo>
                <a:pt x="158188" y="93358"/>
                <a:pt x="161571" y="90000"/>
                <a:pt x="165745" y="90000"/>
              </a:cubicBezTo>
              <a:close/>
              <a:moveTo>
                <a:pt x="120907" y="90000"/>
              </a:moveTo>
              <a:cubicBezTo>
                <a:pt x="125081" y="90000"/>
                <a:pt x="128464" y="93358"/>
                <a:pt x="128464" y="97500"/>
              </a:cubicBezTo>
              <a:cubicBezTo>
                <a:pt x="128464" y="101642"/>
                <a:pt x="125081" y="105000"/>
                <a:pt x="120907" y="105000"/>
              </a:cubicBezTo>
              <a:cubicBezTo>
                <a:pt x="116733" y="105000"/>
                <a:pt x="113350" y="101642"/>
                <a:pt x="113350" y="97500"/>
              </a:cubicBezTo>
              <a:cubicBezTo>
                <a:pt x="113350" y="93358"/>
                <a:pt x="116733" y="90000"/>
                <a:pt x="120907" y="90000"/>
              </a:cubicBezTo>
              <a:close/>
              <a:moveTo>
                <a:pt x="7557" y="56250"/>
              </a:moveTo>
              <a:cubicBezTo>
                <a:pt x="7557" y="31016"/>
                <a:pt x="22496" y="10196"/>
                <a:pt x="41562" y="7740"/>
              </a:cubicBezTo>
              <a:lnTo>
                <a:pt x="41562" y="82500"/>
              </a:lnTo>
              <a:cubicBezTo>
                <a:pt x="41562" y="84571"/>
                <a:pt x="43254" y="86250"/>
                <a:pt x="45341" y="86249"/>
              </a:cubicBezTo>
              <a:cubicBezTo>
                <a:pt x="46343" y="86249"/>
                <a:pt x="47303" y="85854"/>
                <a:pt x="48011" y="85151"/>
              </a:cubicBezTo>
              <a:lnTo>
                <a:pt x="82848" y="50576"/>
              </a:lnTo>
              <a:cubicBezTo>
                <a:pt x="83029" y="52486"/>
                <a:pt x="83121" y="54378"/>
                <a:pt x="83124" y="56250"/>
              </a:cubicBezTo>
              <a:cubicBezTo>
                <a:pt x="83124" y="83130"/>
                <a:pt x="66174" y="105000"/>
                <a:pt x="45340" y="105000"/>
              </a:cubicBezTo>
              <a:cubicBezTo>
                <a:pt x="24506" y="105000"/>
                <a:pt x="7557" y="83130"/>
                <a:pt x="7557" y="56250"/>
              </a:cubicBezTo>
              <a:close/>
              <a:moveTo>
                <a:pt x="205976" y="219967"/>
              </a:moveTo>
              <a:lnTo>
                <a:pt x="157882" y="232421"/>
              </a:lnTo>
              <a:cubicBezTo>
                <a:pt x="148501" y="234844"/>
                <a:pt x="138653" y="234844"/>
                <a:pt x="129272" y="232421"/>
              </a:cubicBezTo>
              <a:lnTo>
                <a:pt x="81178" y="219967"/>
              </a:lnTo>
              <a:cubicBezTo>
                <a:pt x="72126" y="217579"/>
                <a:pt x="66179" y="208999"/>
                <a:pt x="67168" y="199755"/>
              </a:cubicBezTo>
              <a:lnTo>
                <a:pt x="73999" y="138728"/>
              </a:lnTo>
              <a:cubicBezTo>
                <a:pt x="74894" y="130945"/>
                <a:pt x="80547" y="124525"/>
                <a:pt x="88198" y="122603"/>
              </a:cubicBezTo>
              <a:lnTo>
                <a:pt x="126174" y="113186"/>
              </a:lnTo>
              <a:cubicBezTo>
                <a:pt x="137607" y="110361"/>
                <a:pt x="149563" y="110361"/>
                <a:pt x="160995" y="113186"/>
              </a:cubicBezTo>
              <a:lnTo>
                <a:pt x="198956" y="122625"/>
              </a:lnTo>
              <a:cubicBezTo>
                <a:pt x="205916" y="124389"/>
                <a:pt x="211273" y="129907"/>
                <a:pt x="212793" y="136875"/>
              </a:cubicBezTo>
              <a:cubicBezTo>
                <a:pt x="212743" y="137520"/>
                <a:pt x="212867" y="138168"/>
                <a:pt x="213151" y="138750"/>
              </a:cubicBezTo>
              <a:lnTo>
                <a:pt x="213151" y="138750"/>
              </a:lnTo>
              <a:lnTo>
                <a:pt x="219983" y="199778"/>
              </a:lnTo>
              <a:cubicBezTo>
                <a:pt x="220962" y="209013"/>
                <a:pt x="215018" y="217580"/>
                <a:pt x="205976" y="219967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4</xdr:col>
      <xdr:colOff>119453</xdr:colOff>
      <xdr:row>15</xdr:row>
      <xdr:rowOff>172457</xdr:rowOff>
    </xdr:from>
    <xdr:to>
      <xdr:col>4</xdr:col>
      <xdr:colOff>459867</xdr:colOff>
      <xdr:row>15</xdr:row>
      <xdr:rowOff>379006</xdr:rowOff>
    </xdr:to>
    <xdr:grpSp>
      <xdr:nvGrpSpPr>
        <xdr:cNvPr id="329" name="dog" descr="Dog outline">
          <a:extLst>
            <a:ext uri="{FF2B5EF4-FFF2-40B4-BE49-F238E27FC236}">
              <a16:creationId xmlns:a16="http://schemas.microsoft.com/office/drawing/2014/main" id="{0FDB94E8-B37E-4A8E-8D5C-878476AAAFF4}"/>
            </a:ext>
          </a:extLst>
        </xdr:cNvPr>
        <xdr:cNvGrpSpPr>
          <a:grpSpLocks noChangeAspect="1"/>
        </xdr:cNvGrpSpPr>
      </xdr:nvGrpSpPr>
      <xdr:grpSpPr>
        <a:xfrm>
          <a:off x="3443678" y="7468607"/>
          <a:ext cx="340414" cy="206549"/>
          <a:chOff x="13661732" y="6778489"/>
          <a:chExt cx="340414" cy="206549"/>
        </a:xfrm>
        <a:solidFill>
          <a:srgbClr val="1F4E78"/>
        </a:solidFill>
      </xdr:grpSpPr>
      <xdr:sp macro="" textlink="">
        <xdr:nvSpPr>
          <xdr:cNvPr id="330" name="Freeform: Shape 329">
            <a:extLst>
              <a:ext uri="{FF2B5EF4-FFF2-40B4-BE49-F238E27FC236}">
                <a16:creationId xmlns:a16="http://schemas.microsoft.com/office/drawing/2014/main" id="{2487A40A-6ACF-4A60-9EAC-B226448B6DF8}"/>
              </a:ext>
            </a:extLst>
          </xdr:cNvPr>
          <xdr:cNvSpPr/>
        </xdr:nvSpPr>
        <xdr:spPr>
          <a:xfrm>
            <a:off x="13661732" y="6778489"/>
            <a:ext cx="340414" cy="206549"/>
          </a:xfrm>
          <a:custGeom>
            <a:avLst/>
            <a:gdLst>
              <a:gd name="connsiteX0" fmla="*/ 338193 w 340414"/>
              <a:gd name="connsiteY0" fmla="*/ 34091 h 206549"/>
              <a:gd name="connsiteX1" fmla="*/ 316412 w 340414"/>
              <a:gd name="connsiteY1" fmla="*/ 24326 h 206549"/>
              <a:gd name="connsiteX2" fmla="*/ 283739 w 340414"/>
              <a:gd name="connsiteY2" fmla="*/ 0 h 206549"/>
              <a:gd name="connsiteX3" fmla="*/ 268526 w 340414"/>
              <a:gd name="connsiteY3" fmla="*/ 0 h 206549"/>
              <a:gd name="connsiteX4" fmla="*/ 265140 w 340414"/>
              <a:gd name="connsiteY4" fmla="*/ 90 h 206549"/>
              <a:gd name="connsiteX5" fmla="*/ 249118 w 340414"/>
              <a:gd name="connsiteY5" fmla="*/ 7296 h 206549"/>
              <a:gd name="connsiteX6" fmla="*/ 225352 w 340414"/>
              <a:gd name="connsiteY6" fmla="*/ 32789 h 206549"/>
              <a:gd name="connsiteX7" fmla="*/ 206279 w 340414"/>
              <a:gd name="connsiteY7" fmla="*/ 41261 h 206549"/>
              <a:gd name="connsiteX8" fmla="*/ 93184 w 340414"/>
              <a:gd name="connsiteY8" fmla="*/ 41261 h 206549"/>
              <a:gd name="connsiteX9" fmla="*/ 61767 w 340414"/>
              <a:gd name="connsiteY9" fmla="*/ 59506 h 206549"/>
              <a:gd name="connsiteX10" fmla="*/ 7400 w 340414"/>
              <a:gd name="connsiteY10" fmla="*/ 21722 h 206549"/>
              <a:gd name="connsiteX11" fmla="*/ 2694 w 340414"/>
              <a:gd name="connsiteY11" fmla="*/ 19207 h 206549"/>
              <a:gd name="connsiteX12" fmla="*/ 160 w 340414"/>
              <a:gd name="connsiteY12" fmla="*/ 23877 h 206549"/>
              <a:gd name="connsiteX13" fmla="*/ 58533 w 340414"/>
              <a:gd name="connsiteY13" fmla="*/ 67156 h 206549"/>
              <a:gd name="connsiteX14" fmla="*/ 57103 w 340414"/>
              <a:gd name="connsiteY14" fmla="*/ 77018 h 206549"/>
              <a:gd name="connsiteX15" fmla="*/ 57027 w 340414"/>
              <a:gd name="connsiteY15" fmla="*/ 112339 h 206549"/>
              <a:gd name="connsiteX16" fmla="*/ 49596 w 340414"/>
              <a:gd name="connsiteY16" fmla="*/ 141945 h 206549"/>
              <a:gd name="connsiteX17" fmla="*/ 49483 w 340414"/>
              <a:gd name="connsiteY17" fmla="*/ 142851 h 206549"/>
              <a:gd name="connsiteX18" fmla="*/ 49483 w 340414"/>
              <a:gd name="connsiteY18" fmla="*/ 172800 h 206549"/>
              <a:gd name="connsiteX19" fmla="*/ 49596 w 340414"/>
              <a:gd name="connsiteY19" fmla="*/ 173710 h 206549"/>
              <a:gd name="connsiteX20" fmla="*/ 55007 w 340414"/>
              <a:gd name="connsiteY20" fmla="*/ 195186 h 206549"/>
              <a:gd name="connsiteX21" fmla="*/ 69667 w 340414"/>
              <a:gd name="connsiteY21" fmla="*/ 206549 h 206549"/>
              <a:gd name="connsiteX22" fmla="*/ 87251 w 340414"/>
              <a:gd name="connsiteY22" fmla="*/ 206549 h 206549"/>
              <a:gd name="connsiteX23" fmla="*/ 91029 w 340414"/>
              <a:gd name="connsiteY23" fmla="*/ 202801 h 206549"/>
              <a:gd name="connsiteX24" fmla="*/ 91036 w 340414"/>
              <a:gd name="connsiteY24" fmla="*/ 193057 h 206549"/>
              <a:gd name="connsiteX25" fmla="*/ 79711 w 340414"/>
              <a:gd name="connsiteY25" fmla="*/ 180387 h 206549"/>
              <a:gd name="connsiteX26" fmla="*/ 79711 w 340414"/>
              <a:gd name="connsiteY26" fmla="*/ 151854 h 206549"/>
              <a:gd name="connsiteX27" fmla="*/ 107736 w 340414"/>
              <a:gd name="connsiteY27" fmla="*/ 124035 h 206549"/>
              <a:gd name="connsiteX28" fmla="*/ 133530 w 340414"/>
              <a:gd name="connsiteY28" fmla="*/ 123795 h 206549"/>
              <a:gd name="connsiteX29" fmla="*/ 174160 w 340414"/>
              <a:gd name="connsiteY29" fmla="*/ 135035 h 206549"/>
              <a:gd name="connsiteX30" fmla="*/ 200616 w 340414"/>
              <a:gd name="connsiteY30" fmla="*/ 135035 h 206549"/>
              <a:gd name="connsiteX31" fmla="*/ 200616 w 340414"/>
              <a:gd name="connsiteY31" fmla="*/ 172800 h 206549"/>
              <a:gd name="connsiteX32" fmla="*/ 200729 w 340414"/>
              <a:gd name="connsiteY32" fmla="*/ 173710 h 206549"/>
              <a:gd name="connsiteX33" fmla="*/ 206140 w 340414"/>
              <a:gd name="connsiteY33" fmla="*/ 195186 h 206549"/>
              <a:gd name="connsiteX34" fmla="*/ 220800 w 340414"/>
              <a:gd name="connsiteY34" fmla="*/ 206549 h 206549"/>
              <a:gd name="connsiteX35" fmla="*/ 238384 w 340414"/>
              <a:gd name="connsiteY35" fmla="*/ 206549 h 206549"/>
              <a:gd name="connsiteX36" fmla="*/ 242162 w 340414"/>
              <a:gd name="connsiteY36" fmla="*/ 202801 h 206549"/>
              <a:gd name="connsiteX37" fmla="*/ 242169 w 340414"/>
              <a:gd name="connsiteY37" fmla="*/ 193057 h 206549"/>
              <a:gd name="connsiteX38" fmla="*/ 230844 w 340414"/>
              <a:gd name="connsiteY38" fmla="*/ 180387 h 206549"/>
              <a:gd name="connsiteX39" fmla="*/ 230844 w 340414"/>
              <a:gd name="connsiteY39" fmla="*/ 134823 h 206549"/>
              <a:gd name="connsiteX40" fmla="*/ 245957 w 340414"/>
              <a:gd name="connsiteY40" fmla="*/ 129401 h 206549"/>
              <a:gd name="connsiteX41" fmla="*/ 245957 w 340414"/>
              <a:gd name="connsiteY41" fmla="*/ 184050 h 206549"/>
              <a:gd name="connsiteX42" fmla="*/ 249735 w 340414"/>
              <a:gd name="connsiteY42" fmla="*/ 187800 h 206549"/>
              <a:gd name="connsiteX43" fmla="*/ 251993 w 340414"/>
              <a:gd name="connsiteY43" fmla="*/ 187800 h 206549"/>
              <a:gd name="connsiteX44" fmla="*/ 257283 w 340414"/>
              <a:gd name="connsiteY44" fmla="*/ 193050 h 206549"/>
              <a:gd name="connsiteX45" fmla="*/ 257283 w 340414"/>
              <a:gd name="connsiteY45" fmla="*/ 193052 h 206549"/>
              <a:gd name="connsiteX46" fmla="*/ 257281 w 340414"/>
              <a:gd name="connsiteY46" fmla="*/ 199050 h 206549"/>
              <a:gd name="connsiteX47" fmla="*/ 249736 w 340414"/>
              <a:gd name="connsiteY47" fmla="*/ 199050 h 206549"/>
              <a:gd name="connsiteX48" fmla="*/ 245957 w 340414"/>
              <a:gd name="connsiteY48" fmla="*/ 202800 h 206549"/>
              <a:gd name="connsiteX49" fmla="*/ 249736 w 340414"/>
              <a:gd name="connsiteY49" fmla="*/ 206550 h 206549"/>
              <a:gd name="connsiteX50" fmla="*/ 261056 w 340414"/>
              <a:gd name="connsiteY50" fmla="*/ 206550 h 206549"/>
              <a:gd name="connsiteX51" fmla="*/ 264834 w 340414"/>
              <a:gd name="connsiteY51" fmla="*/ 202803 h 206549"/>
              <a:gd name="connsiteX52" fmla="*/ 264842 w 340414"/>
              <a:gd name="connsiteY52" fmla="*/ 193058 h 206549"/>
              <a:gd name="connsiteX53" fmla="*/ 253516 w 340414"/>
              <a:gd name="connsiteY53" fmla="*/ 180388 h 206549"/>
              <a:gd name="connsiteX54" fmla="*/ 253516 w 340414"/>
              <a:gd name="connsiteY54" fmla="*/ 123184 h 206549"/>
              <a:gd name="connsiteX55" fmla="*/ 268354 w 340414"/>
              <a:gd name="connsiteY55" fmla="*/ 98918 h 206549"/>
              <a:gd name="connsiteX56" fmla="*/ 282517 w 340414"/>
              <a:gd name="connsiteY56" fmla="*/ 63764 h 206549"/>
              <a:gd name="connsiteX57" fmla="*/ 313966 w 340414"/>
              <a:gd name="connsiteY57" fmla="*/ 63764 h 206549"/>
              <a:gd name="connsiteX58" fmla="*/ 340414 w 340414"/>
              <a:gd name="connsiteY58" fmla="*/ 37509 h 206549"/>
              <a:gd name="connsiteX59" fmla="*/ 338193 w 340414"/>
              <a:gd name="connsiteY59" fmla="*/ 34091 h 206549"/>
              <a:gd name="connsiteX60" fmla="*/ 313966 w 340414"/>
              <a:gd name="connsiteY60" fmla="*/ 56264 h 206549"/>
              <a:gd name="connsiteX61" fmla="*/ 279959 w 340414"/>
              <a:gd name="connsiteY61" fmla="*/ 56264 h 206549"/>
              <a:gd name="connsiteX62" fmla="*/ 276450 w 340414"/>
              <a:gd name="connsiteY62" fmla="*/ 58622 h 206549"/>
              <a:gd name="connsiteX63" fmla="*/ 261412 w 340414"/>
              <a:gd name="connsiteY63" fmla="*/ 95965 h 206549"/>
              <a:gd name="connsiteX64" fmla="*/ 247031 w 340414"/>
              <a:gd name="connsiteY64" fmla="*/ 119288 h 206549"/>
              <a:gd name="connsiteX65" fmla="*/ 226817 w 340414"/>
              <a:gd name="connsiteY65" fmla="*/ 127797 h 206549"/>
              <a:gd name="connsiteX66" fmla="*/ 223290 w 340414"/>
              <a:gd name="connsiteY66" fmla="*/ 131538 h 206549"/>
              <a:gd name="connsiteX67" fmla="*/ 223290 w 340414"/>
              <a:gd name="connsiteY67" fmla="*/ 184050 h 206549"/>
              <a:gd name="connsiteX68" fmla="*/ 227068 w 340414"/>
              <a:gd name="connsiteY68" fmla="*/ 187800 h 206549"/>
              <a:gd name="connsiteX69" fmla="*/ 229326 w 340414"/>
              <a:gd name="connsiteY69" fmla="*/ 187800 h 206549"/>
              <a:gd name="connsiteX70" fmla="*/ 234616 w 340414"/>
              <a:gd name="connsiteY70" fmla="*/ 193050 h 206549"/>
              <a:gd name="connsiteX71" fmla="*/ 234616 w 340414"/>
              <a:gd name="connsiteY71" fmla="*/ 193052 h 206549"/>
              <a:gd name="connsiteX72" fmla="*/ 234611 w 340414"/>
              <a:gd name="connsiteY72" fmla="*/ 199050 h 206549"/>
              <a:gd name="connsiteX73" fmla="*/ 220802 w 340414"/>
              <a:gd name="connsiteY73" fmla="*/ 199050 h 206549"/>
              <a:gd name="connsiteX74" fmla="*/ 213472 w 340414"/>
              <a:gd name="connsiteY74" fmla="*/ 193368 h 206549"/>
              <a:gd name="connsiteX75" fmla="*/ 208174 w 340414"/>
              <a:gd name="connsiteY75" fmla="*/ 172339 h 206549"/>
              <a:gd name="connsiteX76" fmla="*/ 208174 w 340414"/>
              <a:gd name="connsiteY76" fmla="*/ 131285 h 206549"/>
              <a:gd name="connsiteX77" fmla="*/ 204396 w 340414"/>
              <a:gd name="connsiteY77" fmla="*/ 127535 h 206549"/>
              <a:gd name="connsiteX78" fmla="*/ 174161 w 340414"/>
              <a:gd name="connsiteY78" fmla="*/ 127535 h 206549"/>
              <a:gd name="connsiteX79" fmla="*/ 137323 w 340414"/>
              <a:gd name="connsiteY79" fmla="*/ 117185 h 206549"/>
              <a:gd name="connsiteX80" fmla="*/ 134829 w 340414"/>
              <a:gd name="connsiteY80" fmla="*/ 116283 h 206549"/>
              <a:gd name="connsiteX81" fmla="*/ 106124 w 340414"/>
              <a:gd name="connsiteY81" fmla="*/ 116550 h 206549"/>
              <a:gd name="connsiteX82" fmla="*/ 103487 w 340414"/>
              <a:gd name="connsiteY82" fmla="*/ 117649 h 206549"/>
              <a:gd name="connsiteX83" fmla="*/ 73260 w 340414"/>
              <a:gd name="connsiteY83" fmla="*/ 147649 h 206549"/>
              <a:gd name="connsiteX84" fmla="*/ 72154 w 340414"/>
              <a:gd name="connsiteY84" fmla="*/ 150300 h 206549"/>
              <a:gd name="connsiteX85" fmla="*/ 72154 w 340414"/>
              <a:gd name="connsiteY85" fmla="*/ 184050 h 206549"/>
              <a:gd name="connsiteX86" fmla="*/ 75932 w 340414"/>
              <a:gd name="connsiteY86" fmla="*/ 187800 h 206549"/>
              <a:gd name="connsiteX87" fmla="*/ 78190 w 340414"/>
              <a:gd name="connsiteY87" fmla="*/ 187800 h 206549"/>
              <a:gd name="connsiteX88" fmla="*/ 83480 w 340414"/>
              <a:gd name="connsiteY88" fmla="*/ 193050 h 206549"/>
              <a:gd name="connsiteX89" fmla="*/ 83480 w 340414"/>
              <a:gd name="connsiteY89" fmla="*/ 193052 h 206549"/>
              <a:gd name="connsiteX90" fmla="*/ 83477 w 340414"/>
              <a:gd name="connsiteY90" fmla="*/ 199050 h 206549"/>
              <a:gd name="connsiteX91" fmla="*/ 69669 w 340414"/>
              <a:gd name="connsiteY91" fmla="*/ 199050 h 206549"/>
              <a:gd name="connsiteX92" fmla="*/ 62339 w 340414"/>
              <a:gd name="connsiteY92" fmla="*/ 193368 h 206549"/>
              <a:gd name="connsiteX93" fmla="*/ 57040 w 340414"/>
              <a:gd name="connsiteY93" fmla="*/ 172339 h 206549"/>
              <a:gd name="connsiteX94" fmla="*/ 57040 w 340414"/>
              <a:gd name="connsiteY94" fmla="*/ 143314 h 206549"/>
              <a:gd name="connsiteX95" fmla="*/ 64472 w 340414"/>
              <a:gd name="connsiteY95" fmla="*/ 113708 h 206549"/>
              <a:gd name="connsiteX96" fmla="*/ 64585 w 340414"/>
              <a:gd name="connsiteY96" fmla="*/ 112801 h 206549"/>
              <a:gd name="connsiteX97" fmla="*/ 64585 w 340414"/>
              <a:gd name="connsiteY97" fmla="*/ 82572 h 206549"/>
              <a:gd name="connsiteX98" fmla="*/ 64660 w 340414"/>
              <a:gd name="connsiteY98" fmla="*/ 77071 h 206549"/>
              <a:gd name="connsiteX99" fmla="*/ 93184 w 340414"/>
              <a:gd name="connsiteY99" fmla="*/ 48761 h 206549"/>
              <a:gd name="connsiteX100" fmla="*/ 206279 w 340414"/>
              <a:gd name="connsiteY100" fmla="*/ 48761 h 206549"/>
              <a:gd name="connsiteX101" fmla="*/ 230968 w 340414"/>
              <a:gd name="connsiteY101" fmla="*/ 37805 h 206549"/>
              <a:gd name="connsiteX102" fmla="*/ 254664 w 340414"/>
              <a:gd name="connsiteY102" fmla="*/ 12390 h 206549"/>
              <a:gd name="connsiteX103" fmla="*/ 258272 w 340414"/>
              <a:gd name="connsiteY103" fmla="*/ 9697 h 206549"/>
              <a:gd name="connsiteX104" fmla="*/ 257049 w 340414"/>
              <a:gd name="connsiteY104" fmla="*/ 27641 h 206549"/>
              <a:gd name="connsiteX105" fmla="*/ 272500 w 340414"/>
              <a:gd name="connsiteY105" fmla="*/ 45225 h 206549"/>
              <a:gd name="connsiteX106" fmla="*/ 273256 w 340414"/>
              <a:gd name="connsiteY106" fmla="*/ 45276 h 206549"/>
              <a:gd name="connsiteX107" fmla="*/ 274414 w 340414"/>
              <a:gd name="connsiteY107" fmla="*/ 45314 h 206549"/>
              <a:gd name="connsiteX108" fmla="*/ 290976 w 340414"/>
              <a:gd name="connsiteY108" fmla="*/ 29939 h 206549"/>
              <a:gd name="connsiteX109" fmla="*/ 291646 w 340414"/>
              <a:gd name="connsiteY109" fmla="*/ 20211 h 206549"/>
              <a:gd name="connsiteX110" fmla="*/ 288197 w 340414"/>
              <a:gd name="connsiteY110" fmla="*/ 16160 h 206549"/>
              <a:gd name="connsiteX111" fmla="*/ 284116 w 340414"/>
              <a:gd name="connsiteY111" fmla="*/ 19582 h 206549"/>
              <a:gd name="connsiteX112" fmla="*/ 284107 w 340414"/>
              <a:gd name="connsiteY112" fmla="*/ 19700 h 206549"/>
              <a:gd name="connsiteX113" fmla="*/ 283437 w 340414"/>
              <a:gd name="connsiteY113" fmla="*/ 29428 h 206549"/>
              <a:gd name="connsiteX114" fmla="*/ 273773 w 340414"/>
              <a:gd name="connsiteY114" fmla="*/ 37794 h 206549"/>
              <a:gd name="connsiteX115" fmla="*/ 273772 w 340414"/>
              <a:gd name="connsiteY115" fmla="*/ 37794 h 206549"/>
              <a:gd name="connsiteX116" fmla="*/ 273016 w 340414"/>
              <a:gd name="connsiteY116" fmla="*/ 37743 h 206549"/>
              <a:gd name="connsiteX117" fmla="*/ 264587 w 340414"/>
              <a:gd name="connsiteY117" fmla="*/ 28150 h 206549"/>
              <a:gd name="connsiteX118" fmla="*/ 266003 w 340414"/>
              <a:gd name="connsiteY118" fmla="*/ 7582 h 206549"/>
              <a:gd name="connsiteX119" fmla="*/ 283739 w 340414"/>
              <a:gd name="connsiteY119" fmla="*/ 7497 h 206549"/>
              <a:gd name="connsiteX120" fmla="*/ 309529 w 340414"/>
              <a:gd name="connsiteY120" fmla="*/ 27840 h 206549"/>
              <a:gd name="connsiteX121" fmla="*/ 311656 w 340414"/>
              <a:gd name="connsiteY121" fmla="*/ 30422 h 206549"/>
              <a:gd name="connsiteX122" fmla="*/ 332712 w 340414"/>
              <a:gd name="connsiteY122" fmla="*/ 39862 h 206549"/>
              <a:gd name="connsiteX123" fmla="*/ 313966 w 340414"/>
              <a:gd name="connsiteY123" fmla="*/ 56264 h 20654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</a:cxnLst>
            <a:rect l="l" t="t" r="r" b="b"/>
            <a:pathLst>
              <a:path w="340414" h="206549">
                <a:moveTo>
                  <a:pt x="338193" y="34091"/>
                </a:moveTo>
                <a:lnTo>
                  <a:pt x="316412" y="24326"/>
                </a:lnTo>
                <a:cubicBezTo>
                  <a:pt x="312111" y="9958"/>
                  <a:pt x="298841" y="78"/>
                  <a:pt x="283739" y="0"/>
                </a:cubicBezTo>
                <a:lnTo>
                  <a:pt x="268526" y="0"/>
                </a:lnTo>
                <a:lnTo>
                  <a:pt x="265140" y="90"/>
                </a:lnTo>
                <a:cubicBezTo>
                  <a:pt x="259043" y="267"/>
                  <a:pt x="253272" y="2862"/>
                  <a:pt x="249118" y="7296"/>
                </a:cubicBezTo>
                <a:lnTo>
                  <a:pt x="225352" y="32789"/>
                </a:lnTo>
                <a:cubicBezTo>
                  <a:pt x="220469" y="38137"/>
                  <a:pt x="213551" y="41210"/>
                  <a:pt x="206279" y="41261"/>
                </a:cubicBezTo>
                <a:lnTo>
                  <a:pt x="93184" y="41261"/>
                </a:lnTo>
                <a:cubicBezTo>
                  <a:pt x="80163" y="41275"/>
                  <a:pt x="68158" y="48246"/>
                  <a:pt x="61767" y="59506"/>
                </a:cubicBezTo>
                <a:cubicBezTo>
                  <a:pt x="41529" y="61028"/>
                  <a:pt x="14855" y="46391"/>
                  <a:pt x="7400" y="21722"/>
                </a:cubicBezTo>
                <a:cubicBezTo>
                  <a:pt x="6800" y="19738"/>
                  <a:pt x="4693" y="18612"/>
                  <a:pt x="2694" y="19207"/>
                </a:cubicBezTo>
                <a:cubicBezTo>
                  <a:pt x="695" y="19802"/>
                  <a:pt x="-439" y="21893"/>
                  <a:pt x="160" y="23877"/>
                </a:cubicBezTo>
                <a:cubicBezTo>
                  <a:pt x="8329" y="50903"/>
                  <a:pt x="35604" y="67031"/>
                  <a:pt x="58533" y="67156"/>
                </a:cubicBezTo>
                <a:cubicBezTo>
                  <a:pt x="57592" y="70360"/>
                  <a:pt x="57110" y="73680"/>
                  <a:pt x="57103" y="77018"/>
                </a:cubicBezTo>
                <a:lnTo>
                  <a:pt x="57027" y="112339"/>
                </a:lnTo>
                <a:lnTo>
                  <a:pt x="49596" y="141945"/>
                </a:lnTo>
                <a:cubicBezTo>
                  <a:pt x="49521" y="142241"/>
                  <a:pt x="49482" y="142545"/>
                  <a:pt x="49483" y="142851"/>
                </a:cubicBezTo>
                <a:lnTo>
                  <a:pt x="49483" y="172800"/>
                </a:lnTo>
                <a:cubicBezTo>
                  <a:pt x="49484" y="173107"/>
                  <a:pt x="49521" y="173412"/>
                  <a:pt x="49596" y="173710"/>
                </a:cubicBezTo>
                <a:lnTo>
                  <a:pt x="55007" y="195186"/>
                </a:lnTo>
                <a:cubicBezTo>
                  <a:pt x="56681" y="201869"/>
                  <a:pt x="62729" y="206557"/>
                  <a:pt x="69667" y="206549"/>
                </a:cubicBezTo>
                <a:lnTo>
                  <a:pt x="87251" y="206549"/>
                </a:lnTo>
                <a:cubicBezTo>
                  <a:pt x="89336" y="206549"/>
                  <a:pt x="91028" y="204872"/>
                  <a:pt x="91029" y="202801"/>
                </a:cubicBezTo>
                <a:lnTo>
                  <a:pt x="91036" y="193057"/>
                </a:lnTo>
                <a:cubicBezTo>
                  <a:pt x="91039" y="186596"/>
                  <a:pt x="86174" y="181154"/>
                  <a:pt x="79711" y="180387"/>
                </a:cubicBezTo>
                <a:lnTo>
                  <a:pt x="79711" y="151854"/>
                </a:lnTo>
                <a:lnTo>
                  <a:pt x="107736" y="124035"/>
                </a:lnTo>
                <a:lnTo>
                  <a:pt x="133530" y="123795"/>
                </a:lnTo>
                <a:cubicBezTo>
                  <a:pt x="142623" y="130854"/>
                  <a:pt x="157659" y="135035"/>
                  <a:pt x="174160" y="135035"/>
                </a:cubicBezTo>
                <a:lnTo>
                  <a:pt x="200616" y="135035"/>
                </a:lnTo>
                <a:lnTo>
                  <a:pt x="200616" y="172800"/>
                </a:lnTo>
                <a:cubicBezTo>
                  <a:pt x="200617" y="173107"/>
                  <a:pt x="200654" y="173412"/>
                  <a:pt x="200729" y="173710"/>
                </a:cubicBezTo>
                <a:lnTo>
                  <a:pt x="206140" y="195186"/>
                </a:lnTo>
                <a:cubicBezTo>
                  <a:pt x="207814" y="201869"/>
                  <a:pt x="213862" y="206557"/>
                  <a:pt x="220800" y="206549"/>
                </a:cubicBezTo>
                <a:lnTo>
                  <a:pt x="238384" y="206549"/>
                </a:lnTo>
                <a:cubicBezTo>
                  <a:pt x="240469" y="206549"/>
                  <a:pt x="242161" y="204872"/>
                  <a:pt x="242162" y="202801"/>
                </a:cubicBezTo>
                <a:lnTo>
                  <a:pt x="242169" y="193057"/>
                </a:lnTo>
                <a:cubicBezTo>
                  <a:pt x="242172" y="186596"/>
                  <a:pt x="237307" y="181154"/>
                  <a:pt x="230844" y="180387"/>
                </a:cubicBezTo>
                <a:lnTo>
                  <a:pt x="230844" y="134823"/>
                </a:lnTo>
                <a:cubicBezTo>
                  <a:pt x="236163" y="133910"/>
                  <a:pt x="241279" y="132075"/>
                  <a:pt x="245957" y="129401"/>
                </a:cubicBezTo>
                <a:lnTo>
                  <a:pt x="245957" y="184050"/>
                </a:lnTo>
                <a:cubicBezTo>
                  <a:pt x="245957" y="186121"/>
                  <a:pt x="247649" y="187800"/>
                  <a:pt x="249735" y="187800"/>
                </a:cubicBezTo>
                <a:lnTo>
                  <a:pt x="251993" y="187800"/>
                </a:lnTo>
                <a:cubicBezTo>
                  <a:pt x="254915" y="187800"/>
                  <a:pt x="257283" y="190151"/>
                  <a:pt x="257283" y="193050"/>
                </a:cubicBezTo>
                <a:cubicBezTo>
                  <a:pt x="257283" y="193051"/>
                  <a:pt x="257283" y="193052"/>
                  <a:pt x="257283" y="193052"/>
                </a:cubicBezTo>
                <a:lnTo>
                  <a:pt x="257281" y="199050"/>
                </a:lnTo>
                <a:lnTo>
                  <a:pt x="249736" y="199050"/>
                </a:lnTo>
                <a:cubicBezTo>
                  <a:pt x="247649" y="199050"/>
                  <a:pt x="245957" y="200729"/>
                  <a:pt x="245957" y="202800"/>
                </a:cubicBezTo>
                <a:cubicBezTo>
                  <a:pt x="245957" y="204871"/>
                  <a:pt x="247649" y="206550"/>
                  <a:pt x="249736" y="206550"/>
                </a:cubicBezTo>
                <a:lnTo>
                  <a:pt x="261056" y="206550"/>
                </a:lnTo>
                <a:cubicBezTo>
                  <a:pt x="263142" y="206550"/>
                  <a:pt x="264833" y="204873"/>
                  <a:pt x="264834" y="202803"/>
                </a:cubicBezTo>
                <a:lnTo>
                  <a:pt x="264842" y="193058"/>
                </a:lnTo>
                <a:cubicBezTo>
                  <a:pt x="264845" y="186597"/>
                  <a:pt x="259980" y="181155"/>
                  <a:pt x="253516" y="180388"/>
                </a:cubicBezTo>
                <a:lnTo>
                  <a:pt x="253516" y="123184"/>
                </a:lnTo>
                <a:cubicBezTo>
                  <a:pt x="259296" y="115628"/>
                  <a:pt x="264269" y="107495"/>
                  <a:pt x="268354" y="98918"/>
                </a:cubicBezTo>
                <a:lnTo>
                  <a:pt x="282517" y="63764"/>
                </a:lnTo>
                <a:lnTo>
                  <a:pt x="313966" y="63764"/>
                </a:lnTo>
                <a:cubicBezTo>
                  <a:pt x="328567" y="63746"/>
                  <a:pt x="340398" y="52001"/>
                  <a:pt x="340414" y="37509"/>
                </a:cubicBezTo>
                <a:cubicBezTo>
                  <a:pt x="340415" y="36036"/>
                  <a:pt x="339546" y="34698"/>
                  <a:pt x="338193" y="34091"/>
                </a:cubicBezTo>
                <a:close/>
                <a:moveTo>
                  <a:pt x="313966" y="56264"/>
                </a:moveTo>
                <a:lnTo>
                  <a:pt x="279959" y="56264"/>
                </a:lnTo>
                <a:cubicBezTo>
                  <a:pt x="278413" y="56264"/>
                  <a:pt x="277024" y="57198"/>
                  <a:pt x="276450" y="58622"/>
                </a:cubicBezTo>
                <a:lnTo>
                  <a:pt x="261412" y="95965"/>
                </a:lnTo>
                <a:cubicBezTo>
                  <a:pt x="257457" y="104219"/>
                  <a:pt x="252637" y="112036"/>
                  <a:pt x="247031" y="119288"/>
                </a:cubicBezTo>
                <a:cubicBezTo>
                  <a:pt x="241370" y="124175"/>
                  <a:pt x="234293" y="127155"/>
                  <a:pt x="226817" y="127797"/>
                </a:cubicBezTo>
                <a:cubicBezTo>
                  <a:pt x="224833" y="127931"/>
                  <a:pt x="223293" y="129565"/>
                  <a:pt x="223290" y="131538"/>
                </a:cubicBezTo>
                <a:lnTo>
                  <a:pt x="223290" y="184050"/>
                </a:lnTo>
                <a:cubicBezTo>
                  <a:pt x="223290" y="186121"/>
                  <a:pt x="224981" y="187800"/>
                  <a:pt x="227068" y="187800"/>
                </a:cubicBezTo>
                <a:lnTo>
                  <a:pt x="229326" y="187800"/>
                </a:lnTo>
                <a:cubicBezTo>
                  <a:pt x="232247" y="187800"/>
                  <a:pt x="234616" y="190151"/>
                  <a:pt x="234616" y="193050"/>
                </a:cubicBezTo>
                <a:cubicBezTo>
                  <a:pt x="234616" y="193051"/>
                  <a:pt x="234616" y="193052"/>
                  <a:pt x="234616" y="193052"/>
                </a:cubicBezTo>
                <a:lnTo>
                  <a:pt x="234611" y="199050"/>
                </a:lnTo>
                <a:lnTo>
                  <a:pt x="220802" y="199050"/>
                </a:lnTo>
                <a:cubicBezTo>
                  <a:pt x="217333" y="199054"/>
                  <a:pt x="214309" y="196710"/>
                  <a:pt x="213472" y="193368"/>
                </a:cubicBezTo>
                <a:lnTo>
                  <a:pt x="208174" y="172339"/>
                </a:lnTo>
                <a:lnTo>
                  <a:pt x="208174" y="131285"/>
                </a:lnTo>
                <a:cubicBezTo>
                  <a:pt x="208174" y="129214"/>
                  <a:pt x="206482" y="127535"/>
                  <a:pt x="204396" y="127535"/>
                </a:cubicBezTo>
                <a:lnTo>
                  <a:pt x="174161" y="127535"/>
                </a:lnTo>
                <a:cubicBezTo>
                  <a:pt x="158711" y="127535"/>
                  <a:pt x="144938" y="123666"/>
                  <a:pt x="137323" y="117185"/>
                </a:cubicBezTo>
                <a:cubicBezTo>
                  <a:pt x="136628" y="116597"/>
                  <a:pt x="135742" y="116276"/>
                  <a:pt x="134829" y="116283"/>
                </a:cubicBezTo>
                <a:lnTo>
                  <a:pt x="106124" y="116550"/>
                </a:lnTo>
                <a:cubicBezTo>
                  <a:pt x="105134" y="116559"/>
                  <a:pt x="104187" y="116954"/>
                  <a:pt x="103487" y="117649"/>
                </a:cubicBezTo>
                <a:lnTo>
                  <a:pt x="73260" y="147649"/>
                </a:lnTo>
                <a:cubicBezTo>
                  <a:pt x="72552" y="148352"/>
                  <a:pt x="72154" y="149306"/>
                  <a:pt x="72154" y="150300"/>
                </a:cubicBezTo>
                <a:lnTo>
                  <a:pt x="72154" y="184050"/>
                </a:lnTo>
                <a:cubicBezTo>
                  <a:pt x="72154" y="186121"/>
                  <a:pt x="73845" y="187800"/>
                  <a:pt x="75932" y="187800"/>
                </a:cubicBezTo>
                <a:lnTo>
                  <a:pt x="78190" y="187800"/>
                </a:lnTo>
                <a:cubicBezTo>
                  <a:pt x="81111" y="187800"/>
                  <a:pt x="83480" y="190151"/>
                  <a:pt x="83480" y="193050"/>
                </a:cubicBezTo>
                <a:cubicBezTo>
                  <a:pt x="83480" y="193051"/>
                  <a:pt x="83480" y="193052"/>
                  <a:pt x="83480" y="193052"/>
                </a:cubicBezTo>
                <a:lnTo>
                  <a:pt x="83477" y="199050"/>
                </a:lnTo>
                <a:lnTo>
                  <a:pt x="69669" y="199050"/>
                </a:lnTo>
                <a:cubicBezTo>
                  <a:pt x="66200" y="199054"/>
                  <a:pt x="63175" y="196710"/>
                  <a:pt x="62339" y="193368"/>
                </a:cubicBezTo>
                <a:lnTo>
                  <a:pt x="57040" y="172339"/>
                </a:lnTo>
                <a:lnTo>
                  <a:pt x="57040" y="143314"/>
                </a:lnTo>
                <a:lnTo>
                  <a:pt x="64472" y="113708"/>
                </a:lnTo>
                <a:cubicBezTo>
                  <a:pt x="64547" y="113411"/>
                  <a:pt x="64585" y="113107"/>
                  <a:pt x="64585" y="112801"/>
                </a:cubicBezTo>
                <a:lnTo>
                  <a:pt x="64585" y="82572"/>
                </a:lnTo>
                <a:lnTo>
                  <a:pt x="64660" y="77071"/>
                </a:lnTo>
                <a:cubicBezTo>
                  <a:pt x="64679" y="61443"/>
                  <a:pt x="77438" y="48779"/>
                  <a:pt x="93184" y="48761"/>
                </a:cubicBezTo>
                <a:lnTo>
                  <a:pt x="206279" y="48761"/>
                </a:lnTo>
                <a:cubicBezTo>
                  <a:pt x="215702" y="48748"/>
                  <a:pt x="224676" y="44765"/>
                  <a:pt x="230968" y="37805"/>
                </a:cubicBezTo>
                <a:lnTo>
                  <a:pt x="254664" y="12390"/>
                </a:lnTo>
                <a:cubicBezTo>
                  <a:pt x="255690" y="11280"/>
                  <a:pt x="256913" y="10368"/>
                  <a:pt x="258272" y="9697"/>
                </a:cubicBezTo>
                <a:lnTo>
                  <a:pt x="257049" y="27641"/>
                </a:lnTo>
                <a:cubicBezTo>
                  <a:pt x="256434" y="36728"/>
                  <a:pt x="263346" y="44594"/>
                  <a:pt x="272500" y="45225"/>
                </a:cubicBezTo>
                <a:lnTo>
                  <a:pt x="273256" y="45276"/>
                </a:lnTo>
                <a:cubicBezTo>
                  <a:pt x="273643" y="45303"/>
                  <a:pt x="274029" y="45315"/>
                  <a:pt x="274414" y="45314"/>
                </a:cubicBezTo>
                <a:cubicBezTo>
                  <a:pt x="283146" y="45301"/>
                  <a:pt x="290380" y="38586"/>
                  <a:pt x="290976" y="29939"/>
                </a:cubicBezTo>
                <a:lnTo>
                  <a:pt x="291646" y="20211"/>
                </a:lnTo>
                <a:cubicBezTo>
                  <a:pt x="291821" y="18148"/>
                  <a:pt x="290277" y="16334"/>
                  <a:pt x="288197" y="16160"/>
                </a:cubicBezTo>
                <a:cubicBezTo>
                  <a:pt x="286118" y="15986"/>
                  <a:pt x="284291" y="17518"/>
                  <a:pt x="284116" y="19582"/>
                </a:cubicBezTo>
                <a:cubicBezTo>
                  <a:pt x="284112" y="19621"/>
                  <a:pt x="284110" y="19661"/>
                  <a:pt x="284107" y="19700"/>
                </a:cubicBezTo>
                <a:lnTo>
                  <a:pt x="283437" y="29428"/>
                </a:lnTo>
                <a:cubicBezTo>
                  <a:pt x="283097" y="34387"/>
                  <a:pt x="278770" y="38133"/>
                  <a:pt x="273773" y="37794"/>
                </a:cubicBezTo>
                <a:cubicBezTo>
                  <a:pt x="273773" y="37794"/>
                  <a:pt x="273772" y="37794"/>
                  <a:pt x="273772" y="37794"/>
                </a:cubicBezTo>
                <a:lnTo>
                  <a:pt x="273016" y="37743"/>
                </a:lnTo>
                <a:cubicBezTo>
                  <a:pt x="268023" y="37398"/>
                  <a:pt x="264253" y="33107"/>
                  <a:pt x="264587" y="28150"/>
                </a:cubicBezTo>
                <a:lnTo>
                  <a:pt x="266003" y="7582"/>
                </a:lnTo>
                <a:lnTo>
                  <a:pt x="283739" y="7497"/>
                </a:lnTo>
                <a:cubicBezTo>
                  <a:pt x="296038" y="7553"/>
                  <a:pt x="306697" y="15962"/>
                  <a:pt x="309529" y="27840"/>
                </a:cubicBezTo>
                <a:cubicBezTo>
                  <a:pt x="309791" y="28984"/>
                  <a:pt x="310579" y="29940"/>
                  <a:pt x="311656" y="30422"/>
                </a:cubicBezTo>
                <a:lnTo>
                  <a:pt x="332712" y="39862"/>
                </a:lnTo>
                <a:cubicBezTo>
                  <a:pt x="331506" y="49229"/>
                  <a:pt x="323480" y="56251"/>
                  <a:pt x="313966" y="5626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31" name="Freeform: Shape 330">
            <a:extLst>
              <a:ext uri="{FF2B5EF4-FFF2-40B4-BE49-F238E27FC236}">
                <a16:creationId xmlns:a16="http://schemas.microsoft.com/office/drawing/2014/main" id="{6F2F1639-E817-4BD2-826D-E14E32C831C2}"/>
              </a:ext>
            </a:extLst>
          </xdr:cNvPr>
          <xdr:cNvSpPr/>
        </xdr:nvSpPr>
        <xdr:spPr>
          <a:xfrm>
            <a:off x="13756556" y="6917539"/>
            <a:ext cx="18884" cy="67500"/>
          </a:xfrm>
          <a:custGeom>
            <a:avLst/>
            <a:gdLst>
              <a:gd name="connsiteX0" fmla="*/ 7559 w 18884"/>
              <a:gd name="connsiteY0" fmla="*/ 41338 h 67500"/>
              <a:gd name="connsiteX1" fmla="*/ 7559 w 18884"/>
              <a:gd name="connsiteY1" fmla="*/ 3750 h 67500"/>
              <a:gd name="connsiteX2" fmla="*/ 3780 w 18884"/>
              <a:gd name="connsiteY2" fmla="*/ 0 h 67500"/>
              <a:gd name="connsiteX3" fmla="*/ 2 w 18884"/>
              <a:gd name="connsiteY3" fmla="*/ 3750 h 67500"/>
              <a:gd name="connsiteX4" fmla="*/ 2 w 18884"/>
              <a:gd name="connsiteY4" fmla="*/ 45000 h 67500"/>
              <a:gd name="connsiteX5" fmla="*/ 3780 w 18884"/>
              <a:gd name="connsiteY5" fmla="*/ 48750 h 67500"/>
              <a:gd name="connsiteX6" fmla="*/ 6038 w 18884"/>
              <a:gd name="connsiteY6" fmla="*/ 48750 h 67500"/>
              <a:gd name="connsiteX7" fmla="*/ 11328 w 18884"/>
              <a:gd name="connsiteY7" fmla="*/ 54000 h 67500"/>
              <a:gd name="connsiteX8" fmla="*/ 11328 w 18884"/>
              <a:gd name="connsiteY8" fmla="*/ 54002 h 67500"/>
              <a:gd name="connsiteX9" fmla="*/ 11324 w 18884"/>
              <a:gd name="connsiteY9" fmla="*/ 60000 h 67500"/>
              <a:gd name="connsiteX10" fmla="*/ 3778 w 18884"/>
              <a:gd name="connsiteY10" fmla="*/ 60000 h 67500"/>
              <a:gd name="connsiteX11" fmla="*/ 0 w 18884"/>
              <a:gd name="connsiteY11" fmla="*/ 63750 h 67500"/>
              <a:gd name="connsiteX12" fmla="*/ 3778 w 18884"/>
              <a:gd name="connsiteY12" fmla="*/ 67500 h 67500"/>
              <a:gd name="connsiteX13" fmla="*/ 15099 w 18884"/>
              <a:gd name="connsiteY13" fmla="*/ 67500 h 67500"/>
              <a:gd name="connsiteX14" fmla="*/ 18877 w 18884"/>
              <a:gd name="connsiteY14" fmla="*/ 63753 h 67500"/>
              <a:gd name="connsiteX15" fmla="*/ 18884 w 18884"/>
              <a:gd name="connsiteY15" fmla="*/ 54008 h 67500"/>
              <a:gd name="connsiteX16" fmla="*/ 7559 w 18884"/>
              <a:gd name="connsiteY16" fmla="*/ 41338 h 6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18884" h="67500">
                <a:moveTo>
                  <a:pt x="7559" y="41338"/>
                </a:moveTo>
                <a:lnTo>
                  <a:pt x="7559" y="3750"/>
                </a:lnTo>
                <a:cubicBezTo>
                  <a:pt x="7559" y="1679"/>
                  <a:pt x="5867" y="0"/>
                  <a:pt x="3780" y="0"/>
                </a:cubicBezTo>
                <a:cubicBezTo>
                  <a:pt x="1693" y="0"/>
                  <a:pt x="2" y="1679"/>
                  <a:pt x="2" y="3750"/>
                </a:cubicBezTo>
                <a:lnTo>
                  <a:pt x="2" y="45000"/>
                </a:lnTo>
                <a:cubicBezTo>
                  <a:pt x="2" y="47071"/>
                  <a:pt x="1693" y="48750"/>
                  <a:pt x="3780" y="48750"/>
                </a:cubicBezTo>
                <a:lnTo>
                  <a:pt x="6038" y="48750"/>
                </a:lnTo>
                <a:cubicBezTo>
                  <a:pt x="8960" y="48750"/>
                  <a:pt x="11328" y="51101"/>
                  <a:pt x="11328" y="54000"/>
                </a:cubicBezTo>
                <a:cubicBezTo>
                  <a:pt x="11328" y="54001"/>
                  <a:pt x="11328" y="54001"/>
                  <a:pt x="11328" y="54002"/>
                </a:cubicBezTo>
                <a:lnTo>
                  <a:pt x="11324" y="60000"/>
                </a:lnTo>
                <a:lnTo>
                  <a:pt x="3778" y="60000"/>
                </a:lnTo>
                <a:cubicBezTo>
                  <a:pt x="1692" y="60000"/>
                  <a:pt x="0" y="61679"/>
                  <a:pt x="0" y="63750"/>
                </a:cubicBezTo>
                <a:cubicBezTo>
                  <a:pt x="0" y="65821"/>
                  <a:pt x="1692" y="67500"/>
                  <a:pt x="3778" y="67500"/>
                </a:cubicBezTo>
                <a:lnTo>
                  <a:pt x="15099" y="67500"/>
                </a:lnTo>
                <a:cubicBezTo>
                  <a:pt x="17184" y="67500"/>
                  <a:pt x="18875" y="65823"/>
                  <a:pt x="18877" y="63753"/>
                </a:cubicBezTo>
                <a:lnTo>
                  <a:pt x="18884" y="54008"/>
                </a:lnTo>
                <a:cubicBezTo>
                  <a:pt x="18887" y="47547"/>
                  <a:pt x="14022" y="42105"/>
                  <a:pt x="7559" y="4133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32" name="Freeform: Shape 331">
            <a:extLst>
              <a:ext uri="{FF2B5EF4-FFF2-40B4-BE49-F238E27FC236}">
                <a16:creationId xmlns:a16="http://schemas.microsoft.com/office/drawing/2014/main" id="{5E219873-450E-4EE3-A484-E33949034901}"/>
              </a:ext>
            </a:extLst>
          </xdr:cNvPr>
          <xdr:cNvSpPr/>
        </xdr:nvSpPr>
        <xdr:spPr>
          <a:xfrm>
            <a:off x="13956801" y="6805039"/>
            <a:ext cx="11335" cy="11250"/>
          </a:xfrm>
          <a:custGeom>
            <a:avLst/>
            <a:gdLst>
              <a:gd name="connsiteX0" fmla="*/ 11335 w 11335"/>
              <a:gd name="connsiteY0" fmla="*/ 5625 h 11250"/>
              <a:gd name="connsiteX1" fmla="*/ 5668 w 11335"/>
              <a:gd name="connsiteY1" fmla="*/ 11250 h 11250"/>
              <a:gd name="connsiteX2" fmla="*/ 0 w 11335"/>
              <a:gd name="connsiteY2" fmla="*/ 5625 h 11250"/>
              <a:gd name="connsiteX3" fmla="*/ 5668 w 11335"/>
              <a:gd name="connsiteY3" fmla="*/ 0 h 11250"/>
              <a:gd name="connsiteX4" fmla="*/ 11335 w 11335"/>
              <a:gd name="connsiteY4" fmla="*/ 5625 h 1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335" h="11250">
                <a:moveTo>
                  <a:pt x="11335" y="5625"/>
                </a:moveTo>
                <a:cubicBezTo>
                  <a:pt x="11335" y="8732"/>
                  <a:pt x="8798" y="11250"/>
                  <a:pt x="5668" y="11250"/>
                </a:cubicBezTo>
                <a:cubicBezTo>
                  <a:pt x="2537" y="11250"/>
                  <a:pt x="0" y="8732"/>
                  <a:pt x="0" y="5625"/>
                </a:cubicBezTo>
                <a:cubicBezTo>
                  <a:pt x="0" y="2518"/>
                  <a:pt x="2537" y="0"/>
                  <a:pt x="5668" y="0"/>
                </a:cubicBezTo>
                <a:cubicBezTo>
                  <a:pt x="8798" y="0"/>
                  <a:pt x="11335" y="2518"/>
                  <a:pt x="11335" y="56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10</xdr:col>
      <xdr:colOff>145786</xdr:colOff>
      <xdr:row>7</xdr:row>
      <xdr:rowOff>141044</xdr:rowOff>
    </xdr:from>
    <xdr:to>
      <xdr:col>10</xdr:col>
      <xdr:colOff>447194</xdr:colOff>
      <xdr:row>7</xdr:row>
      <xdr:rowOff>431149</xdr:rowOff>
    </xdr:to>
    <xdr:grpSp>
      <xdr:nvGrpSpPr>
        <xdr:cNvPr id="333" name="pigeon" descr="Dove outline">
          <a:extLst>
            <a:ext uri="{FF2B5EF4-FFF2-40B4-BE49-F238E27FC236}">
              <a16:creationId xmlns:a16="http://schemas.microsoft.com/office/drawing/2014/main" id="{6395A277-C259-4911-A12E-10E0AE3DF6B9}"/>
            </a:ext>
          </a:extLst>
        </xdr:cNvPr>
        <xdr:cNvGrpSpPr>
          <a:grpSpLocks noChangeAspect="1"/>
        </xdr:cNvGrpSpPr>
      </xdr:nvGrpSpPr>
      <xdr:grpSpPr>
        <a:xfrm>
          <a:off x="9156436" y="2407994"/>
          <a:ext cx="301408" cy="290105"/>
          <a:chOff x="14956955" y="6739933"/>
          <a:chExt cx="301408" cy="290105"/>
        </a:xfrm>
        <a:solidFill>
          <a:srgbClr val="1F4E78"/>
        </a:solidFill>
      </xdr:grpSpPr>
      <xdr:sp macro="" textlink="">
        <xdr:nvSpPr>
          <xdr:cNvPr id="334" name="Freeform: Shape 333">
            <a:extLst>
              <a:ext uri="{FF2B5EF4-FFF2-40B4-BE49-F238E27FC236}">
                <a16:creationId xmlns:a16="http://schemas.microsoft.com/office/drawing/2014/main" id="{6FC1C3DA-A45B-4C21-A514-8335DA01538B}"/>
              </a:ext>
            </a:extLst>
          </xdr:cNvPr>
          <xdr:cNvSpPr/>
        </xdr:nvSpPr>
        <xdr:spPr>
          <a:xfrm>
            <a:off x="14956955" y="6762941"/>
            <a:ext cx="272337" cy="267097"/>
          </a:xfrm>
          <a:custGeom>
            <a:avLst/>
            <a:gdLst>
              <a:gd name="connsiteX0" fmla="*/ 266287 w 272337"/>
              <a:gd name="connsiteY0" fmla="*/ 91860 h 267097"/>
              <a:gd name="connsiteX1" fmla="*/ 258425 w 272337"/>
              <a:gd name="connsiteY1" fmla="*/ 73688 h 267097"/>
              <a:gd name="connsiteX2" fmla="*/ 238105 w 272337"/>
              <a:gd name="connsiteY2" fmla="*/ 62483 h 267097"/>
              <a:gd name="connsiteX3" fmla="*/ 208550 w 272337"/>
              <a:gd name="connsiteY3" fmla="*/ 88887 h 267097"/>
              <a:gd name="connsiteX4" fmla="*/ 200336 w 272337"/>
              <a:gd name="connsiteY4" fmla="*/ 102900 h 267097"/>
              <a:gd name="connsiteX5" fmla="*/ 196327 w 272337"/>
              <a:gd name="connsiteY5" fmla="*/ 106380 h 267097"/>
              <a:gd name="connsiteX6" fmla="*/ 185098 w 272337"/>
              <a:gd name="connsiteY6" fmla="*/ 113648 h 267097"/>
              <a:gd name="connsiteX7" fmla="*/ 177587 w 272337"/>
              <a:gd name="connsiteY7" fmla="*/ 117559 h 267097"/>
              <a:gd name="connsiteX8" fmla="*/ 177621 w 272337"/>
              <a:gd name="connsiteY8" fmla="*/ 109076 h 267097"/>
              <a:gd name="connsiteX9" fmla="*/ 132205 w 272337"/>
              <a:gd name="connsiteY9" fmla="*/ 54679 h 267097"/>
              <a:gd name="connsiteX10" fmla="*/ 56139 w 272337"/>
              <a:gd name="connsiteY10" fmla="*/ 32741 h 267097"/>
              <a:gd name="connsiteX11" fmla="*/ 10629 w 272337"/>
              <a:gd name="connsiteY11" fmla="*/ 1916 h 267097"/>
              <a:gd name="connsiteX12" fmla="*/ 2664 w 272337"/>
              <a:gd name="connsiteY12" fmla="*/ 1384 h 267097"/>
              <a:gd name="connsiteX13" fmla="*/ 745 w 272337"/>
              <a:gd name="connsiteY13" fmla="*/ 5243 h 267097"/>
              <a:gd name="connsiteX14" fmla="*/ 11642 w 272337"/>
              <a:gd name="connsiteY14" fmla="*/ 96255 h 267097"/>
              <a:gd name="connsiteX15" fmla="*/ 84772 w 272337"/>
              <a:gd name="connsiteY15" fmla="*/ 148755 h 267097"/>
              <a:gd name="connsiteX16" fmla="*/ 110876 w 272337"/>
              <a:gd name="connsiteY16" fmla="*/ 158201 h 267097"/>
              <a:gd name="connsiteX17" fmla="*/ 86906 w 272337"/>
              <a:gd name="connsiteY17" fmla="*/ 174278 h 267097"/>
              <a:gd name="connsiteX18" fmla="*/ 15873 w 272337"/>
              <a:gd name="connsiteY18" fmla="*/ 200078 h 267097"/>
              <a:gd name="connsiteX19" fmla="*/ 12851 w 272337"/>
              <a:gd name="connsiteY19" fmla="*/ 202988 h 267097"/>
              <a:gd name="connsiteX20" fmla="*/ 14630 w 272337"/>
              <a:gd name="connsiteY20" fmla="*/ 215186 h 267097"/>
              <a:gd name="connsiteX21" fmla="*/ 27231 w 272337"/>
              <a:gd name="connsiteY21" fmla="*/ 222934 h 267097"/>
              <a:gd name="connsiteX22" fmla="*/ 36571 w 272337"/>
              <a:gd name="connsiteY22" fmla="*/ 244267 h 267097"/>
              <a:gd name="connsiteX23" fmla="*/ 41169 w 272337"/>
              <a:gd name="connsiteY23" fmla="*/ 245348 h 267097"/>
              <a:gd name="connsiteX24" fmla="*/ 43119 w 272337"/>
              <a:gd name="connsiteY24" fmla="*/ 260903 h 267097"/>
              <a:gd name="connsiteX25" fmla="*/ 55168 w 272337"/>
              <a:gd name="connsiteY25" fmla="*/ 267098 h 267097"/>
              <a:gd name="connsiteX26" fmla="*/ 55470 w 272337"/>
              <a:gd name="connsiteY26" fmla="*/ 267098 h 267097"/>
              <a:gd name="connsiteX27" fmla="*/ 58595 w 272337"/>
              <a:gd name="connsiteY27" fmla="*/ 265545 h 267097"/>
              <a:gd name="connsiteX28" fmla="*/ 116226 w 272337"/>
              <a:gd name="connsiteY28" fmla="*/ 210795 h 267097"/>
              <a:gd name="connsiteX29" fmla="*/ 149060 w 272337"/>
              <a:gd name="connsiteY29" fmla="*/ 209554 h 267097"/>
              <a:gd name="connsiteX30" fmla="*/ 153156 w 272337"/>
              <a:gd name="connsiteY30" fmla="*/ 209603 h 267097"/>
              <a:gd name="connsiteX31" fmla="*/ 155257 w 272337"/>
              <a:gd name="connsiteY31" fmla="*/ 209625 h 267097"/>
              <a:gd name="connsiteX32" fmla="*/ 228693 w 272337"/>
              <a:gd name="connsiteY32" fmla="*/ 164944 h 267097"/>
              <a:gd name="connsiteX33" fmla="*/ 234644 w 272337"/>
              <a:gd name="connsiteY33" fmla="*/ 117968 h 267097"/>
              <a:gd name="connsiteX34" fmla="*/ 252149 w 272337"/>
              <a:gd name="connsiteY34" fmla="*/ 98618 h 267097"/>
              <a:gd name="connsiteX35" fmla="*/ 262445 w 272337"/>
              <a:gd name="connsiteY35" fmla="*/ 97924 h 267097"/>
              <a:gd name="connsiteX36" fmla="*/ 272027 w 272337"/>
              <a:gd name="connsiteY36" fmla="*/ 101014 h 267097"/>
              <a:gd name="connsiteX37" fmla="*/ 266287 w 272337"/>
              <a:gd name="connsiteY37" fmla="*/ 91860 h 267097"/>
              <a:gd name="connsiteX38" fmla="*/ 169048 w 272337"/>
              <a:gd name="connsiteY38" fmla="*/ 130598 h 267097"/>
              <a:gd name="connsiteX39" fmla="*/ 172471 w 272337"/>
              <a:gd name="connsiteY39" fmla="*/ 134670 h 267097"/>
              <a:gd name="connsiteX40" fmla="*/ 172471 w 272337"/>
              <a:gd name="connsiteY40" fmla="*/ 134670 h 267097"/>
              <a:gd name="connsiteX41" fmla="*/ 172815 w 272337"/>
              <a:gd name="connsiteY41" fmla="*/ 134670 h 267097"/>
              <a:gd name="connsiteX42" fmla="*/ 176593 w 272337"/>
              <a:gd name="connsiteY42" fmla="*/ 131254 h 267097"/>
              <a:gd name="connsiteX43" fmla="*/ 177058 w 272337"/>
              <a:gd name="connsiteY43" fmla="*/ 126150 h 267097"/>
              <a:gd name="connsiteX44" fmla="*/ 180889 w 272337"/>
              <a:gd name="connsiteY44" fmla="*/ 124313 h 267097"/>
              <a:gd name="connsiteX45" fmla="*/ 188994 w 272337"/>
              <a:gd name="connsiteY45" fmla="*/ 120087 h 267097"/>
              <a:gd name="connsiteX46" fmla="*/ 189118 w 272337"/>
              <a:gd name="connsiteY46" fmla="*/ 120011 h 267097"/>
              <a:gd name="connsiteX47" fmla="*/ 189243 w 272337"/>
              <a:gd name="connsiteY47" fmla="*/ 119933 h 267097"/>
              <a:gd name="connsiteX48" fmla="*/ 200480 w 272337"/>
              <a:gd name="connsiteY48" fmla="*/ 112665 h 267097"/>
              <a:gd name="connsiteX49" fmla="*/ 200646 w 272337"/>
              <a:gd name="connsiteY49" fmla="*/ 112560 h 267097"/>
              <a:gd name="connsiteX50" fmla="*/ 200805 w 272337"/>
              <a:gd name="connsiteY50" fmla="*/ 112444 h 267097"/>
              <a:gd name="connsiteX51" fmla="*/ 205747 w 272337"/>
              <a:gd name="connsiteY51" fmla="*/ 108169 h 267097"/>
              <a:gd name="connsiteX52" fmla="*/ 215884 w 272337"/>
              <a:gd name="connsiteY52" fmla="*/ 90810 h 267097"/>
              <a:gd name="connsiteX53" fmla="*/ 215982 w 272337"/>
              <a:gd name="connsiteY53" fmla="*/ 90435 h 267097"/>
              <a:gd name="connsiteX54" fmla="*/ 216043 w 272337"/>
              <a:gd name="connsiteY54" fmla="*/ 90060 h 267097"/>
              <a:gd name="connsiteX55" fmla="*/ 238112 w 272337"/>
              <a:gd name="connsiteY55" fmla="*/ 69964 h 267097"/>
              <a:gd name="connsiteX56" fmla="*/ 252092 w 272337"/>
              <a:gd name="connsiteY56" fmla="*/ 77738 h 267097"/>
              <a:gd name="connsiteX57" fmla="*/ 258024 w 272337"/>
              <a:gd name="connsiteY57" fmla="*/ 90255 h 267097"/>
              <a:gd name="connsiteX58" fmla="*/ 250309 w 272337"/>
              <a:gd name="connsiteY58" fmla="*/ 91346 h 267097"/>
              <a:gd name="connsiteX59" fmla="*/ 250071 w 272337"/>
              <a:gd name="connsiteY59" fmla="*/ 91410 h 267097"/>
              <a:gd name="connsiteX60" fmla="*/ 227238 w 272337"/>
              <a:gd name="connsiteY60" fmla="*/ 116629 h 267097"/>
              <a:gd name="connsiteX61" fmla="*/ 225659 w 272337"/>
              <a:gd name="connsiteY61" fmla="*/ 136729 h 267097"/>
              <a:gd name="connsiteX62" fmla="*/ 221775 w 272337"/>
              <a:gd name="connsiteY62" fmla="*/ 161970 h 267097"/>
              <a:gd name="connsiteX63" fmla="*/ 155276 w 272337"/>
              <a:gd name="connsiteY63" fmla="*/ 202137 h 267097"/>
              <a:gd name="connsiteX64" fmla="*/ 153352 w 272337"/>
              <a:gd name="connsiteY64" fmla="*/ 202114 h 267097"/>
              <a:gd name="connsiteX65" fmla="*/ 149079 w 272337"/>
              <a:gd name="connsiteY65" fmla="*/ 202065 h 267097"/>
              <a:gd name="connsiteX66" fmla="*/ 128993 w 272337"/>
              <a:gd name="connsiteY66" fmla="*/ 202748 h 267097"/>
              <a:gd name="connsiteX67" fmla="*/ 116030 w 272337"/>
              <a:gd name="connsiteY67" fmla="*/ 203310 h 267097"/>
              <a:gd name="connsiteX68" fmla="*/ 63061 w 272337"/>
              <a:gd name="connsiteY68" fmla="*/ 245126 h 267097"/>
              <a:gd name="connsiteX69" fmla="*/ 53751 w 272337"/>
              <a:gd name="connsiteY69" fmla="*/ 259377 h 267097"/>
              <a:gd name="connsiteX70" fmla="*/ 49191 w 272337"/>
              <a:gd name="connsiteY70" fmla="*/ 256452 h 267097"/>
              <a:gd name="connsiteX71" fmla="*/ 48186 w 272337"/>
              <a:gd name="connsiteY71" fmla="*/ 248070 h 267097"/>
              <a:gd name="connsiteX72" fmla="*/ 51855 w 272337"/>
              <a:gd name="connsiteY72" fmla="*/ 238767 h 267097"/>
              <a:gd name="connsiteX73" fmla="*/ 41831 w 272337"/>
              <a:gd name="connsiteY73" fmla="*/ 237867 h 267097"/>
              <a:gd name="connsiteX74" fmla="*/ 33684 w 272337"/>
              <a:gd name="connsiteY74" fmla="*/ 228133 h 267097"/>
              <a:gd name="connsiteX75" fmla="*/ 34274 w 272337"/>
              <a:gd name="connsiteY75" fmla="*/ 225675 h 267097"/>
              <a:gd name="connsiteX76" fmla="*/ 37977 w 272337"/>
              <a:gd name="connsiteY76" fmla="*/ 216357 h 267097"/>
              <a:gd name="connsiteX77" fmla="*/ 27926 w 272337"/>
              <a:gd name="connsiteY77" fmla="*/ 215453 h 267097"/>
              <a:gd name="connsiteX78" fmla="*/ 21125 w 272337"/>
              <a:gd name="connsiteY78" fmla="*/ 211328 h 267097"/>
              <a:gd name="connsiteX79" fmla="*/ 19920 w 272337"/>
              <a:gd name="connsiteY79" fmla="*/ 206940 h 267097"/>
              <a:gd name="connsiteX80" fmla="*/ 90760 w 272337"/>
              <a:gd name="connsiteY80" fmla="*/ 180728 h 267097"/>
              <a:gd name="connsiteX81" fmla="*/ 107634 w 272337"/>
              <a:gd name="connsiteY81" fmla="*/ 169575 h 267097"/>
              <a:gd name="connsiteX82" fmla="*/ 115150 w 272337"/>
              <a:gd name="connsiteY82" fmla="*/ 164385 h 267097"/>
              <a:gd name="connsiteX83" fmla="*/ 119461 w 272337"/>
              <a:gd name="connsiteY83" fmla="*/ 161464 h 267097"/>
              <a:gd name="connsiteX84" fmla="*/ 131427 w 272337"/>
              <a:gd name="connsiteY84" fmla="*/ 165780 h 267097"/>
              <a:gd name="connsiteX85" fmla="*/ 136225 w 272337"/>
              <a:gd name="connsiteY85" fmla="*/ 163447 h 267097"/>
              <a:gd name="connsiteX86" fmla="*/ 134011 w 272337"/>
              <a:gd name="connsiteY86" fmla="*/ 158734 h 267097"/>
              <a:gd name="connsiteX87" fmla="*/ 113529 w 272337"/>
              <a:gd name="connsiteY87" fmla="*/ 151166 h 267097"/>
              <a:gd name="connsiteX88" fmla="*/ 99488 w 272337"/>
              <a:gd name="connsiteY88" fmla="*/ 146085 h 267097"/>
              <a:gd name="connsiteX89" fmla="*/ 87556 w 272337"/>
              <a:gd name="connsiteY89" fmla="*/ 141773 h 267097"/>
              <a:gd name="connsiteX90" fmla="*/ 75741 w 272337"/>
              <a:gd name="connsiteY90" fmla="*/ 137307 h 267097"/>
              <a:gd name="connsiteX91" fmla="*/ 18280 w 272337"/>
              <a:gd name="connsiteY91" fmla="*/ 92644 h 267097"/>
              <a:gd name="connsiteX92" fmla="*/ 8029 w 272337"/>
              <a:gd name="connsiteY92" fmla="*/ 10223 h 267097"/>
              <a:gd name="connsiteX93" fmla="*/ 8094 w 272337"/>
              <a:gd name="connsiteY93" fmla="*/ 10200 h 267097"/>
              <a:gd name="connsiteX94" fmla="*/ 52837 w 272337"/>
              <a:gd name="connsiteY94" fmla="*/ 39484 h 267097"/>
              <a:gd name="connsiteX95" fmla="*/ 106573 w 272337"/>
              <a:gd name="connsiteY95" fmla="*/ 57045 h 267097"/>
              <a:gd name="connsiteX96" fmla="*/ 130505 w 272337"/>
              <a:gd name="connsiteY96" fmla="*/ 61988 h 267097"/>
              <a:gd name="connsiteX97" fmla="*/ 170068 w 272337"/>
              <a:gd name="connsiteY97" fmla="*/ 109286 h 267097"/>
              <a:gd name="connsiteX98" fmla="*/ 170030 w 272337"/>
              <a:gd name="connsiteY98" fmla="*/ 117443 h 26709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</a:cxnLst>
            <a:rect l="l" t="t" r="r" b="b"/>
            <a:pathLst>
              <a:path w="272337" h="267097">
                <a:moveTo>
                  <a:pt x="266287" y="91860"/>
                </a:moveTo>
                <a:cubicBezTo>
                  <a:pt x="264703" y="85411"/>
                  <a:pt x="262046" y="79269"/>
                  <a:pt x="258425" y="73688"/>
                </a:cubicBezTo>
                <a:cubicBezTo>
                  <a:pt x="254059" y="66717"/>
                  <a:pt x="246374" y="62480"/>
                  <a:pt x="238105" y="62483"/>
                </a:cubicBezTo>
                <a:cubicBezTo>
                  <a:pt x="223125" y="63054"/>
                  <a:pt x="210693" y="74161"/>
                  <a:pt x="208550" y="88887"/>
                </a:cubicBezTo>
                <a:cubicBezTo>
                  <a:pt x="207126" y="94204"/>
                  <a:pt x="204290" y="99043"/>
                  <a:pt x="200336" y="102900"/>
                </a:cubicBezTo>
                <a:cubicBezTo>
                  <a:pt x="199107" y="104176"/>
                  <a:pt x="197765" y="105341"/>
                  <a:pt x="196327" y="106380"/>
                </a:cubicBezTo>
                <a:lnTo>
                  <a:pt x="185098" y="113648"/>
                </a:lnTo>
                <a:cubicBezTo>
                  <a:pt x="182363" y="115271"/>
                  <a:pt x="177587" y="117559"/>
                  <a:pt x="177587" y="117559"/>
                </a:cubicBezTo>
                <a:cubicBezTo>
                  <a:pt x="177587" y="117559"/>
                  <a:pt x="177685" y="111345"/>
                  <a:pt x="177621" y="109076"/>
                </a:cubicBezTo>
                <a:cubicBezTo>
                  <a:pt x="176790" y="79414"/>
                  <a:pt x="161937" y="61489"/>
                  <a:pt x="132205" y="54679"/>
                </a:cubicBezTo>
                <a:cubicBezTo>
                  <a:pt x="96031" y="46395"/>
                  <a:pt x="89400" y="48769"/>
                  <a:pt x="56139" y="32741"/>
                </a:cubicBezTo>
                <a:cubicBezTo>
                  <a:pt x="42722" y="26276"/>
                  <a:pt x="23989" y="16875"/>
                  <a:pt x="10629" y="1916"/>
                </a:cubicBezTo>
                <a:cubicBezTo>
                  <a:pt x="8578" y="-414"/>
                  <a:pt x="5012" y="-652"/>
                  <a:pt x="2664" y="1384"/>
                </a:cubicBezTo>
                <a:cubicBezTo>
                  <a:pt x="1532" y="2365"/>
                  <a:pt x="841" y="3754"/>
                  <a:pt x="745" y="5243"/>
                </a:cubicBezTo>
                <a:cubicBezTo>
                  <a:pt x="-1080" y="34549"/>
                  <a:pt x="-287" y="74644"/>
                  <a:pt x="11642" y="96255"/>
                </a:cubicBezTo>
                <a:cubicBezTo>
                  <a:pt x="31837" y="132855"/>
                  <a:pt x="53819" y="136628"/>
                  <a:pt x="84772" y="148755"/>
                </a:cubicBezTo>
                <a:cubicBezTo>
                  <a:pt x="93726" y="152070"/>
                  <a:pt x="100754" y="154451"/>
                  <a:pt x="110876" y="158201"/>
                </a:cubicBezTo>
                <a:cubicBezTo>
                  <a:pt x="102367" y="163973"/>
                  <a:pt x="94414" y="169875"/>
                  <a:pt x="86906" y="174278"/>
                </a:cubicBezTo>
                <a:cubicBezTo>
                  <a:pt x="64862" y="186787"/>
                  <a:pt x="40846" y="195510"/>
                  <a:pt x="15873" y="200078"/>
                </a:cubicBezTo>
                <a:cubicBezTo>
                  <a:pt x="14385" y="200389"/>
                  <a:pt x="13210" y="201521"/>
                  <a:pt x="12851" y="202988"/>
                </a:cubicBezTo>
                <a:cubicBezTo>
                  <a:pt x="11776" y="207127"/>
                  <a:pt x="12417" y="211520"/>
                  <a:pt x="14630" y="215186"/>
                </a:cubicBezTo>
                <a:cubicBezTo>
                  <a:pt x="17366" y="219595"/>
                  <a:pt x="22035" y="222467"/>
                  <a:pt x="27231" y="222934"/>
                </a:cubicBezTo>
                <a:cubicBezTo>
                  <a:pt x="23874" y="231385"/>
                  <a:pt x="28056" y="240936"/>
                  <a:pt x="36571" y="244267"/>
                </a:cubicBezTo>
                <a:cubicBezTo>
                  <a:pt x="38044" y="244844"/>
                  <a:pt x="39592" y="245207"/>
                  <a:pt x="41169" y="245348"/>
                </a:cubicBezTo>
                <a:cubicBezTo>
                  <a:pt x="39125" y="250526"/>
                  <a:pt x="39859" y="256379"/>
                  <a:pt x="43119" y="260903"/>
                </a:cubicBezTo>
                <a:cubicBezTo>
                  <a:pt x="45983" y="264673"/>
                  <a:pt x="50414" y="266951"/>
                  <a:pt x="55168" y="267098"/>
                </a:cubicBezTo>
                <a:lnTo>
                  <a:pt x="55470" y="267098"/>
                </a:lnTo>
                <a:cubicBezTo>
                  <a:pt x="56700" y="267099"/>
                  <a:pt x="57859" y="266523"/>
                  <a:pt x="58595" y="265545"/>
                </a:cubicBezTo>
                <a:cubicBezTo>
                  <a:pt x="75704" y="242224"/>
                  <a:pt x="86298" y="211646"/>
                  <a:pt x="116226" y="210795"/>
                </a:cubicBezTo>
                <a:cubicBezTo>
                  <a:pt x="127184" y="210484"/>
                  <a:pt x="138141" y="209554"/>
                  <a:pt x="149060" y="209554"/>
                </a:cubicBezTo>
                <a:cubicBezTo>
                  <a:pt x="150424" y="209554"/>
                  <a:pt x="151792" y="209554"/>
                  <a:pt x="153156" y="209603"/>
                </a:cubicBezTo>
                <a:cubicBezTo>
                  <a:pt x="153855" y="209603"/>
                  <a:pt x="154558" y="209625"/>
                  <a:pt x="155257" y="209625"/>
                </a:cubicBezTo>
                <a:cubicBezTo>
                  <a:pt x="186893" y="209625"/>
                  <a:pt x="216402" y="193080"/>
                  <a:pt x="228693" y="164944"/>
                </a:cubicBezTo>
                <a:cubicBezTo>
                  <a:pt x="235407" y="149569"/>
                  <a:pt x="231617" y="134569"/>
                  <a:pt x="234644" y="117968"/>
                </a:cubicBezTo>
                <a:cubicBezTo>
                  <a:pt x="236949" y="105319"/>
                  <a:pt x="240561" y="101955"/>
                  <a:pt x="252149" y="98618"/>
                </a:cubicBezTo>
                <a:cubicBezTo>
                  <a:pt x="255510" y="97768"/>
                  <a:pt x="258999" y="97532"/>
                  <a:pt x="262445" y="97924"/>
                </a:cubicBezTo>
                <a:lnTo>
                  <a:pt x="272027" y="101014"/>
                </a:lnTo>
                <a:cubicBezTo>
                  <a:pt x="272027" y="101014"/>
                  <a:pt x="274350" y="98288"/>
                  <a:pt x="266287" y="91860"/>
                </a:cubicBezTo>
                <a:close/>
                <a:moveTo>
                  <a:pt x="169048" y="130598"/>
                </a:moveTo>
                <a:cubicBezTo>
                  <a:pt x="168860" y="132660"/>
                  <a:pt x="170392" y="134484"/>
                  <a:pt x="172471" y="134670"/>
                </a:cubicBezTo>
                <a:cubicBezTo>
                  <a:pt x="172471" y="134670"/>
                  <a:pt x="172471" y="134670"/>
                  <a:pt x="172471" y="134670"/>
                </a:cubicBezTo>
                <a:cubicBezTo>
                  <a:pt x="172588" y="134670"/>
                  <a:pt x="172701" y="134670"/>
                  <a:pt x="172815" y="134670"/>
                </a:cubicBezTo>
                <a:cubicBezTo>
                  <a:pt x="174777" y="134678"/>
                  <a:pt x="176419" y="133194"/>
                  <a:pt x="176593" y="131254"/>
                </a:cubicBezTo>
                <a:lnTo>
                  <a:pt x="177058" y="126150"/>
                </a:lnTo>
                <a:lnTo>
                  <a:pt x="180889" y="124313"/>
                </a:lnTo>
                <a:cubicBezTo>
                  <a:pt x="181097" y="124215"/>
                  <a:pt x="186005" y="121860"/>
                  <a:pt x="188994" y="120087"/>
                </a:cubicBezTo>
                <a:lnTo>
                  <a:pt x="189118" y="120011"/>
                </a:lnTo>
                <a:lnTo>
                  <a:pt x="189243" y="119933"/>
                </a:lnTo>
                <a:lnTo>
                  <a:pt x="200480" y="112665"/>
                </a:lnTo>
                <a:lnTo>
                  <a:pt x="200646" y="112560"/>
                </a:lnTo>
                <a:lnTo>
                  <a:pt x="200805" y="112444"/>
                </a:lnTo>
                <a:cubicBezTo>
                  <a:pt x="202574" y="111164"/>
                  <a:pt x="204228" y="109734"/>
                  <a:pt x="205747" y="108169"/>
                </a:cubicBezTo>
                <a:cubicBezTo>
                  <a:pt x="210622" y="103381"/>
                  <a:pt x="214122" y="97389"/>
                  <a:pt x="215884" y="90810"/>
                </a:cubicBezTo>
                <a:lnTo>
                  <a:pt x="215982" y="90435"/>
                </a:lnTo>
                <a:lnTo>
                  <a:pt x="216043" y="90060"/>
                </a:lnTo>
                <a:cubicBezTo>
                  <a:pt x="217621" y="78991"/>
                  <a:pt x="226865" y="70574"/>
                  <a:pt x="238112" y="69964"/>
                </a:cubicBezTo>
                <a:cubicBezTo>
                  <a:pt x="243824" y="69939"/>
                  <a:pt x="249131" y="72890"/>
                  <a:pt x="252092" y="77738"/>
                </a:cubicBezTo>
                <a:cubicBezTo>
                  <a:pt x="254623" y="81629"/>
                  <a:pt x="256618" y="85839"/>
                  <a:pt x="258024" y="90255"/>
                </a:cubicBezTo>
                <a:cubicBezTo>
                  <a:pt x="255420" y="90342"/>
                  <a:pt x="252833" y="90708"/>
                  <a:pt x="250309" y="91346"/>
                </a:cubicBezTo>
                <a:lnTo>
                  <a:pt x="250071" y="91410"/>
                </a:lnTo>
                <a:cubicBezTo>
                  <a:pt x="235335" y="95659"/>
                  <a:pt x="229985" y="101535"/>
                  <a:pt x="227238" y="116629"/>
                </a:cubicBezTo>
                <a:cubicBezTo>
                  <a:pt x="226165" y="123275"/>
                  <a:pt x="225637" y="129998"/>
                  <a:pt x="225659" y="136729"/>
                </a:cubicBezTo>
                <a:cubicBezTo>
                  <a:pt x="226079" y="145316"/>
                  <a:pt x="224758" y="153899"/>
                  <a:pt x="221775" y="161970"/>
                </a:cubicBezTo>
                <a:cubicBezTo>
                  <a:pt x="211116" y="186372"/>
                  <a:pt x="185011" y="202137"/>
                  <a:pt x="155276" y="202137"/>
                </a:cubicBezTo>
                <a:cubicBezTo>
                  <a:pt x="154637" y="202137"/>
                  <a:pt x="153991" y="202137"/>
                  <a:pt x="153352" y="202114"/>
                </a:cubicBezTo>
                <a:cubicBezTo>
                  <a:pt x="151928" y="202084"/>
                  <a:pt x="150504" y="202065"/>
                  <a:pt x="149079" y="202065"/>
                </a:cubicBezTo>
                <a:cubicBezTo>
                  <a:pt x="142327" y="202065"/>
                  <a:pt x="135549" y="202410"/>
                  <a:pt x="128993" y="202748"/>
                </a:cubicBezTo>
                <a:cubicBezTo>
                  <a:pt x="124731" y="202962"/>
                  <a:pt x="120303" y="203187"/>
                  <a:pt x="116030" y="203310"/>
                </a:cubicBezTo>
                <a:cubicBezTo>
                  <a:pt x="88777" y="204098"/>
                  <a:pt x="75704" y="224948"/>
                  <a:pt x="63061" y="245126"/>
                </a:cubicBezTo>
                <a:cubicBezTo>
                  <a:pt x="60057" y="249923"/>
                  <a:pt x="56959" y="254876"/>
                  <a:pt x="53751" y="259377"/>
                </a:cubicBezTo>
                <a:cubicBezTo>
                  <a:pt x="51937" y="258952"/>
                  <a:pt x="50326" y="257919"/>
                  <a:pt x="49191" y="256452"/>
                </a:cubicBezTo>
                <a:cubicBezTo>
                  <a:pt x="47460" y="254002"/>
                  <a:pt x="47082" y="250854"/>
                  <a:pt x="48186" y="248070"/>
                </a:cubicBezTo>
                <a:lnTo>
                  <a:pt x="51855" y="238767"/>
                </a:lnTo>
                <a:lnTo>
                  <a:pt x="41831" y="237867"/>
                </a:lnTo>
                <a:cubicBezTo>
                  <a:pt x="36873" y="237412"/>
                  <a:pt x="33225" y="233054"/>
                  <a:pt x="33684" y="228133"/>
                </a:cubicBezTo>
                <a:cubicBezTo>
                  <a:pt x="33762" y="227290"/>
                  <a:pt x="33961" y="226463"/>
                  <a:pt x="34274" y="225675"/>
                </a:cubicBezTo>
                <a:lnTo>
                  <a:pt x="37977" y="216357"/>
                </a:lnTo>
                <a:lnTo>
                  <a:pt x="27926" y="215453"/>
                </a:lnTo>
                <a:cubicBezTo>
                  <a:pt x="25136" y="215204"/>
                  <a:pt x="22621" y="213679"/>
                  <a:pt x="21125" y="211328"/>
                </a:cubicBezTo>
                <a:cubicBezTo>
                  <a:pt x="20329" y="210001"/>
                  <a:pt x="19912" y="208484"/>
                  <a:pt x="19920" y="206940"/>
                </a:cubicBezTo>
                <a:cubicBezTo>
                  <a:pt x="44817" y="202098"/>
                  <a:pt x="68746" y="193244"/>
                  <a:pt x="90760" y="180728"/>
                </a:cubicBezTo>
                <a:cubicBezTo>
                  <a:pt x="96246" y="177510"/>
                  <a:pt x="101778" y="173655"/>
                  <a:pt x="107634" y="169575"/>
                </a:cubicBezTo>
                <a:cubicBezTo>
                  <a:pt x="110090" y="167865"/>
                  <a:pt x="112595" y="166118"/>
                  <a:pt x="115150" y="164385"/>
                </a:cubicBezTo>
                <a:lnTo>
                  <a:pt x="119461" y="161464"/>
                </a:lnTo>
                <a:lnTo>
                  <a:pt x="131427" y="165780"/>
                </a:lnTo>
                <a:cubicBezTo>
                  <a:pt x="133401" y="166451"/>
                  <a:pt x="135549" y="165406"/>
                  <a:pt x="136225" y="163447"/>
                </a:cubicBezTo>
                <a:cubicBezTo>
                  <a:pt x="136882" y="161540"/>
                  <a:pt x="135904" y="159460"/>
                  <a:pt x="134011" y="158734"/>
                </a:cubicBezTo>
                <a:lnTo>
                  <a:pt x="113529" y="151166"/>
                </a:lnTo>
                <a:cubicBezTo>
                  <a:pt x="108239" y="149209"/>
                  <a:pt x="103799" y="147623"/>
                  <a:pt x="99488" y="146085"/>
                </a:cubicBezTo>
                <a:cubicBezTo>
                  <a:pt x="95540" y="144675"/>
                  <a:pt x="91701" y="143303"/>
                  <a:pt x="87556" y="141773"/>
                </a:cubicBezTo>
                <a:cubicBezTo>
                  <a:pt x="83468" y="140172"/>
                  <a:pt x="79535" y="138713"/>
                  <a:pt x="75741" y="137307"/>
                </a:cubicBezTo>
                <a:cubicBezTo>
                  <a:pt x="50899" y="128100"/>
                  <a:pt x="34485" y="122018"/>
                  <a:pt x="18280" y="92644"/>
                </a:cubicBezTo>
                <a:cubicBezTo>
                  <a:pt x="9809" y="77348"/>
                  <a:pt x="6125" y="47445"/>
                  <a:pt x="8029" y="10223"/>
                </a:cubicBezTo>
                <a:cubicBezTo>
                  <a:pt x="8029" y="10178"/>
                  <a:pt x="8060" y="10166"/>
                  <a:pt x="8094" y="10200"/>
                </a:cubicBezTo>
                <a:cubicBezTo>
                  <a:pt x="22776" y="24998"/>
                  <a:pt x="42099" y="34316"/>
                  <a:pt x="52837" y="39484"/>
                </a:cubicBezTo>
                <a:cubicBezTo>
                  <a:pt x="69671" y="48192"/>
                  <a:pt x="87820" y="54123"/>
                  <a:pt x="106573" y="57045"/>
                </a:cubicBezTo>
                <a:cubicBezTo>
                  <a:pt x="113215" y="58313"/>
                  <a:pt x="120745" y="59753"/>
                  <a:pt x="130505" y="61988"/>
                </a:cubicBezTo>
                <a:cubicBezTo>
                  <a:pt x="156761" y="67988"/>
                  <a:pt x="169331" y="83029"/>
                  <a:pt x="170068" y="109286"/>
                </a:cubicBezTo>
                <a:cubicBezTo>
                  <a:pt x="170117" y="111011"/>
                  <a:pt x="170068" y="115759"/>
                  <a:pt x="170030" y="11744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35" name="Freeform: Shape 334">
            <a:extLst>
              <a:ext uri="{FF2B5EF4-FFF2-40B4-BE49-F238E27FC236}">
                <a16:creationId xmlns:a16="http://schemas.microsoft.com/office/drawing/2014/main" id="{E899F36C-A780-40EE-85E4-22C55B640CED}"/>
              </a:ext>
            </a:extLst>
          </xdr:cNvPr>
          <xdr:cNvSpPr/>
        </xdr:nvSpPr>
        <xdr:spPr>
          <a:xfrm>
            <a:off x="15226303" y="6824677"/>
            <a:ext cx="10254" cy="26591"/>
          </a:xfrm>
          <a:custGeom>
            <a:avLst/>
            <a:gdLst>
              <a:gd name="connsiteX0" fmla="*/ 0 w 10254"/>
              <a:gd name="connsiteY0" fmla="*/ 24986 h 26591"/>
              <a:gd name="connsiteX1" fmla="*/ 7383 w 10254"/>
              <a:gd name="connsiteY1" fmla="*/ 26591 h 26591"/>
              <a:gd name="connsiteX2" fmla="*/ 10254 w 10254"/>
              <a:gd name="connsiteY2" fmla="*/ 75 h 26591"/>
              <a:gd name="connsiteX3" fmla="*/ 2698 w 10254"/>
              <a:gd name="connsiteY3" fmla="*/ 0 h 26591"/>
              <a:gd name="connsiteX4" fmla="*/ 0 w 10254"/>
              <a:gd name="connsiteY4" fmla="*/ 24986 h 2659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254" h="26591">
                <a:moveTo>
                  <a:pt x="0" y="24986"/>
                </a:moveTo>
                <a:lnTo>
                  <a:pt x="7383" y="26591"/>
                </a:lnTo>
                <a:cubicBezTo>
                  <a:pt x="9246" y="17872"/>
                  <a:pt x="10208" y="8988"/>
                  <a:pt x="10254" y="75"/>
                </a:cubicBezTo>
                <a:lnTo>
                  <a:pt x="2698" y="0"/>
                </a:lnTo>
                <a:cubicBezTo>
                  <a:pt x="2660" y="8399"/>
                  <a:pt x="1757" y="16771"/>
                  <a:pt x="0" y="2498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36" name="Freeform: Shape 335">
            <a:extLst>
              <a:ext uri="{FF2B5EF4-FFF2-40B4-BE49-F238E27FC236}">
                <a16:creationId xmlns:a16="http://schemas.microsoft.com/office/drawing/2014/main" id="{BE755F58-DE51-4A90-A5A3-C399D5940BC8}"/>
              </a:ext>
            </a:extLst>
          </xdr:cNvPr>
          <xdr:cNvSpPr/>
        </xdr:nvSpPr>
        <xdr:spPr>
          <a:xfrm>
            <a:off x="15202465" y="6869047"/>
            <a:ext cx="23924" cy="27213"/>
          </a:xfrm>
          <a:custGeom>
            <a:avLst/>
            <a:gdLst>
              <a:gd name="connsiteX0" fmla="*/ 0 w 23924"/>
              <a:gd name="connsiteY0" fmla="*/ 20648 h 27213"/>
              <a:gd name="connsiteX1" fmla="*/ 1829 w 23924"/>
              <a:gd name="connsiteY1" fmla="*/ 23925 h 27213"/>
              <a:gd name="connsiteX2" fmla="*/ 3646 w 23924"/>
              <a:gd name="connsiteY2" fmla="*/ 27214 h 27213"/>
              <a:gd name="connsiteX3" fmla="*/ 23925 w 23924"/>
              <a:gd name="connsiteY3" fmla="*/ 3319 h 27213"/>
              <a:gd name="connsiteX4" fmla="*/ 17146 w 23924"/>
              <a:gd name="connsiteY4" fmla="*/ 0 h 27213"/>
              <a:gd name="connsiteX5" fmla="*/ 0 w 23924"/>
              <a:gd name="connsiteY5" fmla="*/ 20648 h 2721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23924" h="27213">
                <a:moveTo>
                  <a:pt x="0" y="20648"/>
                </a:moveTo>
                <a:lnTo>
                  <a:pt x="1829" y="23925"/>
                </a:lnTo>
                <a:lnTo>
                  <a:pt x="3646" y="27214"/>
                </a:lnTo>
                <a:cubicBezTo>
                  <a:pt x="4115" y="26959"/>
                  <a:pt x="15257" y="20760"/>
                  <a:pt x="23925" y="3319"/>
                </a:cubicBezTo>
                <a:lnTo>
                  <a:pt x="17146" y="0"/>
                </a:lnTo>
                <a:cubicBezTo>
                  <a:pt x="13453" y="8317"/>
                  <a:pt x="7520" y="15462"/>
                  <a:pt x="0" y="2064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37" name="Freeform: Shape 336">
            <a:extLst>
              <a:ext uri="{FF2B5EF4-FFF2-40B4-BE49-F238E27FC236}">
                <a16:creationId xmlns:a16="http://schemas.microsoft.com/office/drawing/2014/main" id="{8DE35742-567B-4DC4-AE6D-06E273BFE8A1}"/>
              </a:ext>
            </a:extLst>
          </xdr:cNvPr>
          <xdr:cNvSpPr/>
        </xdr:nvSpPr>
        <xdr:spPr>
          <a:xfrm>
            <a:off x="15240688" y="6815599"/>
            <a:ext cx="17675" cy="17837"/>
          </a:xfrm>
          <a:custGeom>
            <a:avLst/>
            <a:gdLst>
              <a:gd name="connsiteX0" fmla="*/ 13756 w 17675"/>
              <a:gd name="connsiteY0" fmla="*/ 13680 h 17837"/>
              <a:gd name="connsiteX1" fmla="*/ 17157 w 17675"/>
              <a:gd name="connsiteY1" fmla="*/ 424 h 17837"/>
              <a:gd name="connsiteX2" fmla="*/ 423 w 17675"/>
              <a:gd name="connsiteY2" fmla="*/ 10306 h 17837"/>
              <a:gd name="connsiteX3" fmla="*/ 532 w 17675"/>
              <a:gd name="connsiteY3" fmla="*/ 17430 h 17837"/>
              <a:gd name="connsiteX4" fmla="*/ 13756 w 17675"/>
              <a:gd name="connsiteY4" fmla="*/ 13680 h 1783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7675" h="17837">
                <a:moveTo>
                  <a:pt x="13756" y="13680"/>
                </a:moveTo>
                <a:cubicBezTo>
                  <a:pt x="17200" y="10184"/>
                  <a:pt x="18497" y="5128"/>
                  <a:pt x="17157" y="424"/>
                </a:cubicBezTo>
                <a:cubicBezTo>
                  <a:pt x="9787" y="-1434"/>
                  <a:pt x="2295" y="2990"/>
                  <a:pt x="423" y="10306"/>
                </a:cubicBezTo>
                <a:cubicBezTo>
                  <a:pt x="-176" y="12648"/>
                  <a:pt x="-138" y="15106"/>
                  <a:pt x="532" y="17430"/>
                </a:cubicBezTo>
                <a:cubicBezTo>
                  <a:pt x="5298" y="18611"/>
                  <a:pt x="10338" y="17182"/>
                  <a:pt x="13756" y="1368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38" name="Freeform: Shape 337">
            <a:extLst>
              <a:ext uri="{FF2B5EF4-FFF2-40B4-BE49-F238E27FC236}">
                <a16:creationId xmlns:a16="http://schemas.microsoft.com/office/drawing/2014/main" id="{76C30478-D43E-4C66-8CB0-CEACF0BE0557}"/>
              </a:ext>
            </a:extLst>
          </xdr:cNvPr>
          <xdr:cNvSpPr/>
        </xdr:nvSpPr>
        <xdr:spPr>
          <a:xfrm>
            <a:off x="15236779" y="6839996"/>
            <a:ext cx="19778" cy="16106"/>
          </a:xfrm>
          <a:custGeom>
            <a:avLst/>
            <a:gdLst>
              <a:gd name="connsiteX0" fmla="*/ 5982 w 19778"/>
              <a:gd name="connsiteY0" fmla="*/ 2404 h 16106"/>
              <a:gd name="connsiteX1" fmla="*/ 50 w 19778"/>
              <a:gd name="connsiteY1" fmla="*/ 14779 h 16106"/>
              <a:gd name="connsiteX2" fmla="*/ 18443 w 19778"/>
              <a:gd name="connsiteY2" fmla="*/ 8279 h 16106"/>
              <a:gd name="connsiteX3" fmla="*/ 19739 w 19778"/>
              <a:gd name="connsiteY3" fmla="*/ 1369 h 16106"/>
              <a:gd name="connsiteX4" fmla="*/ 5982 w 19778"/>
              <a:gd name="connsiteY4" fmla="*/ 2404 h 1610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9778" h="16106">
                <a:moveTo>
                  <a:pt x="5982" y="2404"/>
                </a:moveTo>
                <a:cubicBezTo>
                  <a:pt x="1896" y="5161"/>
                  <a:pt x="-372" y="9893"/>
                  <a:pt x="50" y="14779"/>
                </a:cubicBezTo>
                <a:cubicBezTo>
                  <a:pt x="6938" y="18025"/>
                  <a:pt x="15173" y="15115"/>
                  <a:pt x="18443" y="8279"/>
                </a:cubicBezTo>
                <a:cubicBezTo>
                  <a:pt x="19473" y="6127"/>
                  <a:pt x="19920" y="3745"/>
                  <a:pt x="19739" y="1369"/>
                </a:cubicBezTo>
                <a:cubicBezTo>
                  <a:pt x="15301" y="-775"/>
                  <a:pt x="10044" y="-379"/>
                  <a:pt x="5982" y="240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39" name="Freeform: Shape 338">
            <a:extLst>
              <a:ext uri="{FF2B5EF4-FFF2-40B4-BE49-F238E27FC236}">
                <a16:creationId xmlns:a16="http://schemas.microsoft.com/office/drawing/2014/main" id="{EC90FB3F-C557-4976-92C9-F1F6B94C695B}"/>
              </a:ext>
            </a:extLst>
          </xdr:cNvPr>
          <xdr:cNvSpPr/>
        </xdr:nvSpPr>
        <xdr:spPr>
          <a:xfrm>
            <a:off x="15207315" y="6812517"/>
            <a:ext cx="16687" cy="19002"/>
          </a:xfrm>
          <a:custGeom>
            <a:avLst/>
            <a:gdLst>
              <a:gd name="connsiteX0" fmla="*/ 8594 w 16687"/>
              <a:gd name="connsiteY0" fmla="*/ 17988 h 19002"/>
              <a:gd name="connsiteX1" fmla="*/ 15640 w 16687"/>
              <a:gd name="connsiteY1" fmla="*/ 18880 h 19002"/>
              <a:gd name="connsiteX2" fmla="*/ 8178 w 16687"/>
              <a:gd name="connsiteY2" fmla="*/ 1036 h 19002"/>
              <a:gd name="connsiteX3" fmla="*/ 1026 w 16687"/>
              <a:gd name="connsiteY3" fmla="*/ 130 h 19002"/>
              <a:gd name="connsiteX4" fmla="*/ 8594 w 16687"/>
              <a:gd name="connsiteY4" fmla="*/ 17988 h 1900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687" h="19002">
                <a:moveTo>
                  <a:pt x="8594" y="17988"/>
                </a:moveTo>
                <a:cubicBezTo>
                  <a:pt x="10824" y="18891"/>
                  <a:pt x="13253" y="19199"/>
                  <a:pt x="15640" y="18880"/>
                </a:cubicBezTo>
                <a:cubicBezTo>
                  <a:pt x="18544" y="11907"/>
                  <a:pt x="15203" y="3918"/>
                  <a:pt x="8178" y="1036"/>
                </a:cubicBezTo>
                <a:cubicBezTo>
                  <a:pt x="5917" y="109"/>
                  <a:pt x="3448" y="-204"/>
                  <a:pt x="1026" y="130"/>
                </a:cubicBezTo>
                <a:cubicBezTo>
                  <a:pt x="-1853" y="7135"/>
                  <a:pt x="1535" y="15130"/>
                  <a:pt x="8594" y="1798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40" name="Freeform: Shape 339">
            <a:extLst>
              <a:ext uri="{FF2B5EF4-FFF2-40B4-BE49-F238E27FC236}">
                <a16:creationId xmlns:a16="http://schemas.microsoft.com/office/drawing/2014/main" id="{36BFCCC8-D471-4C87-B2D7-2D16987FA2CF}"/>
              </a:ext>
            </a:extLst>
          </xdr:cNvPr>
          <xdr:cNvSpPr/>
        </xdr:nvSpPr>
        <xdr:spPr>
          <a:xfrm>
            <a:off x="15226528" y="6795236"/>
            <a:ext cx="13810" cy="23677"/>
          </a:xfrm>
          <a:custGeom>
            <a:avLst/>
            <a:gdLst>
              <a:gd name="connsiteX0" fmla="*/ 6376 w 13810"/>
              <a:gd name="connsiteY0" fmla="*/ 23678 h 23677"/>
              <a:gd name="connsiteX1" fmla="*/ 12248 w 13810"/>
              <a:gd name="connsiteY1" fmla="*/ 5196 h 23677"/>
              <a:gd name="connsiteX2" fmla="*/ 7472 w 13810"/>
              <a:gd name="connsiteY2" fmla="*/ 0 h 23677"/>
              <a:gd name="connsiteX3" fmla="*/ 1528 w 13810"/>
              <a:gd name="connsiteY3" fmla="*/ 18403 h 23677"/>
              <a:gd name="connsiteX4" fmla="*/ 6376 w 13810"/>
              <a:gd name="connsiteY4" fmla="*/ 23678 h 2367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3810" h="23677">
                <a:moveTo>
                  <a:pt x="6376" y="23678"/>
                </a:moveTo>
                <a:cubicBezTo>
                  <a:pt x="13139" y="20183"/>
                  <a:pt x="15768" y="11909"/>
                  <a:pt x="12248" y="5196"/>
                </a:cubicBezTo>
                <a:cubicBezTo>
                  <a:pt x="11138" y="3081"/>
                  <a:pt x="9492" y="1290"/>
                  <a:pt x="7472" y="0"/>
                </a:cubicBezTo>
                <a:cubicBezTo>
                  <a:pt x="710" y="3453"/>
                  <a:pt x="-1951" y="11692"/>
                  <a:pt x="1528" y="18403"/>
                </a:cubicBezTo>
                <a:cubicBezTo>
                  <a:pt x="2645" y="20556"/>
                  <a:pt x="4318" y="22377"/>
                  <a:pt x="6376" y="2367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41" name="Freeform: Shape 340">
            <a:extLst>
              <a:ext uri="{FF2B5EF4-FFF2-40B4-BE49-F238E27FC236}">
                <a16:creationId xmlns:a16="http://schemas.microsoft.com/office/drawing/2014/main" id="{5B8BDFD5-679B-47C4-AB6E-8155021DAE99}"/>
              </a:ext>
            </a:extLst>
          </xdr:cNvPr>
          <xdr:cNvSpPr/>
        </xdr:nvSpPr>
        <xdr:spPr>
          <a:xfrm>
            <a:off x="15083457" y="6739933"/>
            <a:ext cx="69607" cy="121853"/>
          </a:xfrm>
          <a:custGeom>
            <a:avLst/>
            <a:gdLst>
              <a:gd name="connsiteX0" fmla="*/ 3118 w 69607"/>
              <a:gd name="connsiteY0" fmla="*/ 72650 h 121853"/>
              <a:gd name="connsiteX1" fmla="*/ 7493 w 69607"/>
              <a:gd name="connsiteY1" fmla="*/ 69604 h 121853"/>
              <a:gd name="connsiteX2" fmla="*/ 7494 w 69607"/>
              <a:gd name="connsiteY2" fmla="*/ 69598 h 121853"/>
              <a:gd name="connsiteX3" fmla="*/ 52592 w 69607"/>
              <a:gd name="connsiteY3" fmla="*/ 7723 h 121853"/>
              <a:gd name="connsiteX4" fmla="*/ 52653 w 69607"/>
              <a:gd name="connsiteY4" fmla="*/ 7756 h 121853"/>
              <a:gd name="connsiteX5" fmla="*/ 50525 w 69607"/>
              <a:gd name="connsiteY5" fmla="*/ 21256 h 121853"/>
              <a:gd name="connsiteX6" fmla="*/ 56609 w 69607"/>
              <a:gd name="connsiteY6" fmla="*/ 99388 h 121853"/>
              <a:gd name="connsiteX7" fmla="*/ 57742 w 69607"/>
              <a:gd name="connsiteY7" fmla="*/ 103325 h 121853"/>
              <a:gd name="connsiteX8" fmla="*/ 62178 w 69607"/>
              <a:gd name="connsiteY8" fmla="*/ 119075 h 121853"/>
              <a:gd name="connsiteX9" fmla="*/ 65824 w 69607"/>
              <a:gd name="connsiteY9" fmla="*/ 121854 h 121853"/>
              <a:gd name="connsiteX10" fmla="*/ 66806 w 69607"/>
              <a:gd name="connsiteY10" fmla="*/ 121726 h 121853"/>
              <a:gd name="connsiteX11" fmla="*/ 69478 w 69607"/>
              <a:gd name="connsiteY11" fmla="*/ 117133 h 121853"/>
              <a:gd name="connsiteX12" fmla="*/ 69478 w 69607"/>
              <a:gd name="connsiteY12" fmla="*/ 117133 h 121853"/>
              <a:gd name="connsiteX13" fmla="*/ 65004 w 69607"/>
              <a:gd name="connsiteY13" fmla="*/ 101255 h 121853"/>
              <a:gd name="connsiteX14" fmla="*/ 63871 w 69607"/>
              <a:gd name="connsiteY14" fmla="*/ 97344 h 121853"/>
              <a:gd name="connsiteX15" fmla="*/ 58003 w 69607"/>
              <a:gd name="connsiteY15" fmla="*/ 22318 h 121853"/>
              <a:gd name="connsiteX16" fmla="*/ 60047 w 69607"/>
              <a:gd name="connsiteY16" fmla="*/ 9298 h 121853"/>
              <a:gd name="connsiteX17" fmla="*/ 58037 w 69607"/>
              <a:gd name="connsiteY17" fmla="*/ 2319 h 121853"/>
              <a:gd name="connsiteX18" fmla="*/ 47718 w 69607"/>
              <a:gd name="connsiteY18" fmla="*/ 1655 h 121853"/>
              <a:gd name="connsiteX19" fmla="*/ 58 w 69607"/>
              <a:gd name="connsiteY19" fmla="*/ 68308 h 121853"/>
              <a:gd name="connsiteX20" fmla="*/ 3118 w 69607"/>
              <a:gd name="connsiteY20" fmla="*/ 72650 h 1218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</a:cxnLst>
            <a:rect l="l" t="t" r="r" b="b"/>
            <a:pathLst>
              <a:path w="69607" h="121853">
                <a:moveTo>
                  <a:pt x="3118" y="72650"/>
                </a:moveTo>
                <a:cubicBezTo>
                  <a:pt x="5174" y="73008"/>
                  <a:pt x="7132" y="71644"/>
                  <a:pt x="7493" y="69604"/>
                </a:cubicBezTo>
                <a:cubicBezTo>
                  <a:pt x="7493" y="69602"/>
                  <a:pt x="7493" y="69600"/>
                  <a:pt x="7494" y="69598"/>
                </a:cubicBezTo>
                <a:cubicBezTo>
                  <a:pt x="12288" y="42298"/>
                  <a:pt x="31872" y="23656"/>
                  <a:pt x="52592" y="7723"/>
                </a:cubicBezTo>
                <a:cubicBezTo>
                  <a:pt x="52634" y="7689"/>
                  <a:pt x="52664" y="7704"/>
                  <a:pt x="52653" y="7756"/>
                </a:cubicBezTo>
                <a:cubicBezTo>
                  <a:pt x="51859" y="12178"/>
                  <a:pt x="51069" y="17506"/>
                  <a:pt x="50525" y="21256"/>
                </a:cubicBezTo>
                <a:cubicBezTo>
                  <a:pt x="46960" y="47434"/>
                  <a:pt x="49033" y="74065"/>
                  <a:pt x="56609" y="99388"/>
                </a:cubicBezTo>
                <a:lnTo>
                  <a:pt x="57742" y="103325"/>
                </a:lnTo>
                <a:cubicBezTo>
                  <a:pt x="58898" y="107323"/>
                  <a:pt x="60553" y="113045"/>
                  <a:pt x="62178" y="119075"/>
                </a:cubicBezTo>
                <a:cubicBezTo>
                  <a:pt x="62620" y="120713"/>
                  <a:pt x="64115" y="121852"/>
                  <a:pt x="65824" y="121854"/>
                </a:cubicBezTo>
                <a:cubicBezTo>
                  <a:pt x="66156" y="121854"/>
                  <a:pt x="66486" y="121811"/>
                  <a:pt x="66806" y="121726"/>
                </a:cubicBezTo>
                <a:cubicBezTo>
                  <a:pt x="68822" y="121190"/>
                  <a:pt x="70018" y="119134"/>
                  <a:pt x="69478" y="117133"/>
                </a:cubicBezTo>
                <a:cubicBezTo>
                  <a:pt x="69478" y="117133"/>
                  <a:pt x="69478" y="117133"/>
                  <a:pt x="69478" y="117133"/>
                </a:cubicBezTo>
                <a:cubicBezTo>
                  <a:pt x="67838" y="111058"/>
                  <a:pt x="66172" y="105286"/>
                  <a:pt x="65004" y="101255"/>
                </a:cubicBezTo>
                <a:lnTo>
                  <a:pt x="63871" y="97344"/>
                </a:lnTo>
                <a:cubicBezTo>
                  <a:pt x="56585" y="73030"/>
                  <a:pt x="54585" y="47456"/>
                  <a:pt x="58003" y="22318"/>
                </a:cubicBezTo>
                <a:cubicBezTo>
                  <a:pt x="58520" y="18714"/>
                  <a:pt x="59280" y="13584"/>
                  <a:pt x="60047" y="9298"/>
                </a:cubicBezTo>
                <a:cubicBezTo>
                  <a:pt x="60554" y="6785"/>
                  <a:pt x="59805" y="4185"/>
                  <a:pt x="58037" y="2319"/>
                </a:cubicBezTo>
                <a:cubicBezTo>
                  <a:pt x="55278" y="-497"/>
                  <a:pt x="50820" y="-784"/>
                  <a:pt x="47718" y="1655"/>
                </a:cubicBezTo>
                <a:cubicBezTo>
                  <a:pt x="26057" y="18650"/>
                  <a:pt x="5283" y="38499"/>
                  <a:pt x="58" y="68308"/>
                </a:cubicBezTo>
                <a:cubicBezTo>
                  <a:pt x="-304" y="70345"/>
                  <a:pt x="1066" y="72288"/>
                  <a:pt x="3118" y="726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117875</xdr:colOff>
      <xdr:row>17</xdr:row>
      <xdr:rowOff>175085</xdr:rowOff>
    </xdr:from>
    <xdr:to>
      <xdr:col>4</xdr:col>
      <xdr:colOff>461445</xdr:colOff>
      <xdr:row>17</xdr:row>
      <xdr:rowOff>412594</xdr:rowOff>
    </xdr:to>
    <xdr:grpSp>
      <xdr:nvGrpSpPr>
        <xdr:cNvPr id="342" name="elephant" descr="Elephant outline">
          <a:extLst>
            <a:ext uri="{FF2B5EF4-FFF2-40B4-BE49-F238E27FC236}">
              <a16:creationId xmlns:a16="http://schemas.microsoft.com/office/drawing/2014/main" id="{266A2979-55C5-4FC8-9005-C323F02963A2}"/>
            </a:ext>
          </a:extLst>
        </xdr:cNvPr>
        <xdr:cNvGrpSpPr>
          <a:grpSpLocks noChangeAspect="1"/>
        </xdr:cNvGrpSpPr>
      </xdr:nvGrpSpPr>
      <xdr:grpSpPr>
        <a:xfrm>
          <a:off x="3442100" y="8728535"/>
          <a:ext cx="343570" cy="237509"/>
          <a:chOff x="13024944" y="7539979"/>
          <a:chExt cx="343570" cy="237509"/>
        </a:xfrm>
        <a:solidFill>
          <a:srgbClr val="1F4E78"/>
        </a:solidFill>
      </xdr:grpSpPr>
      <xdr:sp macro="" textlink="">
        <xdr:nvSpPr>
          <xdr:cNvPr id="343" name="Freeform: Shape 342">
            <a:extLst>
              <a:ext uri="{FF2B5EF4-FFF2-40B4-BE49-F238E27FC236}">
                <a16:creationId xmlns:a16="http://schemas.microsoft.com/office/drawing/2014/main" id="{FC7BC1B0-611A-4511-B568-A7DC078BD6A4}"/>
              </a:ext>
            </a:extLst>
          </xdr:cNvPr>
          <xdr:cNvSpPr/>
        </xdr:nvSpPr>
        <xdr:spPr>
          <a:xfrm>
            <a:off x="13024944" y="7539979"/>
            <a:ext cx="343570" cy="237509"/>
          </a:xfrm>
          <a:custGeom>
            <a:avLst/>
            <a:gdLst>
              <a:gd name="connsiteX0" fmla="*/ 342893 w 343570"/>
              <a:gd name="connsiteY0" fmla="*/ 180513 h 237509"/>
              <a:gd name="connsiteX1" fmla="*/ 336500 w 343570"/>
              <a:gd name="connsiteY1" fmla="*/ 173917 h 237509"/>
              <a:gd name="connsiteX2" fmla="*/ 322021 w 343570"/>
              <a:gd name="connsiteY2" fmla="*/ 179448 h 237509"/>
              <a:gd name="connsiteX3" fmla="*/ 319565 w 343570"/>
              <a:gd name="connsiteY3" fmla="*/ 184046 h 237509"/>
              <a:gd name="connsiteX4" fmla="*/ 316565 w 343570"/>
              <a:gd name="connsiteY4" fmla="*/ 186356 h 237509"/>
              <a:gd name="connsiteX5" fmla="*/ 312761 w 343570"/>
              <a:gd name="connsiteY5" fmla="*/ 185763 h 237509"/>
              <a:gd name="connsiteX6" fmla="*/ 310837 w 343570"/>
              <a:gd name="connsiteY6" fmla="*/ 180063 h 237509"/>
              <a:gd name="connsiteX7" fmla="*/ 311385 w 343570"/>
              <a:gd name="connsiteY7" fmla="*/ 177986 h 237509"/>
              <a:gd name="connsiteX8" fmla="*/ 331331 w 343570"/>
              <a:gd name="connsiteY8" fmla="*/ 124034 h 237509"/>
              <a:gd name="connsiteX9" fmla="*/ 326571 w 343570"/>
              <a:gd name="connsiteY9" fmla="*/ 63284 h 237509"/>
              <a:gd name="connsiteX10" fmla="*/ 305665 w 343570"/>
              <a:gd name="connsiteY10" fmla="*/ 23759 h 237509"/>
              <a:gd name="connsiteX11" fmla="*/ 283788 w 343570"/>
              <a:gd name="connsiteY11" fmla="*/ 10361 h 237509"/>
              <a:gd name="connsiteX12" fmla="*/ 263650 w 343570"/>
              <a:gd name="connsiteY12" fmla="*/ 10361 h 237509"/>
              <a:gd name="connsiteX13" fmla="*/ 255292 w 343570"/>
              <a:gd name="connsiteY13" fmla="*/ 4319 h 237509"/>
              <a:gd name="connsiteX14" fmla="*/ 250962 w 343570"/>
              <a:gd name="connsiteY14" fmla="*/ 1908 h 237509"/>
              <a:gd name="connsiteX15" fmla="*/ 219356 w 343570"/>
              <a:gd name="connsiteY15" fmla="*/ 8546 h 237509"/>
              <a:gd name="connsiteX16" fmla="*/ 214108 w 343570"/>
              <a:gd name="connsiteY16" fmla="*/ 13492 h 237509"/>
              <a:gd name="connsiteX17" fmla="*/ 209071 w 343570"/>
              <a:gd name="connsiteY17" fmla="*/ 13248 h 237509"/>
              <a:gd name="connsiteX18" fmla="*/ 201515 w 343570"/>
              <a:gd name="connsiteY18" fmla="*/ 12303 h 237509"/>
              <a:gd name="connsiteX19" fmla="*/ 178089 w 343570"/>
              <a:gd name="connsiteY19" fmla="*/ 5658 h 237509"/>
              <a:gd name="connsiteX20" fmla="*/ 165620 w 343570"/>
              <a:gd name="connsiteY20" fmla="*/ 3922 h 237509"/>
              <a:gd name="connsiteX21" fmla="*/ 93144 w 343570"/>
              <a:gd name="connsiteY21" fmla="*/ 3922 h 237509"/>
              <a:gd name="connsiteX22" fmla="*/ 50796 w 343570"/>
              <a:gd name="connsiteY22" fmla="*/ 13556 h 237509"/>
              <a:gd name="connsiteX23" fmla="*/ 50093 w 343570"/>
              <a:gd name="connsiteY23" fmla="*/ 13889 h 237509"/>
              <a:gd name="connsiteX24" fmla="*/ 48325 w 343570"/>
              <a:gd name="connsiteY24" fmla="*/ 14771 h 237509"/>
              <a:gd name="connsiteX25" fmla="*/ 41074 w 343570"/>
              <a:gd name="connsiteY25" fmla="*/ 18989 h 237509"/>
              <a:gd name="connsiteX26" fmla="*/ 38845 w 343570"/>
              <a:gd name="connsiteY26" fmla="*/ 20542 h 237509"/>
              <a:gd name="connsiteX27" fmla="*/ 37991 w 343570"/>
              <a:gd name="connsiteY27" fmla="*/ 21142 h 237509"/>
              <a:gd name="connsiteX28" fmla="*/ 24971 w 343570"/>
              <a:gd name="connsiteY28" fmla="*/ 33974 h 237509"/>
              <a:gd name="connsiteX29" fmla="*/ 24892 w 343570"/>
              <a:gd name="connsiteY29" fmla="*/ 34158 h 237509"/>
              <a:gd name="connsiteX30" fmla="*/ 10912 w 343570"/>
              <a:gd name="connsiteY30" fmla="*/ 75127 h 237509"/>
              <a:gd name="connsiteX31" fmla="*/ 10912 w 343570"/>
              <a:gd name="connsiteY31" fmla="*/ 148218 h 237509"/>
              <a:gd name="connsiteX32" fmla="*/ 2036 w 343570"/>
              <a:gd name="connsiteY32" fmla="*/ 165063 h 237509"/>
              <a:gd name="connsiteX33" fmla="*/ 427 w 343570"/>
              <a:gd name="connsiteY33" fmla="*/ 170120 h 237509"/>
              <a:gd name="connsiteX34" fmla="*/ 5522 w 343570"/>
              <a:gd name="connsiteY34" fmla="*/ 171718 h 237509"/>
              <a:gd name="connsiteX35" fmla="*/ 5709 w 343570"/>
              <a:gd name="connsiteY35" fmla="*/ 171614 h 237509"/>
              <a:gd name="connsiteX36" fmla="*/ 18468 w 343570"/>
              <a:gd name="connsiteY36" fmla="*/ 149651 h 237509"/>
              <a:gd name="connsiteX37" fmla="*/ 18468 w 343570"/>
              <a:gd name="connsiteY37" fmla="*/ 75127 h 237509"/>
              <a:gd name="connsiteX38" fmla="*/ 54117 w 343570"/>
              <a:gd name="connsiteY38" fmla="*/ 20201 h 237509"/>
              <a:gd name="connsiteX39" fmla="*/ 93144 w 343570"/>
              <a:gd name="connsiteY39" fmla="*/ 11422 h 237509"/>
              <a:gd name="connsiteX40" fmla="*/ 165594 w 343570"/>
              <a:gd name="connsiteY40" fmla="*/ 11422 h 237509"/>
              <a:gd name="connsiteX41" fmla="*/ 175984 w 343570"/>
              <a:gd name="connsiteY41" fmla="*/ 12869 h 237509"/>
              <a:gd name="connsiteX42" fmla="*/ 199410 w 343570"/>
              <a:gd name="connsiteY42" fmla="*/ 19514 h 237509"/>
              <a:gd name="connsiteX43" fmla="*/ 208924 w 343570"/>
              <a:gd name="connsiteY43" fmla="*/ 20744 h 237509"/>
              <a:gd name="connsiteX44" fmla="*/ 210371 w 343570"/>
              <a:gd name="connsiteY44" fmla="*/ 20816 h 237509"/>
              <a:gd name="connsiteX45" fmla="*/ 198537 w 343570"/>
              <a:gd name="connsiteY45" fmla="*/ 47534 h 237509"/>
              <a:gd name="connsiteX46" fmla="*/ 197453 w 343570"/>
              <a:gd name="connsiteY46" fmla="*/ 62306 h 237509"/>
              <a:gd name="connsiteX47" fmla="*/ 209355 w 343570"/>
              <a:gd name="connsiteY47" fmla="*/ 74984 h 237509"/>
              <a:gd name="connsiteX48" fmla="*/ 246194 w 343570"/>
              <a:gd name="connsiteY48" fmla="*/ 89474 h 237509"/>
              <a:gd name="connsiteX49" fmla="*/ 264553 w 343570"/>
              <a:gd name="connsiteY49" fmla="*/ 87742 h 237509"/>
              <a:gd name="connsiteX50" fmla="*/ 270024 w 343570"/>
              <a:gd name="connsiteY50" fmla="*/ 84288 h 237509"/>
              <a:gd name="connsiteX51" fmla="*/ 270900 w 343570"/>
              <a:gd name="connsiteY51" fmla="*/ 79057 h 237509"/>
              <a:gd name="connsiteX52" fmla="*/ 265947 w 343570"/>
              <a:gd name="connsiteY52" fmla="*/ 77984 h 237509"/>
              <a:gd name="connsiteX53" fmla="*/ 260480 w 343570"/>
              <a:gd name="connsiteY53" fmla="*/ 81442 h 237509"/>
              <a:gd name="connsiteX54" fmla="*/ 248963 w 343570"/>
              <a:gd name="connsiteY54" fmla="*/ 82526 h 237509"/>
              <a:gd name="connsiteX55" fmla="*/ 212479 w 343570"/>
              <a:gd name="connsiteY55" fmla="*/ 68178 h 237509"/>
              <a:gd name="connsiteX56" fmla="*/ 206132 w 343570"/>
              <a:gd name="connsiteY56" fmla="*/ 63183 h 237509"/>
              <a:gd name="connsiteX57" fmla="*/ 205164 w 343570"/>
              <a:gd name="connsiteY57" fmla="*/ 51217 h 237509"/>
              <a:gd name="connsiteX58" fmla="*/ 219586 w 343570"/>
              <a:gd name="connsiteY58" fmla="*/ 18689 h 237509"/>
              <a:gd name="connsiteX59" fmla="*/ 224657 w 343570"/>
              <a:gd name="connsiteY59" fmla="*/ 13904 h 237509"/>
              <a:gd name="connsiteX60" fmla="*/ 248272 w 343570"/>
              <a:gd name="connsiteY60" fmla="*/ 8917 h 237509"/>
              <a:gd name="connsiteX61" fmla="*/ 250833 w 343570"/>
              <a:gd name="connsiteY61" fmla="*/ 10383 h 237509"/>
              <a:gd name="connsiteX62" fmla="*/ 260185 w 343570"/>
              <a:gd name="connsiteY62" fmla="*/ 17133 h 237509"/>
              <a:gd name="connsiteX63" fmla="*/ 262407 w 343570"/>
              <a:gd name="connsiteY63" fmla="*/ 17849 h 237509"/>
              <a:gd name="connsiteX64" fmla="*/ 283788 w 343570"/>
              <a:gd name="connsiteY64" fmla="*/ 17849 h 237509"/>
              <a:gd name="connsiteX65" fmla="*/ 298936 w 343570"/>
              <a:gd name="connsiteY65" fmla="*/ 27172 h 237509"/>
              <a:gd name="connsiteX66" fmla="*/ 319845 w 343570"/>
              <a:gd name="connsiteY66" fmla="*/ 66689 h 237509"/>
              <a:gd name="connsiteX67" fmla="*/ 324217 w 343570"/>
              <a:gd name="connsiteY67" fmla="*/ 121548 h 237509"/>
              <a:gd name="connsiteX68" fmla="*/ 304191 w 343570"/>
              <a:gd name="connsiteY68" fmla="*/ 175721 h 237509"/>
              <a:gd name="connsiteX69" fmla="*/ 303541 w 343570"/>
              <a:gd name="connsiteY69" fmla="*/ 178117 h 237509"/>
              <a:gd name="connsiteX70" fmla="*/ 308771 w 343570"/>
              <a:gd name="connsiteY70" fmla="*/ 192127 h 237509"/>
              <a:gd name="connsiteX71" fmla="*/ 318474 w 343570"/>
              <a:gd name="connsiteY71" fmla="*/ 193627 h 237509"/>
              <a:gd name="connsiteX72" fmla="*/ 326215 w 343570"/>
              <a:gd name="connsiteY72" fmla="*/ 187627 h 237509"/>
              <a:gd name="connsiteX73" fmla="*/ 328702 w 343570"/>
              <a:gd name="connsiteY73" fmla="*/ 182973 h 237509"/>
              <a:gd name="connsiteX74" fmla="*/ 333644 w 343570"/>
              <a:gd name="connsiteY74" fmla="*/ 180873 h 237509"/>
              <a:gd name="connsiteX75" fmla="*/ 335793 w 343570"/>
              <a:gd name="connsiteY75" fmla="*/ 183074 h 237509"/>
              <a:gd name="connsiteX76" fmla="*/ 335578 w 343570"/>
              <a:gd name="connsiteY76" fmla="*/ 186108 h 237509"/>
              <a:gd name="connsiteX77" fmla="*/ 332858 w 343570"/>
              <a:gd name="connsiteY77" fmla="*/ 191193 h 237509"/>
              <a:gd name="connsiteX78" fmla="*/ 315326 w 343570"/>
              <a:gd name="connsiteY78" fmla="*/ 201521 h 237509"/>
              <a:gd name="connsiteX79" fmla="*/ 307898 w 343570"/>
              <a:gd name="connsiteY79" fmla="*/ 200077 h 237509"/>
              <a:gd name="connsiteX80" fmla="*/ 295592 w 343570"/>
              <a:gd name="connsiteY80" fmla="*/ 179699 h 237509"/>
              <a:gd name="connsiteX81" fmla="*/ 299034 w 343570"/>
              <a:gd name="connsiteY81" fmla="*/ 128782 h 237509"/>
              <a:gd name="connsiteX82" fmla="*/ 281276 w 343570"/>
              <a:gd name="connsiteY82" fmla="*/ 109784 h 237509"/>
              <a:gd name="connsiteX83" fmla="*/ 273813 w 343570"/>
              <a:gd name="connsiteY83" fmla="*/ 109664 h 237509"/>
              <a:gd name="connsiteX84" fmla="*/ 259607 w 343570"/>
              <a:gd name="connsiteY84" fmla="*/ 105401 h 237509"/>
              <a:gd name="connsiteX85" fmla="*/ 255451 w 343570"/>
              <a:gd name="connsiteY85" fmla="*/ 101651 h 237509"/>
              <a:gd name="connsiteX86" fmla="*/ 254453 w 343570"/>
              <a:gd name="connsiteY86" fmla="*/ 101002 h 237509"/>
              <a:gd name="connsiteX87" fmla="*/ 246583 w 343570"/>
              <a:gd name="connsiteY87" fmla="*/ 101051 h 237509"/>
              <a:gd name="connsiteX88" fmla="*/ 241410 w 343570"/>
              <a:gd name="connsiteY88" fmla="*/ 107238 h 237509"/>
              <a:gd name="connsiteX89" fmla="*/ 241100 w 343570"/>
              <a:gd name="connsiteY89" fmla="*/ 108674 h 237509"/>
              <a:gd name="connsiteX90" fmla="*/ 228016 w 343570"/>
              <a:gd name="connsiteY90" fmla="*/ 127556 h 237509"/>
              <a:gd name="connsiteX91" fmla="*/ 214965 w 343570"/>
              <a:gd name="connsiteY91" fmla="*/ 135974 h 237509"/>
              <a:gd name="connsiteX92" fmla="*/ 202497 w 343570"/>
              <a:gd name="connsiteY92" fmla="*/ 141956 h 237509"/>
              <a:gd name="connsiteX93" fmla="*/ 200343 w 343570"/>
              <a:gd name="connsiteY93" fmla="*/ 145484 h 237509"/>
              <a:gd name="connsiteX94" fmla="*/ 200343 w 343570"/>
              <a:gd name="connsiteY94" fmla="*/ 217578 h 237509"/>
              <a:gd name="connsiteX95" fmla="*/ 200513 w 343570"/>
              <a:gd name="connsiteY95" fmla="*/ 218703 h 237509"/>
              <a:gd name="connsiteX96" fmla="*/ 204065 w 343570"/>
              <a:gd name="connsiteY96" fmla="*/ 229961 h 237509"/>
              <a:gd name="connsiteX97" fmla="*/ 204040 w 343570"/>
              <a:gd name="connsiteY97" fmla="*/ 230008 h 237509"/>
              <a:gd name="connsiteX98" fmla="*/ 204031 w 343570"/>
              <a:gd name="connsiteY98" fmla="*/ 230009 h 237509"/>
              <a:gd name="connsiteX99" fmla="*/ 177870 w 343570"/>
              <a:gd name="connsiteY99" fmla="*/ 230009 h 237509"/>
              <a:gd name="connsiteX100" fmla="*/ 177834 w 343570"/>
              <a:gd name="connsiteY100" fmla="*/ 229970 h 237509"/>
              <a:gd name="connsiteX101" fmla="*/ 177836 w 343570"/>
              <a:gd name="connsiteY101" fmla="*/ 229961 h 237509"/>
              <a:gd name="connsiteX102" fmla="*/ 181304 w 343570"/>
              <a:gd name="connsiteY102" fmla="*/ 218662 h 237509"/>
              <a:gd name="connsiteX103" fmla="*/ 181470 w 343570"/>
              <a:gd name="connsiteY103" fmla="*/ 217571 h 237509"/>
              <a:gd name="connsiteX104" fmla="*/ 181470 w 343570"/>
              <a:gd name="connsiteY104" fmla="*/ 156194 h 237509"/>
              <a:gd name="connsiteX105" fmla="*/ 181145 w 343570"/>
              <a:gd name="connsiteY105" fmla="*/ 154612 h 237509"/>
              <a:gd name="connsiteX106" fmla="*/ 176381 w 343570"/>
              <a:gd name="connsiteY106" fmla="*/ 152219 h 237509"/>
              <a:gd name="connsiteX107" fmla="*/ 78556 w 343570"/>
              <a:gd name="connsiteY107" fmla="*/ 157211 h 237509"/>
              <a:gd name="connsiteX108" fmla="*/ 69110 w 343570"/>
              <a:gd name="connsiteY108" fmla="*/ 154897 h 237509"/>
              <a:gd name="connsiteX109" fmla="*/ 68139 w 343570"/>
              <a:gd name="connsiteY109" fmla="*/ 154769 h 237509"/>
              <a:gd name="connsiteX110" fmla="*/ 64360 w 343570"/>
              <a:gd name="connsiteY110" fmla="*/ 158519 h 237509"/>
              <a:gd name="connsiteX111" fmla="*/ 64360 w 343570"/>
              <a:gd name="connsiteY111" fmla="*/ 217578 h 237509"/>
              <a:gd name="connsiteX112" fmla="*/ 64530 w 343570"/>
              <a:gd name="connsiteY112" fmla="*/ 218684 h 237509"/>
              <a:gd name="connsiteX113" fmla="*/ 68044 w 343570"/>
              <a:gd name="connsiteY113" fmla="*/ 229961 h 237509"/>
              <a:gd name="connsiteX114" fmla="*/ 68020 w 343570"/>
              <a:gd name="connsiteY114" fmla="*/ 230008 h 237509"/>
              <a:gd name="connsiteX115" fmla="*/ 68010 w 343570"/>
              <a:gd name="connsiteY115" fmla="*/ 230009 h 237509"/>
              <a:gd name="connsiteX116" fmla="*/ 41849 w 343570"/>
              <a:gd name="connsiteY116" fmla="*/ 230009 h 237509"/>
              <a:gd name="connsiteX117" fmla="*/ 41809 w 343570"/>
              <a:gd name="connsiteY117" fmla="*/ 229974 h 237509"/>
              <a:gd name="connsiteX118" fmla="*/ 41811 w 343570"/>
              <a:gd name="connsiteY118" fmla="*/ 229961 h 237509"/>
              <a:gd name="connsiteX119" fmla="*/ 45283 w 343570"/>
              <a:gd name="connsiteY119" fmla="*/ 218666 h 237509"/>
              <a:gd name="connsiteX120" fmla="*/ 45450 w 343570"/>
              <a:gd name="connsiteY120" fmla="*/ 217567 h 237509"/>
              <a:gd name="connsiteX121" fmla="*/ 45450 w 343570"/>
              <a:gd name="connsiteY121" fmla="*/ 143609 h 237509"/>
              <a:gd name="connsiteX122" fmla="*/ 45450 w 343570"/>
              <a:gd name="connsiteY122" fmla="*/ 143478 h 237509"/>
              <a:gd name="connsiteX123" fmla="*/ 45450 w 343570"/>
              <a:gd name="connsiteY123" fmla="*/ 143336 h 237509"/>
              <a:gd name="connsiteX124" fmla="*/ 45287 w 343570"/>
              <a:gd name="connsiteY124" fmla="*/ 142683 h 237509"/>
              <a:gd name="connsiteX125" fmla="*/ 44237 w 343570"/>
              <a:gd name="connsiteY125" fmla="*/ 140838 h 237509"/>
              <a:gd name="connsiteX126" fmla="*/ 37020 w 343570"/>
              <a:gd name="connsiteY126" fmla="*/ 133124 h 237509"/>
              <a:gd name="connsiteX127" fmla="*/ 30351 w 343570"/>
              <a:gd name="connsiteY127" fmla="*/ 123239 h 237509"/>
              <a:gd name="connsiteX128" fmla="*/ 25194 w 343570"/>
              <a:gd name="connsiteY128" fmla="*/ 121844 h 237509"/>
              <a:gd name="connsiteX129" fmla="*/ 23788 w 343570"/>
              <a:gd name="connsiteY129" fmla="*/ 126963 h 237509"/>
              <a:gd name="connsiteX130" fmla="*/ 31016 w 343570"/>
              <a:gd name="connsiteY130" fmla="*/ 137741 h 237509"/>
              <a:gd name="connsiteX131" fmla="*/ 37882 w 343570"/>
              <a:gd name="connsiteY131" fmla="*/ 145188 h 237509"/>
              <a:gd name="connsiteX132" fmla="*/ 37882 w 343570"/>
              <a:gd name="connsiteY132" fmla="*/ 217012 h 237509"/>
              <a:gd name="connsiteX133" fmla="*/ 34557 w 343570"/>
              <a:gd name="connsiteY133" fmla="*/ 227823 h 237509"/>
              <a:gd name="connsiteX134" fmla="*/ 39582 w 343570"/>
              <a:gd name="connsiteY134" fmla="*/ 237184 h 237509"/>
              <a:gd name="connsiteX135" fmla="*/ 41785 w 343570"/>
              <a:gd name="connsiteY135" fmla="*/ 237509 h 237509"/>
              <a:gd name="connsiteX136" fmla="*/ 68044 w 343570"/>
              <a:gd name="connsiteY136" fmla="*/ 237509 h 237509"/>
              <a:gd name="connsiteX137" fmla="*/ 75601 w 343570"/>
              <a:gd name="connsiteY137" fmla="*/ 230009 h 237509"/>
              <a:gd name="connsiteX138" fmla="*/ 75261 w 343570"/>
              <a:gd name="connsiteY138" fmla="*/ 227786 h 237509"/>
              <a:gd name="connsiteX139" fmla="*/ 71883 w 343570"/>
              <a:gd name="connsiteY139" fmla="*/ 217004 h 237509"/>
              <a:gd name="connsiteX140" fmla="*/ 71883 w 343570"/>
              <a:gd name="connsiteY140" fmla="*/ 163484 h 237509"/>
              <a:gd name="connsiteX141" fmla="*/ 77218 w 343570"/>
              <a:gd name="connsiteY141" fmla="*/ 164609 h 237509"/>
              <a:gd name="connsiteX142" fmla="*/ 120563 w 343570"/>
              <a:gd name="connsiteY142" fmla="*/ 168734 h 237509"/>
              <a:gd name="connsiteX143" fmla="*/ 173914 w 343570"/>
              <a:gd name="connsiteY143" fmla="*/ 160818 h 237509"/>
              <a:gd name="connsiteX144" fmla="*/ 173914 w 343570"/>
              <a:gd name="connsiteY144" fmla="*/ 217016 h 237509"/>
              <a:gd name="connsiteX145" fmla="*/ 170592 w 343570"/>
              <a:gd name="connsiteY145" fmla="*/ 227823 h 237509"/>
              <a:gd name="connsiteX146" fmla="*/ 175618 w 343570"/>
              <a:gd name="connsiteY146" fmla="*/ 237184 h 237509"/>
              <a:gd name="connsiteX147" fmla="*/ 177820 w 343570"/>
              <a:gd name="connsiteY147" fmla="*/ 237509 h 237509"/>
              <a:gd name="connsiteX148" fmla="*/ 204065 w 343570"/>
              <a:gd name="connsiteY148" fmla="*/ 237509 h 237509"/>
              <a:gd name="connsiteX149" fmla="*/ 211621 w 343570"/>
              <a:gd name="connsiteY149" fmla="*/ 230009 h 237509"/>
              <a:gd name="connsiteX150" fmla="*/ 211282 w 343570"/>
              <a:gd name="connsiteY150" fmla="*/ 227786 h 237509"/>
              <a:gd name="connsiteX151" fmla="*/ 207904 w 343570"/>
              <a:gd name="connsiteY151" fmla="*/ 217004 h 237509"/>
              <a:gd name="connsiteX152" fmla="*/ 207904 w 343570"/>
              <a:gd name="connsiteY152" fmla="*/ 147734 h 237509"/>
              <a:gd name="connsiteX153" fmla="*/ 218574 w 343570"/>
              <a:gd name="connsiteY153" fmla="*/ 142578 h 237509"/>
              <a:gd name="connsiteX154" fmla="*/ 218918 w 343570"/>
              <a:gd name="connsiteY154" fmla="*/ 142383 h 237509"/>
              <a:gd name="connsiteX155" fmla="*/ 226796 w 343570"/>
              <a:gd name="connsiteY155" fmla="*/ 137298 h 237509"/>
              <a:gd name="connsiteX156" fmla="*/ 226796 w 343570"/>
              <a:gd name="connsiteY156" fmla="*/ 217578 h 237509"/>
              <a:gd name="connsiteX157" fmla="*/ 226966 w 343570"/>
              <a:gd name="connsiteY157" fmla="*/ 218684 h 237509"/>
              <a:gd name="connsiteX158" fmla="*/ 230513 w 343570"/>
              <a:gd name="connsiteY158" fmla="*/ 229961 h 237509"/>
              <a:gd name="connsiteX159" fmla="*/ 230489 w 343570"/>
              <a:gd name="connsiteY159" fmla="*/ 230008 h 237509"/>
              <a:gd name="connsiteX160" fmla="*/ 230479 w 343570"/>
              <a:gd name="connsiteY160" fmla="*/ 230009 h 237509"/>
              <a:gd name="connsiteX161" fmla="*/ 219382 w 343570"/>
              <a:gd name="connsiteY161" fmla="*/ 230009 h 237509"/>
              <a:gd name="connsiteX162" fmla="*/ 215604 w 343570"/>
              <a:gd name="connsiteY162" fmla="*/ 233759 h 237509"/>
              <a:gd name="connsiteX163" fmla="*/ 219382 w 343570"/>
              <a:gd name="connsiteY163" fmla="*/ 237509 h 237509"/>
              <a:gd name="connsiteX164" fmla="*/ 230513 w 343570"/>
              <a:gd name="connsiteY164" fmla="*/ 237509 h 237509"/>
              <a:gd name="connsiteX165" fmla="*/ 238070 w 343570"/>
              <a:gd name="connsiteY165" fmla="*/ 230009 h 237509"/>
              <a:gd name="connsiteX166" fmla="*/ 237730 w 343570"/>
              <a:gd name="connsiteY166" fmla="*/ 227786 h 237509"/>
              <a:gd name="connsiteX167" fmla="*/ 234352 w 343570"/>
              <a:gd name="connsiteY167" fmla="*/ 217004 h 237509"/>
              <a:gd name="connsiteX168" fmla="*/ 234352 w 343570"/>
              <a:gd name="connsiteY168" fmla="*/ 132247 h 237509"/>
              <a:gd name="connsiteX169" fmla="*/ 248491 w 343570"/>
              <a:gd name="connsiteY169" fmla="*/ 110234 h 237509"/>
              <a:gd name="connsiteX170" fmla="*/ 248740 w 343570"/>
              <a:gd name="connsiteY170" fmla="*/ 109042 h 237509"/>
              <a:gd name="connsiteX171" fmla="*/ 249768 w 343570"/>
              <a:gd name="connsiteY171" fmla="*/ 107842 h 237509"/>
              <a:gd name="connsiteX172" fmla="*/ 250924 w 343570"/>
              <a:gd name="connsiteY172" fmla="*/ 107696 h 237509"/>
              <a:gd name="connsiteX173" fmla="*/ 254502 w 343570"/>
              <a:gd name="connsiteY173" fmla="*/ 110943 h 237509"/>
              <a:gd name="connsiteX174" fmla="*/ 273745 w 343570"/>
              <a:gd name="connsiteY174" fmla="*/ 117153 h 237509"/>
              <a:gd name="connsiteX175" fmla="*/ 273745 w 343570"/>
              <a:gd name="connsiteY175" fmla="*/ 117153 h 237509"/>
              <a:gd name="connsiteX176" fmla="*/ 281045 w 343570"/>
              <a:gd name="connsiteY176" fmla="*/ 117269 h 237509"/>
              <a:gd name="connsiteX177" fmla="*/ 291462 w 343570"/>
              <a:gd name="connsiteY177" fmla="*/ 128373 h 237509"/>
              <a:gd name="connsiteX178" fmla="*/ 288058 w 343570"/>
              <a:gd name="connsiteY178" fmla="*/ 179069 h 237509"/>
              <a:gd name="connsiteX179" fmla="*/ 305060 w 343570"/>
              <a:gd name="connsiteY179" fmla="*/ 207022 h 237509"/>
              <a:gd name="connsiteX180" fmla="*/ 315322 w 343570"/>
              <a:gd name="connsiteY180" fmla="*/ 209009 h 237509"/>
              <a:gd name="connsiteX181" fmla="*/ 339504 w 343570"/>
              <a:gd name="connsiteY181" fmla="*/ 194759 h 237509"/>
              <a:gd name="connsiteX182" fmla="*/ 342247 w 343570"/>
              <a:gd name="connsiteY182" fmla="*/ 189622 h 237509"/>
              <a:gd name="connsiteX183" fmla="*/ 342893 w 343570"/>
              <a:gd name="connsiteY183" fmla="*/ 180513 h 2375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</a:cxnLst>
            <a:rect l="l" t="t" r="r" b="b"/>
            <a:pathLst>
              <a:path w="343570" h="237509">
                <a:moveTo>
                  <a:pt x="342893" y="180513"/>
                </a:moveTo>
                <a:cubicBezTo>
                  <a:pt x="341794" y="177518"/>
                  <a:pt x="339473" y="175123"/>
                  <a:pt x="336500" y="173917"/>
                </a:cubicBezTo>
                <a:cubicBezTo>
                  <a:pt x="330959" y="171853"/>
                  <a:pt x="324738" y="174230"/>
                  <a:pt x="322021" y="179448"/>
                </a:cubicBezTo>
                <a:lnTo>
                  <a:pt x="319565" y="184046"/>
                </a:lnTo>
                <a:cubicBezTo>
                  <a:pt x="318930" y="185194"/>
                  <a:pt x="317844" y="186030"/>
                  <a:pt x="316565" y="186356"/>
                </a:cubicBezTo>
                <a:cubicBezTo>
                  <a:pt x="315269" y="186688"/>
                  <a:pt x="313892" y="186473"/>
                  <a:pt x="312761" y="185763"/>
                </a:cubicBezTo>
                <a:cubicBezTo>
                  <a:pt x="310959" y="184465"/>
                  <a:pt x="310187" y="182176"/>
                  <a:pt x="310837" y="180063"/>
                </a:cubicBezTo>
                <a:lnTo>
                  <a:pt x="311385" y="177986"/>
                </a:lnTo>
                <a:lnTo>
                  <a:pt x="331331" y="124034"/>
                </a:lnTo>
                <a:cubicBezTo>
                  <a:pt x="338612" y="102468"/>
                  <a:pt x="337199" y="84314"/>
                  <a:pt x="326571" y="63284"/>
                </a:cubicBezTo>
                <a:lnTo>
                  <a:pt x="305665" y="23759"/>
                </a:lnTo>
                <a:cubicBezTo>
                  <a:pt x="301537" y="15524"/>
                  <a:pt x="293056" y="10330"/>
                  <a:pt x="283788" y="10361"/>
                </a:cubicBezTo>
                <a:lnTo>
                  <a:pt x="263650" y="10361"/>
                </a:lnTo>
                <a:lnTo>
                  <a:pt x="255292" y="4319"/>
                </a:lnTo>
                <a:cubicBezTo>
                  <a:pt x="253965" y="3325"/>
                  <a:pt x="252508" y="2514"/>
                  <a:pt x="250962" y="1908"/>
                </a:cubicBezTo>
                <a:cubicBezTo>
                  <a:pt x="240023" y="-2176"/>
                  <a:pt x="227690" y="414"/>
                  <a:pt x="219356" y="8546"/>
                </a:cubicBezTo>
                <a:cubicBezTo>
                  <a:pt x="217251" y="10601"/>
                  <a:pt x="215287" y="12416"/>
                  <a:pt x="214108" y="13492"/>
                </a:cubicBezTo>
                <a:lnTo>
                  <a:pt x="209071" y="13248"/>
                </a:lnTo>
                <a:cubicBezTo>
                  <a:pt x="206530" y="13143"/>
                  <a:pt x="204003" y="12827"/>
                  <a:pt x="201515" y="12303"/>
                </a:cubicBezTo>
                <a:lnTo>
                  <a:pt x="178089" y="5658"/>
                </a:lnTo>
                <a:cubicBezTo>
                  <a:pt x="174034" y="4507"/>
                  <a:pt x="169838" y="3923"/>
                  <a:pt x="165620" y="3922"/>
                </a:cubicBezTo>
                <a:lnTo>
                  <a:pt x="93144" y="3922"/>
                </a:lnTo>
                <a:cubicBezTo>
                  <a:pt x="78483" y="3983"/>
                  <a:pt x="64019" y="7273"/>
                  <a:pt x="50796" y="13556"/>
                </a:cubicBezTo>
                <a:lnTo>
                  <a:pt x="50093" y="13889"/>
                </a:lnTo>
                <a:cubicBezTo>
                  <a:pt x="49500" y="14178"/>
                  <a:pt x="48907" y="14471"/>
                  <a:pt x="48325" y="14771"/>
                </a:cubicBezTo>
                <a:cubicBezTo>
                  <a:pt x="45823" y="16028"/>
                  <a:pt x="43402" y="17437"/>
                  <a:pt x="41074" y="18989"/>
                </a:cubicBezTo>
                <a:cubicBezTo>
                  <a:pt x="40319" y="19492"/>
                  <a:pt x="39582" y="20021"/>
                  <a:pt x="38845" y="20542"/>
                </a:cubicBezTo>
                <a:cubicBezTo>
                  <a:pt x="38562" y="20744"/>
                  <a:pt x="38271" y="20936"/>
                  <a:pt x="37991" y="21142"/>
                </a:cubicBezTo>
                <a:cubicBezTo>
                  <a:pt x="32986" y="24699"/>
                  <a:pt x="28590" y="29032"/>
                  <a:pt x="24971" y="33974"/>
                </a:cubicBezTo>
                <a:cubicBezTo>
                  <a:pt x="24929" y="34034"/>
                  <a:pt x="24926" y="34102"/>
                  <a:pt x="24892" y="34158"/>
                </a:cubicBezTo>
                <a:cubicBezTo>
                  <a:pt x="15847" y="45932"/>
                  <a:pt x="10936" y="60322"/>
                  <a:pt x="10912" y="75127"/>
                </a:cubicBezTo>
                <a:lnTo>
                  <a:pt x="10912" y="148218"/>
                </a:lnTo>
                <a:cubicBezTo>
                  <a:pt x="11253" y="155016"/>
                  <a:pt x="7856" y="161463"/>
                  <a:pt x="2036" y="165063"/>
                </a:cubicBezTo>
                <a:cubicBezTo>
                  <a:pt x="185" y="166018"/>
                  <a:pt x="-536" y="168283"/>
                  <a:pt x="427" y="170120"/>
                </a:cubicBezTo>
                <a:cubicBezTo>
                  <a:pt x="1389" y="171958"/>
                  <a:pt x="3670" y="172673"/>
                  <a:pt x="5522" y="171718"/>
                </a:cubicBezTo>
                <a:cubicBezTo>
                  <a:pt x="5585" y="171685"/>
                  <a:pt x="5648" y="171650"/>
                  <a:pt x="5709" y="171614"/>
                </a:cubicBezTo>
                <a:cubicBezTo>
                  <a:pt x="13595" y="167067"/>
                  <a:pt x="18454" y="158703"/>
                  <a:pt x="18468" y="149651"/>
                </a:cubicBezTo>
                <a:lnTo>
                  <a:pt x="18468" y="75127"/>
                </a:lnTo>
                <a:cubicBezTo>
                  <a:pt x="18610" y="51505"/>
                  <a:pt x="32505" y="30096"/>
                  <a:pt x="54117" y="20201"/>
                </a:cubicBezTo>
                <a:cubicBezTo>
                  <a:pt x="66315" y="14454"/>
                  <a:pt x="79642" y="11456"/>
                  <a:pt x="93144" y="11422"/>
                </a:cubicBezTo>
                <a:lnTo>
                  <a:pt x="165594" y="11422"/>
                </a:lnTo>
                <a:cubicBezTo>
                  <a:pt x="169108" y="11422"/>
                  <a:pt x="172606" y="11909"/>
                  <a:pt x="175984" y="12869"/>
                </a:cubicBezTo>
                <a:lnTo>
                  <a:pt x="199410" y="19514"/>
                </a:lnTo>
                <a:cubicBezTo>
                  <a:pt x="202528" y="20263"/>
                  <a:pt x="205717" y="20675"/>
                  <a:pt x="208924" y="20744"/>
                </a:cubicBezTo>
                <a:lnTo>
                  <a:pt x="210371" y="20816"/>
                </a:lnTo>
                <a:lnTo>
                  <a:pt x="198537" y="47534"/>
                </a:lnTo>
                <a:cubicBezTo>
                  <a:pt x="196384" y="52165"/>
                  <a:pt x="195999" y="57414"/>
                  <a:pt x="197453" y="62306"/>
                </a:cubicBezTo>
                <a:cubicBezTo>
                  <a:pt x="199275" y="68106"/>
                  <a:pt x="203654" y="72770"/>
                  <a:pt x="209355" y="74984"/>
                </a:cubicBezTo>
                <a:lnTo>
                  <a:pt x="246194" y="89474"/>
                </a:lnTo>
                <a:cubicBezTo>
                  <a:pt x="252240" y="91844"/>
                  <a:pt x="259064" y="91201"/>
                  <a:pt x="264553" y="87742"/>
                </a:cubicBezTo>
                <a:lnTo>
                  <a:pt x="270024" y="84288"/>
                </a:lnTo>
                <a:cubicBezTo>
                  <a:pt x="271721" y="83084"/>
                  <a:pt x="272113" y="80741"/>
                  <a:pt x="270900" y="79057"/>
                </a:cubicBezTo>
                <a:cubicBezTo>
                  <a:pt x="269771" y="77490"/>
                  <a:pt x="267630" y="77026"/>
                  <a:pt x="265947" y="77984"/>
                </a:cubicBezTo>
                <a:lnTo>
                  <a:pt x="260480" y="81442"/>
                </a:lnTo>
                <a:cubicBezTo>
                  <a:pt x="257037" y="83614"/>
                  <a:pt x="252755" y="84017"/>
                  <a:pt x="248963" y="82526"/>
                </a:cubicBezTo>
                <a:lnTo>
                  <a:pt x="212479" y="68178"/>
                </a:lnTo>
                <a:cubicBezTo>
                  <a:pt x="209885" y="67220"/>
                  <a:pt x="207664" y="65471"/>
                  <a:pt x="206132" y="63183"/>
                </a:cubicBezTo>
                <a:cubicBezTo>
                  <a:pt x="203793" y="59613"/>
                  <a:pt x="203429" y="55112"/>
                  <a:pt x="205164" y="51217"/>
                </a:cubicBezTo>
                <a:lnTo>
                  <a:pt x="219586" y="18689"/>
                </a:lnTo>
                <a:cubicBezTo>
                  <a:pt x="220833" y="17564"/>
                  <a:pt x="222673" y="15839"/>
                  <a:pt x="224657" y="13904"/>
                </a:cubicBezTo>
                <a:cubicBezTo>
                  <a:pt x="230879" y="7821"/>
                  <a:pt x="240093" y="5875"/>
                  <a:pt x="248272" y="8917"/>
                </a:cubicBezTo>
                <a:cubicBezTo>
                  <a:pt x="249187" y="9291"/>
                  <a:pt x="250049" y="9784"/>
                  <a:pt x="250833" y="10383"/>
                </a:cubicBezTo>
                <a:lnTo>
                  <a:pt x="260185" y="17133"/>
                </a:lnTo>
                <a:cubicBezTo>
                  <a:pt x="260831" y="17599"/>
                  <a:pt x="261608" y="17849"/>
                  <a:pt x="262407" y="17849"/>
                </a:cubicBezTo>
                <a:lnTo>
                  <a:pt x="283788" y="17849"/>
                </a:lnTo>
                <a:cubicBezTo>
                  <a:pt x="290216" y="17834"/>
                  <a:pt x="296092" y="21451"/>
                  <a:pt x="298936" y="27172"/>
                </a:cubicBezTo>
                <a:lnTo>
                  <a:pt x="319845" y="66689"/>
                </a:lnTo>
                <a:cubicBezTo>
                  <a:pt x="329280" y="83472"/>
                  <a:pt x="330876" y="103502"/>
                  <a:pt x="324217" y="121548"/>
                </a:cubicBezTo>
                <a:lnTo>
                  <a:pt x="304191" y="175721"/>
                </a:lnTo>
                <a:lnTo>
                  <a:pt x="303541" y="178117"/>
                </a:lnTo>
                <a:cubicBezTo>
                  <a:pt x="302018" y="183419"/>
                  <a:pt x="304134" y="189090"/>
                  <a:pt x="308771" y="192127"/>
                </a:cubicBezTo>
                <a:cubicBezTo>
                  <a:pt x="311655" y="193941"/>
                  <a:pt x="315170" y="194484"/>
                  <a:pt x="318474" y="193627"/>
                </a:cubicBezTo>
                <a:cubicBezTo>
                  <a:pt x="321774" y="192766"/>
                  <a:pt x="324573" y="190596"/>
                  <a:pt x="326215" y="187627"/>
                </a:cubicBezTo>
                <a:lnTo>
                  <a:pt x="328702" y="182973"/>
                </a:lnTo>
                <a:cubicBezTo>
                  <a:pt x="329594" y="181152"/>
                  <a:pt x="331699" y="180257"/>
                  <a:pt x="333644" y="180873"/>
                </a:cubicBezTo>
                <a:cubicBezTo>
                  <a:pt x="334643" y="181270"/>
                  <a:pt x="335425" y="182070"/>
                  <a:pt x="335793" y="183074"/>
                </a:cubicBezTo>
                <a:cubicBezTo>
                  <a:pt x="336162" y="184070"/>
                  <a:pt x="336083" y="185174"/>
                  <a:pt x="335578" y="186108"/>
                </a:cubicBezTo>
                <a:lnTo>
                  <a:pt x="332858" y="191193"/>
                </a:lnTo>
                <a:cubicBezTo>
                  <a:pt x="329344" y="197547"/>
                  <a:pt x="322629" y="201503"/>
                  <a:pt x="315326" y="201521"/>
                </a:cubicBezTo>
                <a:cubicBezTo>
                  <a:pt x="312780" y="201520"/>
                  <a:pt x="310257" y="201030"/>
                  <a:pt x="307898" y="200077"/>
                </a:cubicBezTo>
                <a:cubicBezTo>
                  <a:pt x="299712" y="196727"/>
                  <a:pt x="294710" y="188444"/>
                  <a:pt x="295592" y="179699"/>
                </a:cubicBezTo>
                <a:lnTo>
                  <a:pt x="299034" y="128782"/>
                </a:lnTo>
                <a:cubicBezTo>
                  <a:pt x="299400" y="118675"/>
                  <a:pt x="291458" y="110179"/>
                  <a:pt x="281276" y="109784"/>
                </a:cubicBezTo>
                <a:lnTo>
                  <a:pt x="273813" y="109664"/>
                </a:lnTo>
                <a:cubicBezTo>
                  <a:pt x="268693" y="110193"/>
                  <a:pt x="263574" y="108657"/>
                  <a:pt x="259607" y="105401"/>
                </a:cubicBezTo>
                <a:lnTo>
                  <a:pt x="255451" y="101651"/>
                </a:lnTo>
                <a:cubicBezTo>
                  <a:pt x="255155" y="101383"/>
                  <a:pt x="254818" y="101164"/>
                  <a:pt x="254453" y="101002"/>
                </a:cubicBezTo>
                <a:cubicBezTo>
                  <a:pt x="251947" y="99881"/>
                  <a:pt x="249074" y="99899"/>
                  <a:pt x="246583" y="101051"/>
                </a:cubicBezTo>
                <a:cubicBezTo>
                  <a:pt x="244018" y="102249"/>
                  <a:pt x="242123" y="104516"/>
                  <a:pt x="241410" y="107238"/>
                </a:cubicBezTo>
                <a:lnTo>
                  <a:pt x="241100" y="108674"/>
                </a:lnTo>
                <a:cubicBezTo>
                  <a:pt x="239428" y="116439"/>
                  <a:pt x="234723" y="123228"/>
                  <a:pt x="228016" y="127556"/>
                </a:cubicBezTo>
                <a:lnTo>
                  <a:pt x="214965" y="135974"/>
                </a:lnTo>
                <a:cubicBezTo>
                  <a:pt x="210741" y="138104"/>
                  <a:pt x="206555" y="140099"/>
                  <a:pt x="202497" y="141956"/>
                </a:cubicBezTo>
                <a:cubicBezTo>
                  <a:pt x="201112" y="142576"/>
                  <a:pt x="200256" y="143979"/>
                  <a:pt x="200343" y="145484"/>
                </a:cubicBezTo>
                <a:lnTo>
                  <a:pt x="200343" y="217578"/>
                </a:lnTo>
                <a:lnTo>
                  <a:pt x="200513" y="218703"/>
                </a:lnTo>
                <a:lnTo>
                  <a:pt x="204065" y="229961"/>
                </a:lnTo>
                <a:cubicBezTo>
                  <a:pt x="204071" y="229981"/>
                  <a:pt x="204060" y="230002"/>
                  <a:pt x="204040" y="230008"/>
                </a:cubicBezTo>
                <a:cubicBezTo>
                  <a:pt x="204037" y="230009"/>
                  <a:pt x="204034" y="230009"/>
                  <a:pt x="204031" y="230009"/>
                </a:cubicBezTo>
                <a:lnTo>
                  <a:pt x="177870" y="230009"/>
                </a:lnTo>
                <a:cubicBezTo>
                  <a:pt x="177849" y="230008"/>
                  <a:pt x="177833" y="229991"/>
                  <a:pt x="177834" y="229970"/>
                </a:cubicBezTo>
                <a:cubicBezTo>
                  <a:pt x="177834" y="229967"/>
                  <a:pt x="177835" y="229964"/>
                  <a:pt x="177836" y="229961"/>
                </a:cubicBezTo>
                <a:lnTo>
                  <a:pt x="181304" y="218662"/>
                </a:lnTo>
                <a:lnTo>
                  <a:pt x="181470" y="217571"/>
                </a:lnTo>
                <a:lnTo>
                  <a:pt x="181470" y="156194"/>
                </a:lnTo>
                <a:cubicBezTo>
                  <a:pt x="181466" y="155651"/>
                  <a:pt x="181356" y="155114"/>
                  <a:pt x="181145" y="154612"/>
                </a:cubicBezTo>
                <a:cubicBezTo>
                  <a:pt x="180494" y="152647"/>
                  <a:pt x="178362" y="151576"/>
                  <a:pt x="176381" y="152219"/>
                </a:cubicBezTo>
                <a:cubicBezTo>
                  <a:pt x="145304" y="162322"/>
                  <a:pt x="116048" y="163814"/>
                  <a:pt x="78556" y="157211"/>
                </a:cubicBezTo>
                <a:cubicBezTo>
                  <a:pt x="75359" y="156645"/>
                  <a:pt x="72204" y="155872"/>
                  <a:pt x="69110" y="154897"/>
                </a:cubicBezTo>
                <a:lnTo>
                  <a:pt x="68139" y="154769"/>
                </a:lnTo>
                <a:cubicBezTo>
                  <a:pt x="66052" y="154769"/>
                  <a:pt x="64360" y="156448"/>
                  <a:pt x="64360" y="158519"/>
                </a:cubicBezTo>
                <a:lnTo>
                  <a:pt x="64360" y="217578"/>
                </a:lnTo>
                <a:lnTo>
                  <a:pt x="64530" y="218684"/>
                </a:lnTo>
                <a:lnTo>
                  <a:pt x="68044" y="229961"/>
                </a:lnTo>
                <a:cubicBezTo>
                  <a:pt x="68051" y="229981"/>
                  <a:pt x="68039" y="230002"/>
                  <a:pt x="68020" y="230008"/>
                </a:cubicBezTo>
                <a:cubicBezTo>
                  <a:pt x="68017" y="230009"/>
                  <a:pt x="68013" y="230009"/>
                  <a:pt x="68010" y="230009"/>
                </a:cubicBezTo>
                <a:lnTo>
                  <a:pt x="41849" y="230009"/>
                </a:lnTo>
                <a:cubicBezTo>
                  <a:pt x="41828" y="230011"/>
                  <a:pt x="41810" y="229994"/>
                  <a:pt x="41809" y="229974"/>
                </a:cubicBezTo>
                <a:cubicBezTo>
                  <a:pt x="41809" y="229969"/>
                  <a:pt x="41810" y="229965"/>
                  <a:pt x="41811" y="229961"/>
                </a:cubicBezTo>
                <a:lnTo>
                  <a:pt x="45283" y="218666"/>
                </a:lnTo>
                <a:lnTo>
                  <a:pt x="45450" y="217567"/>
                </a:lnTo>
                <a:lnTo>
                  <a:pt x="45450" y="143609"/>
                </a:lnTo>
                <a:cubicBezTo>
                  <a:pt x="45450" y="143561"/>
                  <a:pt x="45450" y="143527"/>
                  <a:pt x="45450" y="143478"/>
                </a:cubicBezTo>
                <a:cubicBezTo>
                  <a:pt x="45450" y="143429"/>
                  <a:pt x="45450" y="143384"/>
                  <a:pt x="45450" y="143336"/>
                </a:cubicBezTo>
                <a:cubicBezTo>
                  <a:pt x="45432" y="143111"/>
                  <a:pt x="45377" y="142890"/>
                  <a:pt x="45287" y="142683"/>
                </a:cubicBezTo>
                <a:cubicBezTo>
                  <a:pt x="45130" y="141978"/>
                  <a:pt x="44765" y="141335"/>
                  <a:pt x="44237" y="140838"/>
                </a:cubicBezTo>
                <a:cubicBezTo>
                  <a:pt x="41612" y="138478"/>
                  <a:pt x="39197" y="135897"/>
                  <a:pt x="37020" y="133124"/>
                </a:cubicBezTo>
                <a:cubicBezTo>
                  <a:pt x="34563" y="129991"/>
                  <a:pt x="32335" y="126688"/>
                  <a:pt x="30351" y="123239"/>
                </a:cubicBezTo>
                <a:cubicBezTo>
                  <a:pt x="29315" y="121441"/>
                  <a:pt x="27006" y="120816"/>
                  <a:pt x="25194" y="121844"/>
                </a:cubicBezTo>
                <a:cubicBezTo>
                  <a:pt x="23382" y="122873"/>
                  <a:pt x="22752" y="125164"/>
                  <a:pt x="23788" y="126963"/>
                </a:cubicBezTo>
                <a:cubicBezTo>
                  <a:pt x="25938" y="130721"/>
                  <a:pt x="28354" y="134322"/>
                  <a:pt x="31016" y="137741"/>
                </a:cubicBezTo>
                <a:cubicBezTo>
                  <a:pt x="33117" y="140387"/>
                  <a:pt x="35412" y="142876"/>
                  <a:pt x="37882" y="145188"/>
                </a:cubicBezTo>
                <a:lnTo>
                  <a:pt x="37882" y="217012"/>
                </a:lnTo>
                <a:lnTo>
                  <a:pt x="34557" y="227823"/>
                </a:lnTo>
                <a:cubicBezTo>
                  <a:pt x="33340" y="231785"/>
                  <a:pt x="35590" y="235976"/>
                  <a:pt x="39582" y="237184"/>
                </a:cubicBezTo>
                <a:cubicBezTo>
                  <a:pt x="40296" y="237400"/>
                  <a:pt x="41038" y="237509"/>
                  <a:pt x="41785" y="237509"/>
                </a:cubicBezTo>
                <a:lnTo>
                  <a:pt x="68044" y="237509"/>
                </a:lnTo>
                <a:cubicBezTo>
                  <a:pt x="72218" y="237509"/>
                  <a:pt x="75601" y="234151"/>
                  <a:pt x="75601" y="230009"/>
                </a:cubicBezTo>
                <a:cubicBezTo>
                  <a:pt x="75601" y="229255"/>
                  <a:pt x="75486" y="228506"/>
                  <a:pt x="75261" y="227786"/>
                </a:cubicBezTo>
                <a:lnTo>
                  <a:pt x="71883" y="217004"/>
                </a:lnTo>
                <a:lnTo>
                  <a:pt x="71883" y="163484"/>
                </a:lnTo>
                <a:cubicBezTo>
                  <a:pt x="73644" y="163916"/>
                  <a:pt x="75427" y="164294"/>
                  <a:pt x="77218" y="164609"/>
                </a:cubicBezTo>
                <a:cubicBezTo>
                  <a:pt x="91516" y="167248"/>
                  <a:pt x="106021" y="168629"/>
                  <a:pt x="120563" y="168734"/>
                </a:cubicBezTo>
                <a:cubicBezTo>
                  <a:pt x="138645" y="168753"/>
                  <a:pt x="156628" y="166084"/>
                  <a:pt x="173914" y="160818"/>
                </a:cubicBezTo>
                <a:lnTo>
                  <a:pt x="173914" y="217016"/>
                </a:lnTo>
                <a:lnTo>
                  <a:pt x="170592" y="227823"/>
                </a:lnTo>
                <a:cubicBezTo>
                  <a:pt x="169376" y="231785"/>
                  <a:pt x="171626" y="235976"/>
                  <a:pt x="175618" y="237184"/>
                </a:cubicBezTo>
                <a:cubicBezTo>
                  <a:pt x="176332" y="237400"/>
                  <a:pt x="177074" y="237509"/>
                  <a:pt x="177820" y="237509"/>
                </a:cubicBezTo>
                <a:lnTo>
                  <a:pt x="204065" y="237509"/>
                </a:lnTo>
                <a:cubicBezTo>
                  <a:pt x="208239" y="237509"/>
                  <a:pt x="211622" y="234151"/>
                  <a:pt x="211621" y="230009"/>
                </a:cubicBezTo>
                <a:cubicBezTo>
                  <a:pt x="211621" y="229255"/>
                  <a:pt x="211507" y="228506"/>
                  <a:pt x="211282" y="227786"/>
                </a:cubicBezTo>
                <a:lnTo>
                  <a:pt x="207904" y="217004"/>
                </a:lnTo>
                <a:lnTo>
                  <a:pt x="207904" y="147734"/>
                </a:lnTo>
                <a:cubicBezTo>
                  <a:pt x="211399" y="146111"/>
                  <a:pt x="214965" y="144401"/>
                  <a:pt x="218574" y="142578"/>
                </a:cubicBezTo>
                <a:lnTo>
                  <a:pt x="218918" y="142383"/>
                </a:lnTo>
                <a:lnTo>
                  <a:pt x="226796" y="137298"/>
                </a:lnTo>
                <a:lnTo>
                  <a:pt x="226796" y="217578"/>
                </a:lnTo>
                <a:lnTo>
                  <a:pt x="226966" y="218684"/>
                </a:lnTo>
                <a:lnTo>
                  <a:pt x="230513" y="229961"/>
                </a:lnTo>
                <a:cubicBezTo>
                  <a:pt x="230520" y="229981"/>
                  <a:pt x="230509" y="230002"/>
                  <a:pt x="230489" y="230008"/>
                </a:cubicBezTo>
                <a:cubicBezTo>
                  <a:pt x="230486" y="230009"/>
                  <a:pt x="230482" y="230009"/>
                  <a:pt x="230479" y="230009"/>
                </a:cubicBezTo>
                <a:lnTo>
                  <a:pt x="219382" y="230009"/>
                </a:lnTo>
                <a:cubicBezTo>
                  <a:pt x="217296" y="230009"/>
                  <a:pt x="215604" y="231688"/>
                  <a:pt x="215604" y="233759"/>
                </a:cubicBezTo>
                <a:cubicBezTo>
                  <a:pt x="215604" y="235831"/>
                  <a:pt x="217296" y="237509"/>
                  <a:pt x="219382" y="237509"/>
                </a:cubicBezTo>
                <a:lnTo>
                  <a:pt x="230513" y="237509"/>
                </a:lnTo>
                <a:cubicBezTo>
                  <a:pt x="234687" y="237509"/>
                  <a:pt x="238070" y="234151"/>
                  <a:pt x="238070" y="230009"/>
                </a:cubicBezTo>
                <a:cubicBezTo>
                  <a:pt x="238070" y="229255"/>
                  <a:pt x="237955" y="228506"/>
                  <a:pt x="237730" y="227786"/>
                </a:cubicBezTo>
                <a:lnTo>
                  <a:pt x="234352" y="217004"/>
                </a:lnTo>
                <a:lnTo>
                  <a:pt x="234352" y="132247"/>
                </a:lnTo>
                <a:cubicBezTo>
                  <a:pt x="241590" y="126845"/>
                  <a:pt x="246612" y="119026"/>
                  <a:pt x="248491" y="110234"/>
                </a:cubicBezTo>
                <a:lnTo>
                  <a:pt x="248740" y="109042"/>
                </a:lnTo>
                <a:cubicBezTo>
                  <a:pt x="248889" y="108512"/>
                  <a:pt x="249265" y="108073"/>
                  <a:pt x="249768" y="107842"/>
                </a:cubicBezTo>
                <a:cubicBezTo>
                  <a:pt x="250130" y="107681"/>
                  <a:pt x="250533" y="107630"/>
                  <a:pt x="250924" y="107696"/>
                </a:cubicBezTo>
                <a:lnTo>
                  <a:pt x="254502" y="110943"/>
                </a:lnTo>
                <a:cubicBezTo>
                  <a:pt x="259836" y="115459"/>
                  <a:pt x="266756" y="117692"/>
                  <a:pt x="273745" y="117153"/>
                </a:cubicBezTo>
                <a:lnTo>
                  <a:pt x="273745" y="117153"/>
                </a:lnTo>
                <a:lnTo>
                  <a:pt x="281045" y="117269"/>
                </a:lnTo>
                <a:cubicBezTo>
                  <a:pt x="286992" y="117521"/>
                  <a:pt x="291633" y="122468"/>
                  <a:pt x="291462" y="128373"/>
                </a:cubicBezTo>
                <a:lnTo>
                  <a:pt x="288058" y="179069"/>
                </a:lnTo>
                <a:cubicBezTo>
                  <a:pt x="286905" y="191086"/>
                  <a:pt x="293809" y="202437"/>
                  <a:pt x="305060" y="207022"/>
                </a:cubicBezTo>
                <a:cubicBezTo>
                  <a:pt x="308320" y="208336"/>
                  <a:pt x="311804" y="209011"/>
                  <a:pt x="315322" y="209009"/>
                </a:cubicBezTo>
                <a:cubicBezTo>
                  <a:pt x="325397" y="208988"/>
                  <a:pt x="334662" y="203528"/>
                  <a:pt x="339504" y="194759"/>
                </a:cubicBezTo>
                <a:lnTo>
                  <a:pt x="342247" y="189622"/>
                </a:lnTo>
                <a:cubicBezTo>
                  <a:pt x="343750" y="186813"/>
                  <a:pt x="343985" y="183503"/>
                  <a:pt x="342893" y="18051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44" name="Freeform: Shape 343">
            <a:extLst>
              <a:ext uri="{FF2B5EF4-FFF2-40B4-BE49-F238E27FC236}">
                <a16:creationId xmlns:a16="http://schemas.microsoft.com/office/drawing/2014/main" id="{86F5C9C5-7F73-4110-A4E7-3AA5D2457035}"/>
              </a:ext>
            </a:extLst>
          </xdr:cNvPr>
          <xdr:cNvSpPr/>
        </xdr:nvSpPr>
        <xdr:spPr>
          <a:xfrm>
            <a:off x="13104523" y="7712561"/>
            <a:ext cx="22469" cy="64927"/>
          </a:xfrm>
          <a:custGeom>
            <a:avLst/>
            <a:gdLst>
              <a:gd name="connsiteX0" fmla="*/ 18767 w 22469"/>
              <a:gd name="connsiteY0" fmla="*/ 44423 h 64927"/>
              <a:gd name="connsiteX1" fmla="*/ 18767 w 22469"/>
              <a:gd name="connsiteY1" fmla="*/ 3750 h 64927"/>
              <a:gd name="connsiteX2" fmla="*/ 14989 w 22469"/>
              <a:gd name="connsiteY2" fmla="*/ 0 h 64927"/>
              <a:gd name="connsiteX3" fmla="*/ 11210 w 22469"/>
              <a:gd name="connsiteY3" fmla="*/ 3750 h 64927"/>
              <a:gd name="connsiteX4" fmla="*/ 11210 w 22469"/>
              <a:gd name="connsiteY4" fmla="*/ 45000 h 64927"/>
              <a:gd name="connsiteX5" fmla="*/ 11380 w 22469"/>
              <a:gd name="connsiteY5" fmla="*/ 46106 h 64927"/>
              <a:gd name="connsiteX6" fmla="*/ 14913 w 22469"/>
              <a:gd name="connsiteY6" fmla="*/ 57379 h 64927"/>
              <a:gd name="connsiteX7" fmla="*/ 14889 w 22469"/>
              <a:gd name="connsiteY7" fmla="*/ 57426 h 64927"/>
              <a:gd name="connsiteX8" fmla="*/ 14879 w 22469"/>
              <a:gd name="connsiteY8" fmla="*/ 57427 h 64927"/>
              <a:gd name="connsiteX9" fmla="*/ 3778 w 22469"/>
              <a:gd name="connsiteY9" fmla="*/ 57427 h 64927"/>
              <a:gd name="connsiteX10" fmla="*/ 0 w 22469"/>
              <a:gd name="connsiteY10" fmla="*/ 61177 h 64927"/>
              <a:gd name="connsiteX11" fmla="*/ 3778 w 22469"/>
              <a:gd name="connsiteY11" fmla="*/ 64927 h 64927"/>
              <a:gd name="connsiteX12" fmla="*/ 14913 w 22469"/>
              <a:gd name="connsiteY12" fmla="*/ 64927 h 64927"/>
              <a:gd name="connsiteX13" fmla="*/ 22470 w 22469"/>
              <a:gd name="connsiteY13" fmla="*/ 57427 h 64927"/>
              <a:gd name="connsiteX14" fmla="*/ 22130 w 22469"/>
              <a:gd name="connsiteY14" fmla="*/ 55204 h 649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22469" h="64927">
                <a:moveTo>
                  <a:pt x="18767" y="44423"/>
                </a:moveTo>
                <a:lnTo>
                  <a:pt x="18767" y="3750"/>
                </a:lnTo>
                <a:cubicBezTo>
                  <a:pt x="18767" y="1679"/>
                  <a:pt x="17076" y="0"/>
                  <a:pt x="14989" y="0"/>
                </a:cubicBezTo>
                <a:cubicBezTo>
                  <a:pt x="12902" y="0"/>
                  <a:pt x="11210" y="1679"/>
                  <a:pt x="11210" y="3750"/>
                </a:cubicBezTo>
                <a:lnTo>
                  <a:pt x="11210" y="45000"/>
                </a:lnTo>
                <a:lnTo>
                  <a:pt x="11380" y="46106"/>
                </a:lnTo>
                <a:lnTo>
                  <a:pt x="14913" y="57379"/>
                </a:lnTo>
                <a:cubicBezTo>
                  <a:pt x="14920" y="57399"/>
                  <a:pt x="14908" y="57420"/>
                  <a:pt x="14889" y="57426"/>
                </a:cubicBezTo>
                <a:cubicBezTo>
                  <a:pt x="14886" y="57427"/>
                  <a:pt x="14882" y="57427"/>
                  <a:pt x="14879" y="57427"/>
                </a:cubicBezTo>
                <a:lnTo>
                  <a:pt x="3778" y="57427"/>
                </a:lnTo>
                <a:cubicBezTo>
                  <a:pt x="1692" y="57427"/>
                  <a:pt x="0" y="59106"/>
                  <a:pt x="0" y="61177"/>
                </a:cubicBezTo>
                <a:cubicBezTo>
                  <a:pt x="0" y="63249"/>
                  <a:pt x="1692" y="64927"/>
                  <a:pt x="3778" y="64927"/>
                </a:cubicBezTo>
                <a:lnTo>
                  <a:pt x="14913" y="64927"/>
                </a:lnTo>
                <a:cubicBezTo>
                  <a:pt x="19087" y="64927"/>
                  <a:pt x="22470" y="61569"/>
                  <a:pt x="22470" y="57427"/>
                </a:cubicBezTo>
                <a:cubicBezTo>
                  <a:pt x="22470" y="56673"/>
                  <a:pt x="22355" y="55924"/>
                  <a:pt x="22130" y="5520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45" name="Freeform: Shape 344">
            <a:extLst>
              <a:ext uri="{FF2B5EF4-FFF2-40B4-BE49-F238E27FC236}">
                <a16:creationId xmlns:a16="http://schemas.microsoft.com/office/drawing/2014/main" id="{1671ED1B-7595-4A7D-A844-360EB8EFC37A}"/>
              </a:ext>
            </a:extLst>
          </xdr:cNvPr>
          <xdr:cNvSpPr/>
        </xdr:nvSpPr>
        <xdr:spPr>
          <a:xfrm>
            <a:off x="13308369" y="759621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6</xdr:col>
      <xdr:colOff>152908</xdr:colOff>
      <xdr:row>9</xdr:row>
      <xdr:rowOff>111192</xdr:rowOff>
    </xdr:from>
    <xdr:to>
      <xdr:col>6</xdr:col>
      <xdr:colOff>431137</xdr:colOff>
      <xdr:row>9</xdr:row>
      <xdr:rowOff>456245</xdr:rowOff>
    </xdr:to>
    <xdr:grpSp>
      <xdr:nvGrpSpPr>
        <xdr:cNvPr id="346" name="giraffe" descr="Giraffe outline">
          <a:extLst>
            <a:ext uri="{FF2B5EF4-FFF2-40B4-BE49-F238E27FC236}">
              <a16:creationId xmlns:a16="http://schemas.microsoft.com/office/drawing/2014/main" id="{F3BCCA79-859C-416E-9454-3CB5ECFAA7AB}"/>
            </a:ext>
          </a:extLst>
        </xdr:cNvPr>
        <xdr:cNvGrpSpPr>
          <a:grpSpLocks noChangeAspect="1"/>
        </xdr:cNvGrpSpPr>
      </xdr:nvGrpSpPr>
      <xdr:grpSpPr>
        <a:xfrm>
          <a:off x="5372608" y="3635442"/>
          <a:ext cx="278229" cy="345053"/>
          <a:chOff x="12423466" y="7487436"/>
          <a:chExt cx="278229" cy="345053"/>
        </a:xfrm>
        <a:solidFill>
          <a:srgbClr val="1F4E78"/>
        </a:solidFill>
      </xdr:grpSpPr>
      <xdr:sp macro="" textlink="">
        <xdr:nvSpPr>
          <xdr:cNvPr id="347" name="Freeform: Shape 346">
            <a:extLst>
              <a:ext uri="{FF2B5EF4-FFF2-40B4-BE49-F238E27FC236}">
                <a16:creationId xmlns:a16="http://schemas.microsoft.com/office/drawing/2014/main" id="{AB967CC9-514A-4B30-BFBB-59F4C9AF4A6A}"/>
              </a:ext>
            </a:extLst>
          </xdr:cNvPr>
          <xdr:cNvSpPr/>
        </xdr:nvSpPr>
        <xdr:spPr>
          <a:xfrm>
            <a:off x="12423466" y="7487436"/>
            <a:ext cx="278229" cy="345049"/>
          </a:xfrm>
          <a:custGeom>
            <a:avLst/>
            <a:gdLst>
              <a:gd name="connsiteX0" fmla="*/ 141604 w 278229"/>
              <a:gd name="connsiteY0" fmla="*/ 238763 h 345049"/>
              <a:gd name="connsiteX1" fmla="*/ 138238 w 278229"/>
              <a:gd name="connsiteY1" fmla="*/ 242468 h 345049"/>
              <a:gd name="connsiteX2" fmla="*/ 138238 w 278229"/>
              <a:gd name="connsiteY2" fmla="*/ 322546 h 345049"/>
              <a:gd name="connsiteX3" fmla="*/ 139345 w 278229"/>
              <a:gd name="connsiteY3" fmla="*/ 325201 h 345049"/>
              <a:gd name="connsiteX4" fmla="*/ 142469 w 278229"/>
              <a:gd name="connsiteY4" fmla="*/ 328310 h 345049"/>
              <a:gd name="connsiteX5" fmla="*/ 145787 w 278229"/>
              <a:gd name="connsiteY5" fmla="*/ 336263 h 345049"/>
              <a:gd name="connsiteX6" fmla="*/ 145787 w 278229"/>
              <a:gd name="connsiteY6" fmla="*/ 337550 h 345049"/>
              <a:gd name="connsiteX7" fmla="*/ 132238 w 278229"/>
              <a:gd name="connsiteY7" fmla="*/ 337550 h 345049"/>
              <a:gd name="connsiteX8" fmla="*/ 126903 w 278229"/>
              <a:gd name="connsiteY8" fmla="*/ 332247 h 345049"/>
              <a:gd name="connsiteX9" fmla="*/ 126903 w 278229"/>
              <a:gd name="connsiteY9" fmla="*/ 244576 h 345049"/>
              <a:gd name="connsiteX10" fmla="*/ 123124 w 278229"/>
              <a:gd name="connsiteY10" fmla="*/ 240826 h 345049"/>
              <a:gd name="connsiteX11" fmla="*/ 122709 w 278229"/>
              <a:gd name="connsiteY11" fmla="*/ 240852 h 345049"/>
              <a:gd name="connsiteX12" fmla="*/ 47142 w 278229"/>
              <a:gd name="connsiteY12" fmla="*/ 249200 h 345049"/>
              <a:gd name="connsiteX13" fmla="*/ 43779 w 278229"/>
              <a:gd name="connsiteY13" fmla="*/ 252923 h 345049"/>
              <a:gd name="connsiteX14" fmla="*/ 43779 w 278229"/>
              <a:gd name="connsiteY14" fmla="*/ 322546 h 345049"/>
              <a:gd name="connsiteX15" fmla="*/ 44886 w 278229"/>
              <a:gd name="connsiteY15" fmla="*/ 325201 h 345049"/>
              <a:gd name="connsiteX16" fmla="*/ 48011 w 278229"/>
              <a:gd name="connsiteY16" fmla="*/ 328310 h 345049"/>
              <a:gd name="connsiteX17" fmla="*/ 51328 w 278229"/>
              <a:gd name="connsiteY17" fmla="*/ 336263 h 345049"/>
              <a:gd name="connsiteX18" fmla="*/ 51328 w 278229"/>
              <a:gd name="connsiteY18" fmla="*/ 337550 h 345049"/>
              <a:gd name="connsiteX19" fmla="*/ 37779 w 278229"/>
              <a:gd name="connsiteY19" fmla="*/ 337550 h 345049"/>
              <a:gd name="connsiteX20" fmla="*/ 32444 w 278229"/>
              <a:gd name="connsiteY20" fmla="*/ 332247 h 345049"/>
              <a:gd name="connsiteX21" fmla="*/ 32444 w 278229"/>
              <a:gd name="connsiteY21" fmla="*/ 235602 h 345049"/>
              <a:gd name="connsiteX22" fmla="*/ 35554 w 278229"/>
              <a:gd name="connsiteY22" fmla="*/ 213196 h 345049"/>
              <a:gd name="connsiteX23" fmla="*/ 34015 w 278229"/>
              <a:gd name="connsiteY23" fmla="*/ 208117 h 345049"/>
              <a:gd name="connsiteX24" fmla="*/ 28898 w 278229"/>
              <a:gd name="connsiteY24" fmla="*/ 209645 h 345049"/>
              <a:gd name="connsiteX25" fmla="*/ 28775 w 278229"/>
              <a:gd name="connsiteY25" fmla="*/ 209892 h 345049"/>
              <a:gd name="connsiteX26" fmla="*/ 24887 w 278229"/>
              <a:gd name="connsiteY26" fmla="*/ 235602 h 345049"/>
              <a:gd name="connsiteX27" fmla="*/ 24887 w 278229"/>
              <a:gd name="connsiteY27" fmla="*/ 333796 h 345049"/>
              <a:gd name="connsiteX28" fmla="*/ 25994 w 278229"/>
              <a:gd name="connsiteY28" fmla="*/ 336451 h 345049"/>
              <a:gd name="connsiteX29" fmla="*/ 33551 w 278229"/>
              <a:gd name="connsiteY29" fmla="*/ 343951 h 345049"/>
              <a:gd name="connsiteX30" fmla="*/ 36219 w 278229"/>
              <a:gd name="connsiteY30" fmla="*/ 345046 h 345049"/>
              <a:gd name="connsiteX31" fmla="*/ 55110 w 278229"/>
              <a:gd name="connsiteY31" fmla="*/ 345046 h 345049"/>
              <a:gd name="connsiteX32" fmla="*/ 58889 w 278229"/>
              <a:gd name="connsiteY32" fmla="*/ 341296 h 345049"/>
              <a:gd name="connsiteX33" fmla="*/ 58889 w 278229"/>
              <a:gd name="connsiteY33" fmla="*/ 336260 h 345049"/>
              <a:gd name="connsiteX34" fmla="*/ 53369 w 278229"/>
              <a:gd name="connsiteY34" fmla="*/ 323007 h 345049"/>
              <a:gd name="connsiteX35" fmla="*/ 51347 w 278229"/>
              <a:gd name="connsiteY35" fmla="*/ 320997 h 345049"/>
              <a:gd name="connsiteX36" fmla="*/ 51347 w 278229"/>
              <a:gd name="connsiteY36" fmla="*/ 256280 h 345049"/>
              <a:gd name="connsiteX37" fmla="*/ 119357 w 278229"/>
              <a:gd name="connsiteY37" fmla="*/ 248780 h 345049"/>
              <a:gd name="connsiteX38" fmla="*/ 119357 w 278229"/>
              <a:gd name="connsiteY38" fmla="*/ 333796 h 345049"/>
              <a:gd name="connsiteX39" fmla="*/ 120464 w 278229"/>
              <a:gd name="connsiteY39" fmla="*/ 336451 h 345049"/>
              <a:gd name="connsiteX40" fmla="*/ 128021 w 278229"/>
              <a:gd name="connsiteY40" fmla="*/ 343951 h 345049"/>
              <a:gd name="connsiteX41" fmla="*/ 130689 w 278229"/>
              <a:gd name="connsiteY41" fmla="*/ 345046 h 345049"/>
              <a:gd name="connsiteX42" fmla="*/ 149580 w 278229"/>
              <a:gd name="connsiteY42" fmla="*/ 345046 h 345049"/>
              <a:gd name="connsiteX43" fmla="*/ 153359 w 278229"/>
              <a:gd name="connsiteY43" fmla="*/ 341296 h 345049"/>
              <a:gd name="connsiteX44" fmla="*/ 153359 w 278229"/>
              <a:gd name="connsiteY44" fmla="*/ 336260 h 345049"/>
              <a:gd name="connsiteX45" fmla="*/ 147827 w 278229"/>
              <a:gd name="connsiteY45" fmla="*/ 323007 h 345049"/>
              <a:gd name="connsiteX46" fmla="*/ 145806 w 278229"/>
              <a:gd name="connsiteY46" fmla="*/ 320997 h 345049"/>
              <a:gd name="connsiteX47" fmla="*/ 145806 w 278229"/>
              <a:gd name="connsiteY47" fmla="*/ 245847 h 345049"/>
              <a:gd name="connsiteX48" fmla="*/ 154496 w 278229"/>
              <a:gd name="connsiteY48" fmla="*/ 244883 h 345049"/>
              <a:gd name="connsiteX49" fmla="*/ 157141 w 278229"/>
              <a:gd name="connsiteY49" fmla="*/ 244448 h 345049"/>
              <a:gd name="connsiteX50" fmla="*/ 157141 w 278229"/>
              <a:gd name="connsiteY50" fmla="*/ 322553 h 345049"/>
              <a:gd name="connsiteX51" fmla="*/ 158244 w 278229"/>
              <a:gd name="connsiteY51" fmla="*/ 325201 h 345049"/>
              <a:gd name="connsiteX52" fmla="*/ 161376 w 278229"/>
              <a:gd name="connsiteY52" fmla="*/ 328313 h 345049"/>
              <a:gd name="connsiteX53" fmla="*/ 164686 w 278229"/>
              <a:gd name="connsiteY53" fmla="*/ 336256 h 345049"/>
              <a:gd name="connsiteX54" fmla="*/ 164686 w 278229"/>
              <a:gd name="connsiteY54" fmla="*/ 337550 h 345049"/>
              <a:gd name="connsiteX55" fmla="*/ 161123 w 278229"/>
              <a:gd name="connsiteY55" fmla="*/ 337550 h 345049"/>
              <a:gd name="connsiteX56" fmla="*/ 157137 w 278229"/>
              <a:gd name="connsiteY56" fmla="*/ 341097 h 345049"/>
              <a:gd name="connsiteX57" fmla="*/ 160706 w 278229"/>
              <a:gd name="connsiteY57" fmla="*/ 345044 h 345049"/>
              <a:gd name="connsiteX58" fmla="*/ 160915 w 278229"/>
              <a:gd name="connsiteY58" fmla="*/ 345050 h 345049"/>
              <a:gd name="connsiteX59" fmla="*/ 168472 w 278229"/>
              <a:gd name="connsiteY59" fmla="*/ 345050 h 345049"/>
              <a:gd name="connsiteX60" fmla="*/ 172250 w 278229"/>
              <a:gd name="connsiteY60" fmla="*/ 341300 h 345049"/>
              <a:gd name="connsiteX61" fmla="*/ 172250 w 278229"/>
              <a:gd name="connsiteY61" fmla="*/ 336256 h 345049"/>
              <a:gd name="connsiteX62" fmla="*/ 166719 w 278229"/>
              <a:gd name="connsiteY62" fmla="*/ 323007 h 345049"/>
              <a:gd name="connsiteX63" fmla="*/ 164697 w 278229"/>
              <a:gd name="connsiteY63" fmla="*/ 321001 h 345049"/>
              <a:gd name="connsiteX64" fmla="*/ 164697 w 278229"/>
              <a:gd name="connsiteY64" fmla="*/ 241565 h 345049"/>
              <a:gd name="connsiteX65" fmla="*/ 173471 w 278229"/>
              <a:gd name="connsiteY65" fmla="*/ 233525 h 345049"/>
              <a:gd name="connsiteX66" fmla="*/ 181077 w 278229"/>
              <a:gd name="connsiteY66" fmla="*/ 222342 h 345049"/>
              <a:gd name="connsiteX67" fmla="*/ 187145 w 278229"/>
              <a:gd name="connsiteY67" fmla="*/ 205715 h 345049"/>
              <a:gd name="connsiteX68" fmla="*/ 187145 w 278229"/>
              <a:gd name="connsiteY68" fmla="*/ 188686 h 345049"/>
              <a:gd name="connsiteX69" fmla="*/ 189060 w 278229"/>
              <a:gd name="connsiteY69" fmla="*/ 176716 h 345049"/>
              <a:gd name="connsiteX70" fmla="*/ 232258 w 278229"/>
              <a:gd name="connsiteY70" fmla="*/ 59127 h 345049"/>
              <a:gd name="connsiteX71" fmla="*/ 235114 w 278229"/>
              <a:gd name="connsiteY71" fmla="*/ 58261 h 345049"/>
              <a:gd name="connsiteX72" fmla="*/ 239811 w 278229"/>
              <a:gd name="connsiteY72" fmla="*/ 60511 h 345049"/>
              <a:gd name="connsiteX73" fmla="*/ 247198 w 278229"/>
              <a:gd name="connsiteY73" fmla="*/ 62191 h 345049"/>
              <a:gd name="connsiteX74" fmla="*/ 255397 w 278229"/>
              <a:gd name="connsiteY74" fmla="*/ 62191 h 345049"/>
              <a:gd name="connsiteX75" fmla="*/ 256152 w 278229"/>
              <a:gd name="connsiteY75" fmla="*/ 62468 h 345049"/>
              <a:gd name="connsiteX76" fmla="*/ 259810 w 278229"/>
              <a:gd name="connsiteY76" fmla="*/ 65468 h 345049"/>
              <a:gd name="connsiteX77" fmla="*/ 267574 w 278229"/>
              <a:gd name="connsiteY77" fmla="*/ 67403 h 345049"/>
              <a:gd name="connsiteX78" fmla="*/ 270597 w 278229"/>
              <a:gd name="connsiteY78" fmla="*/ 66777 h 345049"/>
              <a:gd name="connsiteX79" fmla="*/ 278229 w 278229"/>
              <a:gd name="connsiteY79" fmla="*/ 64692 h 345049"/>
              <a:gd name="connsiteX80" fmla="*/ 277802 w 278229"/>
              <a:gd name="connsiteY80" fmla="*/ 58268 h 345049"/>
              <a:gd name="connsiteX81" fmla="*/ 273824 w 278229"/>
              <a:gd name="connsiteY81" fmla="*/ 49643 h 345049"/>
              <a:gd name="connsiteX82" fmla="*/ 264646 w 278229"/>
              <a:gd name="connsiteY82" fmla="*/ 40550 h 345049"/>
              <a:gd name="connsiteX83" fmla="*/ 262882 w 278229"/>
              <a:gd name="connsiteY83" fmla="*/ 37598 h 345049"/>
              <a:gd name="connsiteX84" fmla="*/ 260947 w 278229"/>
              <a:gd name="connsiteY84" fmla="*/ 31040 h 345049"/>
              <a:gd name="connsiteX85" fmla="*/ 251815 w 278229"/>
              <a:gd name="connsiteY85" fmla="*/ 20315 h 345049"/>
              <a:gd name="connsiteX86" fmla="*/ 242992 w 278229"/>
              <a:gd name="connsiteY86" fmla="*/ 17315 h 345049"/>
              <a:gd name="connsiteX87" fmla="*/ 244432 w 278229"/>
              <a:gd name="connsiteY87" fmla="*/ 10527 h 345049"/>
              <a:gd name="connsiteX88" fmla="*/ 246517 w 278229"/>
              <a:gd name="connsiteY88" fmla="*/ 2846 h 345049"/>
              <a:gd name="connsiteX89" fmla="*/ 238778 w 278229"/>
              <a:gd name="connsiteY89" fmla="*/ 776 h 345049"/>
              <a:gd name="connsiteX90" fmla="*/ 236693 w 278229"/>
              <a:gd name="connsiteY90" fmla="*/ 8457 h 345049"/>
              <a:gd name="connsiteX91" fmla="*/ 237038 w 278229"/>
              <a:gd name="connsiteY91" fmla="*/ 8982 h 345049"/>
              <a:gd name="connsiteX92" fmla="*/ 235753 w 278229"/>
              <a:gd name="connsiteY92" fmla="*/ 15027 h 345049"/>
              <a:gd name="connsiteX93" fmla="*/ 233988 w 278229"/>
              <a:gd name="connsiteY93" fmla="*/ 14832 h 345049"/>
              <a:gd name="connsiteX94" fmla="*/ 232813 w 278229"/>
              <a:gd name="connsiteY94" fmla="*/ 9001 h 345049"/>
              <a:gd name="connsiteX95" fmla="*/ 231681 w 278229"/>
              <a:gd name="connsiteY95" fmla="*/ 1126 h 345049"/>
              <a:gd name="connsiteX96" fmla="*/ 223746 w 278229"/>
              <a:gd name="connsiteY96" fmla="*/ 2250 h 345049"/>
              <a:gd name="connsiteX97" fmla="*/ 224879 w 278229"/>
              <a:gd name="connsiteY97" fmla="*/ 10125 h 345049"/>
              <a:gd name="connsiteX98" fmla="*/ 225408 w 278229"/>
              <a:gd name="connsiteY98" fmla="*/ 10475 h 345049"/>
              <a:gd name="connsiteX99" fmla="*/ 226345 w 278229"/>
              <a:gd name="connsiteY99" fmla="*/ 15136 h 345049"/>
              <a:gd name="connsiteX100" fmla="*/ 221954 w 278229"/>
              <a:gd name="connsiteY100" fmla="*/ 16958 h 345049"/>
              <a:gd name="connsiteX101" fmla="*/ 220443 w 278229"/>
              <a:gd name="connsiteY101" fmla="*/ 17960 h 345049"/>
              <a:gd name="connsiteX102" fmla="*/ 208575 w 278229"/>
              <a:gd name="connsiteY102" fmla="*/ 15290 h 345049"/>
              <a:gd name="connsiteX103" fmla="*/ 200361 w 278229"/>
              <a:gd name="connsiteY103" fmla="*/ 20427 h 345049"/>
              <a:gd name="connsiteX104" fmla="*/ 201918 w 278229"/>
              <a:gd name="connsiteY104" fmla="*/ 26453 h 345049"/>
              <a:gd name="connsiteX105" fmla="*/ 207234 w 278229"/>
              <a:gd name="connsiteY105" fmla="*/ 32022 h 345049"/>
              <a:gd name="connsiteX106" fmla="*/ 126559 w 278229"/>
              <a:gd name="connsiteY106" fmla="*/ 156642 h 345049"/>
              <a:gd name="connsiteX107" fmla="*/ 120170 w 278229"/>
              <a:gd name="connsiteY107" fmla="*/ 160831 h 345049"/>
              <a:gd name="connsiteX108" fmla="*/ 49027 w 278229"/>
              <a:gd name="connsiteY108" fmla="*/ 179480 h 345049"/>
              <a:gd name="connsiteX109" fmla="*/ 7669 w 278229"/>
              <a:gd name="connsiteY109" fmla="*/ 226223 h 345049"/>
              <a:gd name="connsiteX110" fmla="*/ 7669 w 278229"/>
              <a:gd name="connsiteY110" fmla="*/ 268193 h 345049"/>
              <a:gd name="connsiteX111" fmla="*/ 1851 w 278229"/>
              <a:gd name="connsiteY111" fmla="*/ 278168 h 345049"/>
              <a:gd name="connsiteX112" fmla="*/ 530 w 278229"/>
              <a:gd name="connsiteY112" fmla="*/ 283307 h 345049"/>
              <a:gd name="connsiteX113" fmla="*/ 3782 w 278229"/>
              <a:gd name="connsiteY113" fmla="*/ 285143 h 345049"/>
              <a:gd name="connsiteX114" fmla="*/ 5671 w 278229"/>
              <a:gd name="connsiteY114" fmla="*/ 284637 h 345049"/>
              <a:gd name="connsiteX115" fmla="*/ 15226 w 278229"/>
              <a:gd name="connsiteY115" fmla="*/ 268193 h 345049"/>
              <a:gd name="connsiteX116" fmla="*/ 15226 w 278229"/>
              <a:gd name="connsiteY116" fmla="*/ 226223 h 345049"/>
              <a:gd name="connsiteX117" fmla="*/ 50867 w 278229"/>
              <a:gd name="connsiteY117" fmla="*/ 186751 h 345049"/>
              <a:gd name="connsiteX118" fmla="*/ 121847 w 278229"/>
              <a:gd name="connsiteY118" fmla="*/ 168140 h 345049"/>
              <a:gd name="connsiteX119" fmla="*/ 132922 w 278229"/>
              <a:gd name="connsiteY119" fmla="*/ 160696 h 345049"/>
              <a:gd name="connsiteX120" fmla="*/ 216801 w 278229"/>
              <a:gd name="connsiteY120" fmla="*/ 31126 h 345049"/>
              <a:gd name="connsiteX121" fmla="*/ 209146 w 278229"/>
              <a:gd name="connsiteY121" fmla="*/ 23131 h 345049"/>
              <a:gd name="connsiteX122" fmla="*/ 209146 w 278229"/>
              <a:gd name="connsiteY122" fmla="*/ 23131 h 345049"/>
              <a:gd name="connsiteX123" fmla="*/ 221924 w 278229"/>
              <a:gd name="connsiteY123" fmla="*/ 26000 h 345049"/>
              <a:gd name="connsiteX124" fmla="*/ 226133 w 278229"/>
              <a:gd name="connsiteY124" fmla="*/ 23217 h 345049"/>
              <a:gd name="connsiteX125" fmla="*/ 229156 w 278229"/>
              <a:gd name="connsiteY125" fmla="*/ 22313 h 345049"/>
              <a:gd name="connsiteX126" fmla="*/ 233690 w 278229"/>
              <a:gd name="connsiteY126" fmla="*/ 22313 h 345049"/>
              <a:gd name="connsiteX127" fmla="*/ 236082 w 278229"/>
              <a:gd name="connsiteY127" fmla="*/ 22865 h 345049"/>
              <a:gd name="connsiteX128" fmla="*/ 248664 w 278229"/>
              <a:gd name="connsiteY128" fmla="*/ 27155 h 345049"/>
              <a:gd name="connsiteX129" fmla="*/ 253651 w 278229"/>
              <a:gd name="connsiteY129" fmla="*/ 33173 h 345049"/>
              <a:gd name="connsiteX130" fmla="*/ 255586 w 278229"/>
              <a:gd name="connsiteY130" fmla="*/ 39725 h 345049"/>
              <a:gd name="connsiteX131" fmla="*/ 259269 w 278229"/>
              <a:gd name="connsiteY131" fmla="*/ 45882 h 345049"/>
              <a:gd name="connsiteX132" fmla="*/ 268455 w 278229"/>
              <a:gd name="connsiteY132" fmla="*/ 54983 h 345049"/>
              <a:gd name="connsiteX133" fmla="*/ 270227 w 278229"/>
              <a:gd name="connsiteY133" fmla="*/ 58827 h 345049"/>
              <a:gd name="connsiteX134" fmla="*/ 270249 w 278229"/>
              <a:gd name="connsiteY134" fmla="*/ 59127 h 345049"/>
              <a:gd name="connsiteX135" fmla="*/ 266040 w 278229"/>
              <a:gd name="connsiteY135" fmla="*/ 60087 h 345049"/>
              <a:gd name="connsiteX136" fmla="*/ 264635 w 278229"/>
              <a:gd name="connsiteY136" fmla="*/ 59735 h 345049"/>
              <a:gd name="connsiteX137" fmla="*/ 260977 w 278229"/>
              <a:gd name="connsiteY137" fmla="*/ 56735 h 345049"/>
              <a:gd name="connsiteX138" fmla="*/ 255370 w 278229"/>
              <a:gd name="connsiteY138" fmla="*/ 54721 h 345049"/>
              <a:gd name="connsiteX139" fmla="*/ 247198 w 278229"/>
              <a:gd name="connsiteY139" fmla="*/ 54721 h 345049"/>
              <a:gd name="connsiteX140" fmla="*/ 243113 w 278229"/>
              <a:gd name="connsiteY140" fmla="*/ 53795 h 345049"/>
              <a:gd name="connsiteX141" fmla="*/ 238413 w 278229"/>
              <a:gd name="connsiteY141" fmla="*/ 51545 h 345049"/>
              <a:gd name="connsiteX142" fmla="*/ 225412 w 278229"/>
              <a:gd name="connsiteY142" fmla="*/ 55996 h 345049"/>
              <a:gd name="connsiteX143" fmla="*/ 181923 w 278229"/>
              <a:gd name="connsiteY143" fmla="*/ 174252 h 345049"/>
              <a:gd name="connsiteX144" fmla="*/ 179584 w 278229"/>
              <a:gd name="connsiteY144" fmla="*/ 188686 h 345049"/>
              <a:gd name="connsiteX145" fmla="*/ 179584 w 278229"/>
              <a:gd name="connsiteY145" fmla="*/ 205715 h 345049"/>
              <a:gd name="connsiteX146" fmla="*/ 175050 w 278229"/>
              <a:gd name="connsiteY146" fmla="*/ 217838 h 345049"/>
              <a:gd name="connsiteX147" fmla="*/ 167218 w 278229"/>
              <a:gd name="connsiteY147" fmla="*/ 229317 h 345049"/>
              <a:gd name="connsiteX148" fmla="*/ 159472 w 278229"/>
              <a:gd name="connsiteY148" fmla="*/ 235831 h 345049"/>
              <a:gd name="connsiteX149" fmla="*/ 159438 w 278229"/>
              <a:gd name="connsiteY149" fmla="*/ 235831 h 345049"/>
              <a:gd name="connsiteX150" fmla="*/ 153668 w 278229"/>
              <a:gd name="connsiteY150" fmla="*/ 237417 h 34504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</a:cxnLst>
            <a:rect l="l" t="t" r="r" b="b"/>
            <a:pathLst>
              <a:path w="278229" h="345049">
                <a:moveTo>
                  <a:pt x="141604" y="238763"/>
                </a:moveTo>
                <a:cubicBezTo>
                  <a:pt x="139735" y="239042"/>
                  <a:pt x="138325" y="240594"/>
                  <a:pt x="138238" y="242468"/>
                </a:cubicBezTo>
                <a:lnTo>
                  <a:pt x="138238" y="322546"/>
                </a:lnTo>
                <a:cubicBezTo>
                  <a:pt x="138237" y="323542"/>
                  <a:pt x="138635" y="324497"/>
                  <a:pt x="139345" y="325201"/>
                </a:cubicBezTo>
                <a:lnTo>
                  <a:pt x="142469" y="328310"/>
                </a:lnTo>
                <a:cubicBezTo>
                  <a:pt x="144594" y="330419"/>
                  <a:pt x="145787" y="333281"/>
                  <a:pt x="145787" y="336263"/>
                </a:cubicBezTo>
                <a:lnTo>
                  <a:pt x="145787" y="337550"/>
                </a:lnTo>
                <a:lnTo>
                  <a:pt x="132238" y="337550"/>
                </a:lnTo>
                <a:lnTo>
                  <a:pt x="126903" y="332247"/>
                </a:lnTo>
                <a:lnTo>
                  <a:pt x="126903" y="244576"/>
                </a:lnTo>
                <a:cubicBezTo>
                  <a:pt x="126903" y="242505"/>
                  <a:pt x="125211" y="240826"/>
                  <a:pt x="123124" y="240826"/>
                </a:cubicBezTo>
                <a:lnTo>
                  <a:pt x="122709" y="240852"/>
                </a:lnTo>
                <a:lnTo>
                  <a:pt x="47142" y="249200"/>
                </a:lnTo>
                <a:cubicBezTo>
                  <a:pt x="45229" y="249410"/>
                  <a:pt x="43781" y="251013"/>
                  <a:pt x="43779" y="252923"/>
                </a:cubicBezTo>
                <a:lnTo>
                  <a:pt x="43779" y="322546"/>
                </a:lnTo>
                <a:cubicBezTo>
                  <a:pt x="43778" y="323542"/>
                  <a:pt x="44177" y="324497"/>
                  <a:pt x="44886" y="325201"/>
                </a:cubicBezTo>
                <a:lnTo>
                  <a:pt x="48011" y="328310"/>
                </a:lnTo>
                <a:cubicBezTo>
                  <a:pt x="50135" y="330419"/>
                  <a:pt x="51329" y="333281"/>
                  <a:pt x="51328" y="336263"/>
                </a:cubicBezTo>
                <a:lnTo>
                  <a:pt x="51328" y="337550"/>
                </a:lnTo>
                <a:lnTo>
                  <a:pt x="37779" y="337550"/>
                </a:lnTo>
                <a:lnTo>
                  <a:pt x="32444" y="332247"/>
                </a:lnTo>
                <a:lnTo>
                  <a:pt x="32444" y="235602"/>
                </a:lnTo>
                <a:cubicBezTo>
                  <a:pt x="32444" y="219968"/>
                  <a:pt x="35542" y="213230"/>
                  <a:pt x="35554" y="213196"/>
                </a:cubicBezTo>
                <a:cubicBezTo>
                  <a:pt x="36542" y="211372"/>
                  <a:pt x="35853" y="209098"/>
                  <a:pt x="34015" y="208117"/>
                </a:cubicBezTo>
                <a:cubicBezTo>
                  <a:pt x="32177" y="207137"/>
                  <a:pt x="29886" y="207821"/>
                  <a:pt x="28898" y="209645"/>
                </a:cubicBezTo>
                <a:cubicBezTo>
                  <a:pt x="28854" y="209726"/>
                  <a:pt x="28813" y="209808"/>
                  <a:pt x="28775" y="209892"/>
                </a:cubicBezTo>
                <a:cubicBezTo>
                  <a:pt x="28617" y="210211"/>
                  <a:pt x="24887" y="217955"/>
                  <a:pt x="24887" y="235602"/>
                </a:cubicBezTo>
                <a:lnTo>
                  <a:pt x="24887" y="333796"/>
                </a:lnTo>
                <a:cubicBezTo>
                  <a:pt x="24887" y="334792"/>
                  <a:pt x="25285" y="335747"/>
                  <a:pt x="25994" y="336451"/>
                </a:cubicBezTo>
                <a:lnTo>
                  <a:pt x="33551" y="343951"/>
                </a:lnTo>
                <a:cubicBezTo>
                  <a:pt x="34259" y="344652"/>
                  <a:pt x="35219" y="345046"/>
                  <a:pt x="36219" y="345046"/>
                </a:cubicBezTo>
                <a:lnTo>
                  <a:pt x="55110" y="345046"/>
                </a:lnTo>
                <a:cubicBezTo>
                  <a:pt x="57197" y="345046"/>
                  <a:pt x="58889" y="343367"/>
                  <a:pt x="58889" y="341296"/>
                </a:cubicBezTo>
                <a:lnTo>
                  <a:pt x="58889" y="336260"/>
                </a:lnTo>
                <a:cubicBezTo>
                  <a:pt x="58891" y="331291"/>
                  <a:pt x="56905" y="326524"/>
                  <a:pt x="53369" y="323007"/>
                </a:cubicBezTo>
                <a:lnTo>
                  <a:pt x="51347" y="320997"/>
                </a:lnTo>
                <a:lnTo>
                  <a:pt x="51347" y="256280"/>
                </a:lnTo>
                <a:lnTo>
                  <a:pt x="119357" y="248780"/>
                </a:lnTo>
                <a:lnTo>
                  <a:pt x="119357" y="333796"/>
                </a:lnTo>
                <a:cubicBezTo>
                  <a:pt x="119357" y="334792"/>
                  <a:pt x="119755" y="335747"/>
                  <a:pt x="120464" y="336451"/>
                </a:cubicBezTo>
                <a:lnTo>
                  <a:pt x="128021" y="343951"/>
                </a:lnTo>
                <a:cubicBezTo>
                  <a:pt x="128729" y="344652"/>
                  <a:pt x="129688" y="345046"/>
                  <a:pt x="130689" y="345046"/>
                </a:cubicBezTo>
                <a:lnTo>
                  <a:pt x="149580" y="345046"/>
                </a:lnTo>
                <a:cubicBezTo>
                  <a:pt x="151667" y="345046"/>
                  <a:pt x="153359" y="343367"/>
                  <a:pt x="153359" y="341296"/>
                </a:cubicBezTo>
                <a:lnTo>
                  <a:pt x="153359" y="336260"/>
                </a:lnTo>
                <a:cubicBezTo>
                  <a:pt x="153358" y="331289"/>
                  <a:pt x="151368" y="326522"/>
                  <a:pt x="147827" y="323007"/>
                </a:cubicBezTo>
                <a:lnTo>
                  <a:pt x="145806" y="320997"/>
                </a:lnTo>
                <a:lnTo>
                  <a:pt x="145806" y="245847"/>
                </a:lnTo>
                <a:lnTo>
                  <a:pt x="154496" y="244883"/>
                </a:lnTo>
                <a:cubicBezTo>
                  <a:pt x="155385" y="244784"/>
                  <a:pt x="156267" y="244639"/>
                  <a:pt x="157141" y="244448"/>
                </a:cubicBezTo>
                <a:lnTo>
                  <a:pt x="157141" y="322553"/>
                </a:lnTo>
                <a:cubicBezTo>
                  <a:pt x="157141" y="323546"/>
                  <a:pt x="157538" y="324498"/>
                  <a:pt x="158244" y="325201"/>
                </a:cubicBezTo>
                <a:lnTo>
                  <a:pt x="161376" y="328313"/>
                </a:lnTo>
                <a:cubicBezTo>
                  <a:pt x="163495" y="330422"/>
                  <a:pt x="164685" y="333278"/>
                  <a:pt x="164686" y="336256"/>
                </a:cubicBezTo>
                <a:lnTo>
                  <a:pt x="164686" y="337550"/>
                </a:lnTo>
                <a:lnTo>
                  <a:pt x="161123" y="337550"/>
                </a:lnTo>
                <a:cubicBezTo>
                  <a:pt x="159061" y="337508"/>
                  <a:pt x="157319" y="339058"/>
                  <a:pt x="157137" y="341097"/>
                </a:cubicBezTo>
                <a:cubicBezTo>
                  <a:pt x="157024" y="343165"/>
                  <a:pt x="158622" y="344932"/>
                  <a:pt x="160706" y="345044"/>
                </a:cubicBezTo>
                <a:cubicBezTo>
                  <a:pt x="160776" y="345048"/>
                  <a:pt x="160845" y="345050"/>
                  <a:pt x="160915" y="345050"/>
                </a:cubicBezTo>
                <a:lnTo>
                  <a:pt x="168472" y="345050"/>
                </a:lnTo>
                <a:cubicBezTo>
                  <a:pt x="170559" y="345050"/>
                  <a:pt x="172250" y="343371"/>
                  <a:pt x="172250" y="341300"/>
                </a:cubicBezTo>
                <a:lnTo>
                  <a:pt x="172250" y="336256"/>
                </a:lnTo>
                <a:cubicBezTo>
                  <a:pt x="172248" y="331287"/>
                  <a:pt x="170259" y="326521"/>
                  <a:pt x="166719" y="323007"/>
                </a:cubicBezTo>
                <a:lnTo>
                  <a:pt x="164697" y="321001"/>
                </a:lnTo>
                <a:lnTo>
                  <a:pt x="164697" y="241565"/>
                </a:lnTo>
                <a:cubicBezTo>
                  <a:pt x="168201" y="239584"/>
                  <a:pt x="171202" y="236833"/>
                  <a:pt x="173471" y="233525"/>
                </a:cubicBezTo>
                <a:lnTo>
                  <a:pt x="181077" y="222342"/>
                </a:lnTo>
                <a:cubicBezTo>
                  <a:pt x="184992" y="217672"/>
                  <a:pt x="187139" y="211790"/>
                  <a:pt x="187145" y="205715"/>
                </a:cubicBezTo>
                <a:lnTo>
                  <a:pt x="187145" y="188686"/>
                </a:lnTo>
                <a:cubicBezTo>
                  <a:pt x="187138" y="184620"/>
                  <a:pt x="187785" y="180580"/>
                  <a:pt x="189060" y="176716"/>
                </a:cubicBezTo>
                <a:lnTo>
                  <a:pt x="232258" y="59127"/>
                </a:lnTo>
                <a:cubicBezTo>
                  <a:pt x="232835" y="58141"/>
                  <a:pt x="234081" y="57763"/>
                  <a:pt x="235114" y="58261"/>
                </a:cubicBezTo>
                <a:lnTo>
                  <a:pt x="239811" y="60511"/>
                </a:lnTo>
                <a:cubicBezTo>
                  <a:pt x="242115" y="61615"/>
                  <a:pt x="244639" y="62189"/>
                  <a:pt x="247198" y="62191"/>
                </a:cubicBezTo>
                <a:lnTo>
                  <a:pt x="255397" y="62191"/>
                </a:lnTo>
                <a:cubicBezTo>
                  <a:pt x="255673" y="62194"/>
                  <a:pt x="255940" y="62292"/>
                  <a:pt x="256152" y="62468"/>
                </a:cubicBezTo>
                <a:lnTo>
                  <a:pt x="259810" y="65468"/>
                </a:lnTo>
                <a:cubicBezTo>
                  <a:pt x="261962" y="67261"/>
                  <a:pt x="264824" y="67975"/>
                  <a:pt x="267574" y="67403"/>
                </a:cubicBezTo>
                <a:lnTo>
                  <a:pt x="270597" y="66777"/>
                </a:lnTo>
                <a:lnTo>
                  <a:pt x="278229" y="64692"/>
                </a:lnTo>
                <a:lnTo>
                  <a:pt x="277802" y="58268"/>
                </a:lnTo>
                <a:cubicBezTo>
                  <a:pt x="277563" y="55012"/>
                  <a:pt x="276151" y="51951"/>
                  <a:pt x="273824" y="49643"/>
                </a:cubicBezTo>
                <a:lnTo>
                  <a:pt x="264646" y="40550"/>
                </a:lnTo>
                <a:cubicBezTo>
                  <a:pt x="263818" y="39728"/>
                  <a:pt x="263211" y="38713"/>
                  <a:pt x="262882" y="37598"/>
                </a:cubicBezTo>
                <a:lnTo>
                  <a:pt x="260947" y="31040"/>
                </a:lnTo>
                <a:cubicBezTo>
                  <a:pt x="259549" y="26354"/>
                  <a:pt x="256237" y="22464"/>
                  <a:pt x="251815" y="20315"/>
                </a:cubicBezTo>
                <a:lnTo>
                  <a:pt x="242992" y="17315"/>
                </a:lnTo>
                <a:lnTo>
                  <a:pt x="244432" y="10527"/>
                </a:lnTo>
                <a:cubicBezTo>
                  <a:pt x="247145" y="8978"/>
                  <a:pt x="248078" y="5539"/>
                  <a:pt x="246517" y="2846"/>
                </a:cubicBezTo>
                <a:cubicBezTo>
                  <a:pt x="244956" y="154"/>
                  <a:pt x="241491" y="-773"/>
                  <a:pt x="238778" y="776"/>
                </a:cubicBezTo>
                <a:cubicBezTo>
                  <a:pt x="236065" y="2326"/>
                  <a:pt x="235131" y="5765"/>
                  <a:pt x="236693" y="8457"/>
                </a:cubicBezTo>
                <a:cubicBezTo>
                  <a:pt x="236798" y="8639"/>
                  <a:pt x="236913" y="8814"/>
                  <a:pt x="237038" y="8982"/>
                </a:cubicBezTo>
                <a:lnTo>
                  <a:pt x="235753" y="15027"/>
                </a:lnTo>
                <a:cubicBezTo>
                  <a:pt x="235170" y="14923"/>
                  <a:pt x="234581" y="14858"/>
                  <a:pt x="233988" y="14832"/>
                </a:cubicBezTo>
                <a:lnTo>
                  <a:pt x="232813" y="9001"/>
                </a:lnTo>
                <a:cubicBezTo>
                  <a:pt x="234692" y="6516"/>
                  <a:pt x="234185" y="2990"/>
                  <a:pt x="231681" y="1126"/>
                </a:cubicBezTo>
                <a:cubicBezTo>
                  <a:pt x="229177" y="-739"/>
                  <a:pt x="225625" y="-235"/>
                  <a:pt x="223746" y="2250"/>
                </a:cubicBezTo>
                <a:cubicBezTo>
                  <a:pt x="221868" y="4735"/>
                  <a:pt x="222375" y="8261"/>
                  <a:pt x="224879" y="10125"/>
                </a:cubicBezTo>
                <a:cubicBezTo>
                  <a:pt x="225049" y="10251"/>
                  <a:pt x="225225" y="10368"/>
                  <a:pt x="225408" y="10475"/>
                </a:cubicBezTo>
                <a:lnTo>
                  <a:pt x="226345" y="15136"/>
                </a:lnTo>
                <a:cubicBezTo>
                  <a:pt x="224781" y="15469"/>
                  <a:pt x="223292" y="16087"/>
                  <a:pt x="221954" y="16958"/>
                </a:cubicBezTo>
                <a:lnTo>
                  <a:pt x="220443" y="17960"/>
                </a:lnTo>
                <a:lnTo>
                  <a:pt x="208575" y="15290"/>
                </a:lnTo>
                <a:cubicBezTo>
                  <a:pt x="204878" y="14457"/>
                  <a:pt x="201200" y="16757"/>
                  <a:pt x="200361" y="20427"/>
                </a:cubicBezTo>
                <a:cubicBezTo>
                  <a:pt x="199872" y="22567"/>
                  <a:pt x="200451" y="24811"/>
                  <a:pt x="201918" y="26453"/>
                </a:cubicBezTo>
                <a:lnTo>
                  <a:pt x="207234" y="32022"/>
                </a:lnTo>
                <a:lnTo>
                  <a:pt x="126559" y="156642"/>
                </a:lnTo>
                <a:cubicBezTo>
                  <a:pt x="125101" y="158852"/>
                  <a:pt x="122790" y="160368"/>
                  <a:pt x="120170" y="160831"/>
                </a:cubicBezTo>
                <a:lnTo>
                  <a:pt x="49027" y="179480"/>
                </a:lnTo>
                <a:cubicBezTo>
                  <a:pt x="24275" y="185352"/>
                  <a:pt x="7669" y="204140"/>
                  <a:pt x="7669" y="226223"/>
                </a:cubicBezTo>
                <a:lnTo>
                  <a:pt x="7669" y="268193"/>
                </a:lnTo>
                <a:cubicBezTo>
                  <a:pt x="7644" y="272306"/>
                  <a:pt x="5432" y="276099"/>
                  <a:pt x="1851" y="278168"/>
                </a:cubicBezTo>
                <a:cubicBezTo>
                  <a:pt x="56" y="279225"/>
                  <a:pt x="-535" y="281526"/>
                  <a:pt x="530" y="283307"/>
                </a:cubicBezTo>
                <a:cubicBezTo>
                  <a:pt x="1211" y="284446"/>
                  <a:pt x="2447" y="285145"/>
                  <a:pt x="3782" y="285143"/>
                </a:cubicBezTo>
                <a:cubicBezTo>
                  <a:pt x="4445" y="285145"/>
                  <a:pt x="5098" y="284970"/>
                  <a:pt x="5671" y="284637"/>
                </a:cubicBezTo>
                <a:cubicBezTo>
                  <a:pt x="11576" y="281233"/>
                  <a:pt x="15214" y="274971"/>
                  <a:pt x="15226" y="268193"/>
                </a:cubicBezTo>
                <a:lnTo>
                  <a:pt x="15226" y="226223"/>
                </a:lnTo>
                <a:cubicBezTo>
                  <a:pt x="15226" y="207387"/>
                  <a:pt x="29183" y="191903"/>
                  <a:pt x="50867" y="186751"/>
                </a:cubicBezTo>
                <a:lnTo>
                  <a:pt x="121847" y="168140"/>
                </a:lnTo>
                <a:cubicBezTo>
                  <a:pt x="126405" y="167258"/>
                  <a:pt x="130404" y="164570"/>
                  <a:pt x="132922" y="160696"/>
                </a:cubicBezTo>
                <a:lnTo>
                  <a:pt x="216801" y="31126"/>
                </a:lnTo>
                <a:lnTo>
                  <a:pt x="209146" y="23131"/>
                </a:lnTo>
                <a:cubicBezTo>
                  <a:pt x="209146" y="23131"/>
                  <a:pt x="209146" y="23105"/>
                  <a:pt x="209146" y="23131"/>
                </a:cubicBezTo>
                <a:lnTo>
                  <a:pt x="221924" y="26000"/>
                </a:lnTo>
                <a:lnTo>
                  <a:pt x="226133" y="23217"/>
                </a:lnTo>
                <a:cubicBezTo>
                  <a:pt x="226997" y="22562"/>
                  <a:pt x="228071" y="22241"/>
                  <a:pt x="229156" y="22313"/>
                </a:cubicBezTo>
                <a:lnTo>
                  <a:pt x="233690" y="22313"/>
                </a:lnTo>
                <a:cubicBezTo>
                  <a:pt x="234519" y="22318"/>
                  <a:pt x="235336" y="22506"/>
                  <a:pt x="236082" y="22865"/>
                </a:cubicBezTo>
                <a:lnTo>
                  <a:pt x="248664" y="27155"/>
                </a:lnTo>
                <a:cubicBezTo>
                  <a:pt x="251079" y="28407"/>
                  <a:pt x="252879" y="30579"/>
                  <a:pt x="253651" y="33173"/>
                </a:cubicBezTo>
                <a:lnTo>
                  <a:pt x="255586" y="39725"/>
                </a:lnTo>
                <a:cubicBezTo>
                  <a:pt x="256273" y="42052"/>
                  <a:pt x="257540" y="44169"/>
                  <a:pt x="259269" y="45882"/>
                </a:cubicBezTo>
                <a:lnTo>
                  <a:pt x="268455" y="54983"/>
                </a:lnTo>
                <a:cubicBezTo>
                  <a:pt x="269491" y="56012"/>
                  <a:pt x="270120" y="57376"/>
                  <a:pt x="270227" y="58827"/>
                </a:cubicBezTo>
                <a:lnTo>
                  <a:pt x="270249" y="59127"/>
                </a:lnTo>
                <a:lnTo>
                  <a:pt x="266040" y="60087"/>
                </a:lnTo>
                <a:cubicBezTo>
                  <a:pt x="265542" y="60191"/>
                  <a:pt x="265023" y="60061"/>
                  <a:pt x="264635" y="59735"/>
                </a:cubicBezTo>
                <a:lnTo>
                  <a:pt x="260977" y="56735"/>
                </a:lnTo>
                <a:cubicBezTo>
                  <a:pt x="259402" y="55434"/>
                  <a:pt x="257419" y="54722"/>
                  <a:pt x="255370" y="54721"/>
                </a:cubicBezTo>
                <a:lnTo>
                  <a:pt x="247198" y="54721"/>
                </a:lnTo>
                <a:cubicBezTo>
                  <a:pt x="245783" y="54722"/>
                  <a:pt x="244387" y="54405"/>
                  <a:pt x="243113" y="53795"/>
                </a:cubicBezTo>
                <a:lnTo>
                  <a:pt x="238413" y="51545"/>
                </a:lnTo>
                <a:cubicBezTo>
                  <a:pt x="233583" y="49238"/>
                  <a:pt x="227781" y="51224"/>
                  <a:pt x="225412" y="55996"/>
                </a:cubicBezTo>
                <a:lnTo>
                  <a:pt x="181923" y="174252"/>
                </a:lnTo>
                <a:cubicBezTo>
                  <a:pt x="180371" y="178909"/>
                  <a:pt x="179582" y="183782"/>
                  <a:pt x="179584" y="188686"/>
                </a:cubicBezTo>
                <a:lnTo>
                  <a:pt x="179584" y="205715"/>
                </a:lnTo>
                <a:cubicBezTo>
                  <a:pt x="179558" y="210160"/>
                  <a:pt x="177953" y="214453"/>
                  <a:pt x="175050" y="217838"/>
                </a:cubicBezTo>
                <a:lnTo>
                  <a:pt x="167218" y="229317"/>
                </a:lnTo>
                <a:cubicBezTo>
                  <a:pt x="165284" y="232150"/>
                  <a:pt x="162605" y="234403"/>
                  <a:pt x="159472" y="235831"/>
                </a:cubicBezTo>
                <a:lnTo>
                  <a:pt x="159438" y="235831"/>
                </a:lnTo>
                <a:cubicBezTo>
                  <a:pt x="157612" y="236661"/>
                  <a:pt x="155664" y="237196"/>
                  <a:pt x="153668" y="23741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48" name="Freeform: Shape 347">
            <a:extLst>
              <a:ext uri="{FF2B5EF4-FFF2-40B4-BE49-F238E27FC236}">
                <a16:creationId xmlns:a16="http://schemas.microsoft.com/office/drawing/2014/main" id="{845C1298-01EE-4FCD-8C87-5EABD46F4916}"/>
              </a:ext>
            </a:extLst>
          </xdr:cNvPr>
          <xdr:cNvSpPr/>
        </xdr:nvSpPr>
        <xdr:spPr>
          <a:xfrm>
            <a:off x="12486131" y="7748826"/>
            <a:ext cx="15118" cy="83664"/>
          </a:xfrm>
          <a:custGeom>
            <a:avLst/>
            <a:gdLst>
              <a:gd name="connsiteX0" fmla="*/ 7566 w 15118"/>
              <a:gd name="connsiteY0" fmla="*/ 59612 h 83664"/>
              <a:gd name="connsiteX1" fmla="*/ 7566 w 15118"/>
              <a:gd name="connsiteY1" fmla="*/ 3962 h 83664"/>
              <a:gd name="connsiteX2" fmla="*/ 3988 w 15118"/>
              <a:gd name="connsiteY2" fmla="*/ 5 h 83664"/>
              <a:gd name="connsiteX3" fmla="*/ 15 w 15118"/>
              <a:gd name="connsiteY3" fmla="*/ 3551 h 83664"/>
              <a:gd name="connsiteX4" fmla="*/ 9 w 15118"/>
              <a:gd name="connsiteY4" fmla="*/ 3755 h 83664"/>
              <a:gd name="connsiteX5" fmla="*/ 9 w 15118"/>
              <a:gd name="connsiteY5" fmla="*/ 61168 h 83664"/>
              <a:gd name="connsiteX6" fmla="*/ 1113 w 15118"/>
              <a:gd name="connsiteY6" fmla="*/ 63815 h 83664"/>
              <a:gd name="connsiteX7" fmla="*/ 4237 w 15118"/>
              <a:gd name="connsiteY7" fmla="*/ 66924 h 83664"/>
              <a:gd name="connsiteX8" fmla="*/ 7555 w 15118"/>
              <a:gd name="connsiteY8" fmla="*/ 74882 h 83664"/>
              <a:gd name="connsiteX9" fmla="*/ 7555 w 15118"/>
              <a:gd name="connsiteY9" fmla="*/ 76164 h 83664"/>
              <a:gd name="connsiteX10" fmla="*/ 3992 w 15118"/>
              <a:gd name="connsiteY10" fmla="*/ 76164 h 83664"/>
              <a:gd name="connsiteX11" fmla="*/ 6 w 15118"/>
              <a:gd name="connsiteY11" fmla="*/ 79712 h 83664"/>
              <a:gd name="connsiteX12" fmla="*/ 3574 w 15118"/>
              <a:gd name="connsiteY12" fmla="*/ 83659 h 83664"/>
              <a:gd name="connsiteX13" fmla="*/ 3784 w 15118"/>
              <a:gd name="connsiteY13" fmla="*/ 83664 h 83664"/>
              <a:gd name="connsiteX14" fmla="*/ 11341 w 15118"/>
              <a:gd name="connsiteY14" fmla="*/ 83664 h 83664"/>
              <a:gd name="connsiteX15" fmla="*/ 15119 w 15118"/>
              <a:gd name="connsiteY15" fmla="*/ 79914 h 83664"/>
              <a:gd name="connsiteX16" fmla="*/ 15119 w 15118"/>
              <a:gd name="connsiteY16" fmla="*/ 74867 h 83664"/>
              <a:gd name="connsiteX17" fmla="*/ 9595 w 15118"/>
              <a:gd name="connsiteY17" fmla="*/ 61618 h 8366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5118" h="83664">
                <a:moveTo>
                  <a:pt x="7566" y="59612"/>
                </a:moveTo>
                <a:lnTo>
                  <a:pt x="7566" y="3962"/>
                </a:lnTo>
                <a:cubicBezTo>
                  <a:pt x="7608" y="1914"/>
                  <a:pt x="6044" y="185"/>
                  <a:pt x="3988" y="5"/>
                </a:cubicBezTo>
                <a:cubicBezTo>
                  <a:pt x="1904" y="-104"/>
                  <a:pt x="125" y="1483"/>
                  <a:pt x="15" y="3551"/>
                </a:cubicBezTo>
                <a:cubicBezTo>
                  <a:pt x="11" y="3619"/>
                  <a:pt x="9" y="3688"/>
                  <a:pt x="9" y="3755"/>
                </a:cubicBezTo>
                <a:lnTo>
                  <a:pt x="9" y="61168"/>
                </a:lnTo>
                <a:cubicBezTo>
                  <a:pt x="10" y="62160"/>
                  <a:pt x="406" y="63113"/>
                  <a:pt x="1113" y="63815"/>
                </a:cubicBezTo>
                <a:lnTo>
                  <a:pt x="4237" y="66924"/>
                </a:lnTo>
                <a:cubicBezTo>
                  <a:pt x="6363" y="69035"/>
                  <a:pt x="7556" y="71897"/>
                  <a:pt x="7555" y="74882"/>
                </a:cubicBezTo>
                <a:lnTo>
                  <a:pt x="7555" y="76164"/>
                </a:lnTo>
                <a:lnTo>
                  <a:pt x="3992" y="76164"/>
                </a:lnTo>
                <a:cubicBezTo>
                  <a:pt x="1930" y="76123"/>
                  <a:pt x="188" y="77673"/>
                  <a:pt x="6" y="79712"/>
                </a:cubicBezTo>
                <a:cubicBezTo>
                  <a:pt x="-107" y="81780"/>
                  <a:pt x="1491" y="83547"/>
                  <a:pt x="3574" y="83659"/>
                </a:cubicBezTo>
                <a:cubicBezTo>
                  <a:pt x="3644" y="83662"/>
                  <a:pt x="3714" y="83664"/>
                  <a:pt x="3784" y="83664"/>
                </a:cubicBezTo>
                <a:lnTo>
                  <a:pt x="11341" y="83664"/>
                </a:lnTo>
                <a:cubicBezTo>
                  <a:pt x="13427" y="83664"/>
                  <a:pt x="15119" y="81985"/>
                  <a:pt x="15119" y="79914"/>
                </a:cubicBezTo>
                <a:lnTo>
                  <a:pt x="15119" y="74867"/>
                </a:lnTo>
                <a:cubicBezTo>
                  <a:pt x="15119" y="69899"/>
                  <a:pt x="13132" y="65134"/>
                  <a:pt x="9595" y="6161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49" name="Freeform: Shape 348">
            <a:extLst>
              <a:ext uri="{FF2B5EF4-FFF2-40B4-BE49-F238E27FC236}">
                <a16:creationId xmlns:a16="http://schemas.microsoft.com/office/drawing/2014/main" id="{C56DF9B9-805A-4C7C-A6AC-4427913529B8}"/>
              </a:ext>
            </a:extLst>
          </xdr:cNvPr>
          <xdr:cNvSpPr/>
        </xdr:nvSpPr>
        <xdr:spPr>
          <a:xfrm rot="-2700000">
            <a:off x="12663739" y="7517449"/>
            <a:ext cx="7511" cy="7530"/>
          </a:xfrm>
          <a:custGeom>
            <a:avLst/>
            <a:gdLst>
              <a:gd name="connsiteX0" fmla="*/ 7511 w 7511"/>
              <a:gd name="connsiteY0" fmla="*/ 3765 h 7530"/>
              <a:gd name="connsiteX1" fmla="*/ 3756 w 7511"/>
              <a:gd name="connsiteY1" fmla="*/ 7530 h 7530"/>
              <a:gd name="connsiteX2" fmla="*/ 0 w 7511"/>
              <a:gd name="connsiteY2" fmla="*/ 3765 h 7530"/>
              <a:gd name="connsiteX3" fmla="*/ 3756 w 7511"/>
              <a:gd name="connsiteY3" fmla="*/ 0 h 7530"/>
              <a:gd name="connsiteX4" fmla="*/ 7511 w 7511"/>
              <a:gd name="connsiteY4" fmla="*/ 3765 h 75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511" h="7530">
                <a:moveTo>
                  <a:pt x="7511" y="3765"/>
                </a:moveTo>
                <a:cubicBezTo>
                  <a:pt x="7511" y="5844"/>
                  <a:pt x="5830" y="7530"/>
                  <a:pt x="3756" y="7530"/>
                </a:cubicBezTo>
                <a:cubicBezTo>
                  <a:pt x="1681" y="7530"/>
                  <a:pt x="0" y="5844"/>
                  <a:pt x="0" y="3765"/>
                </a:cubicBezTo>
                <a:cubicBezTo>
                  <a:pt x="0" y="1686"/>
                  <a:pt x="1681" y="0"/>
                  <a:pt x="3756" y="0"/>
                </a:cubicBezTo>
                <a:cubicBezTo>
                  <a:pt x="5830" y="0"/>
                  <a:pt x="7511" y="1686"/>
                  <a:pt x="7511" y="376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8</xdr:col>
      <xdr:colOff>174644</xdr:colOff>
      <xdr:row>6</xdr:row>
      <xdr:rowOff>122245</xdr:rowOff>
    </xdr:from>
    <xdr:to>
      <xdr:col>8</xdr:col>
      <xdr:colOff>404522</xdr:colOff>
      <xdr:row>6</xdr:row>
      <xdr:rowOff>459745</xdr:rowOff>
    </xdr:to>
    <xdr:grpSp>
      <xdr:nvGrpSpPr>
        <xdr:cNvPr id="350" name="koala" descr="Koala outline">
          <a:extLst>
            <a:ext uri="{FF2B5EF4-FFF2-40B4-BE49-F238E27FC236}">
              <a16:creationId xmlns:a16="http://schemas.microsoft.com/office/drawing/2014/main" id="{0FE65B54-5DA7-44D1-8F0C-4ADDB36C9018}"/>
            </a:ext>
          </a:extLst>
        </xdr:cNvPr>
        <xdr:cNvGrpSpPr>
          <a:grpSpLocks noChangeAspect="1"/>
        </xdr:cNvGrpSpPr>
      </xdr:nvGrpSpPr>
      <xdr:grpSpPr>
        <a:xfrm>
          <a:off x="7289819" y="1760545"/>
          <a:ext cx="229878" cy="337500"/>
          <a:chOff x="14987190" y="7491214"/>
          <a:chExt cx="229878" cy="337500"/>
        </a:xfrm>
        <a:solidFill>
          <a:srgbClr val="1F4E78"/>
        </a:solidFill>
      </xdr:grpSpPr>
      <xdr:sp macro="" textlink="">
        <xdr:nvSpPr>
          <xdr:cNvPr id="351" name="Freeform: Shape 350">
            <a:extLst>
              <a:ext uri="{FF2B5EF4-FFF2-40B4-BE49-F238E27FC236}">
                <a16:creationId xmlns:a16="http://schemas.microsoft.com/office/drawing/2014/main" id="{8A96C8AD-9A3D-4114-A955-1A5DF9DE3491}"/>
              </a:ext>
            </a:extLst>
          </xdr:cNvPr>
          <xdr:cNvSpPr/>
        </xdr:nvSpPr>
        <xdr:spPr>
          <a:xfrm>
            <a:off x="14987190" y="7491214"/>
            <a:ext cx="229878" cy="337500"/>
          </a:xfrm>
          <a:custGeom>
            <a:avLst/>
            <a:gdLst>
              <a:gd name="connsiteX0" fmla="*/ 221306 w 229878"/>
              <a:gd name="connsiteY0" fmla="*/ 169778 h 337500"/>
              <a:gd name="connsiteX1" fmla="*/ 220482 w 229878"/>
              <a:gd name="connsiteY1" fmla="*/ 167903 h 337500"/>
              <a:gd name="connsiteX2" fmla="*/ 202663 w 229878"/>
              <a:gd name="connsiteY2" fmla="*/ 155325 h 337500"/>
              <a:gd name="connsiteX3" fmla="*/ 229879 w 229878"/>
              <a:gd name="connsiteY3" fmla="*/ 0 h 337500"/>
              <a:gd name="connsiteX4" fmla="*/ 222209 w 229878"/>
              <a:gd name="connsiteY4" fmla="*/ 0 h 337500"/>
              <a:gd name="connsiteX5" fmla="*/ 194940 w 229878"/>
              <a:gd name="connsiteY5" fmla="*/ 155670 h 337500"/>
              <a:gd name="connsiteX6" fmla="*/ 192753 w 229878"/>
              <a:gd name="connsiteY6" fmla="*/ 156158 h 337500"/>
              <a:gd name="connsiteX7" fmla="*/ 139886 w 229878"/>
              <a:gd name="connsiteY7" fmla="*/ 161374 h 337500"/>
              <a:gd name="connsiteX8" fmla="*/ 141851 w 229878"/>
              <a:gd name="connsiteY8" fmla="*/ 144814 h 337500"/>
              <a:gd name="connsiteX9" fmla="*/ 165768 w 229878"/>
              <a:gd name="connsiteY9" fmla="*/ 110689 h 337500"/>
              <a:gd name="connsiteX10" fmla="*/ 196452 w 229878"/>
              <a:gd name="connsiteY10" fmla="*/ 75784 h 337500"/>
              <a:gd name="connsiteX11" fmla="*/ 196036 w 229878"/>
              <a:gd name="connsiteY11" fmla="*/ 47025 h 337500"/>
              <a:gd name="connsiteX12" fmla="*/ 160202 w 229878"/>
              <a:gd name="connsiteY12" fmla="*/ 31005 h 337500"/>
              <a:gd name="connsiteX13" fmla="*/ 165647 w 229878"/>
              <a:gd name="connsiteY13" fmla="*/ 0 h 337500"/>
              <a:gd name="connsiteX14" fmla="*/ 157977 w 229878"/>
              <a:gd name="connsiteY14" fmla="*/ 0 h 337500"/>
              <a:gd name="connsiteX15" fmla="*/ 152033 w 229878"/>
              <a:gd name="connsiteY15" fmla="*/ 33919 h 337500"/>
              <a:gd name="connsiteX16" fmla="*/ 138054 w 229878"/>
              <a:gd name="connsiteY16" fmla="*/ 44303 h 337500"/>
              <a:gd name="connsiteX17" fmla="*/ 98109 w 229878"/>
              <a:gd name="connsiteY17" fmla="*/ 34909 h 337500"/>
              <a:gd name="connsiteX18" fmla="*/ 63348 w 229878"/>
              <a:gd name="connsiteY18" fmla="*/ 54870 h 337500"/>
              <a:gd name="connsiteX19" fmla="*/ 44792 w 229878"/>
              <a:gd name="connsiteY19" fmla="*/ 48750 h 337500"/>
              <a:gd name="connsiteX20" fmla="*/ 8766 w 229878"/>
              <a:gd name="connsiteY20" fmla="*/ 74250 h 337500"/>
              <a:gd name="connsiteX21" fmla="*/ 15593 w 229878"/>
              <a:gd name="connsiteY21" fmla="*/ 100759 h 337500"/>
              <a:gd name="connsiteX22" fmla="*/ 46073 w 229878"/>
              <a:gd name="connsiteY22" fmla="*/ 123892 h 337500"/>
              <a:gd name="connsiteX23" fmla="*/ 44214 w 229878"/>
              <a:gd name="connsiteY23" fmla="*/ 126341 h 337500"/>
              <a:gd name="connsiteX24" fmla="*/ 0 w 229878"/>
              <a:gd name="connsiteY24" fmla="*/ 223875 h 337500"/>
              <a:gd name="connsiteX25" fmla="*/ 77834 w 229878"/>
              <a:gd name="connsiteY25" fmla="*/ 295500 h 337500"/>
              <a:gd name="connsiteX26" fmla="*/ 106194 w 229878"/>
              <a:gd name="connsiteY26" fmla="*/ 295500 h 337500"/>
              <a:gd name="connsiteX27" fmla="*/ 98838 w 229878"/>
              <a:gd name="connsiteY27" fmla="*/ 337500 h 337500"/>
              <a:gd name="connsiteX28" fmla="*/ 106527 w 229878"/>
              <a:gd name="connsiteY28" fmla="*/ 337500 h 337500"/>
              <a:gd name="connsiteX29" fmla="*/ 113883 w 229878"/>
              <a:gd name="connsiteY29" fmla="*/ 295500 h 337500"/>
              <a:gd name="connsiteX30" fmla="*/ 170445 w 229878"/>
              <a:gd name="connsiteY30" fmla="*/ 295500 h 337500"/>
              <a:gd name="connsiteX31" fmla="*/ 163070 w 229878"/>
              <a:gd name="connsiteY31" fmla="*/ 337500 h 337500"/>
              <a:gd name="connsiteX32" fmla="*/ 170759 w 229878"/>
              <a:gd name="connsiteY32" fmla="*/ 337500 h 337500"/>
              <a:gd name="connsiteX33" fmla="*/ 178115 w 229878"/>
              <a:gd name="connsiteY33" fmla="*/ 295500 h 337500"/>
              <a:gd name="connsiteX34" fmla="*/ 186670 w 229878"/>
              <a:gd name="connsiteY34" fmla="*/ 295500 h 337500"/>
              <a:gd name="connsiteX35" fmla="*/ 190206 w 229878"/>
              <a:gd name="connsiteY35" fmla="*/ 294923 h 337500"/>
              <a:gd name="connsiteX36" fmla="*/ 206600 w 229878"/>
              <a:gd name="connsiteY36" fmla="*/ 268125 h 337500"/>
              <a:gd name="connsiteX37" fmla="*/ 203736 w 229878"/>
              <a:gd name="connsiteY37" fmla="*/ 261101 h 337500"/>
              <a:gd name="connsiteX38" fmla="*/ 185778 w 229878"/>
              <a:gd name="connsiteY38" fmla="*/ 251648 h 337500"/>
              <a:gd name="connsiteX39" fmla="*/ 194495 w 229878"/>
              <a:gd name="connsiteY39" fmla="*/ 201923 h 337500"/>
              <a:gd name="connsiteX40" fmla="*/ 206653 w 229878"/>
              <a:gd name="connsiteY40" fmla="*/ 198945 h 337500"/>
              <a:gd name="connsiteX41" fmla="*/ 221634 w 229878"/>
              <a:gd name="connsiteY41" fmla="*/ 170670 h 337500"/>
              <a:gd name="connsiteX42" fmla="*/ 164903 w 229878"/>
              <a:gd name="connsiteY42" fmla="*/ 85759 h 337500"/>
              <a:gd name="connsiteX43" fmla="*/ 154916 w 229878"/>
              <a:gd name="connsiteY43" fmla="*/ 62134 h 337500"/>
              <a:gd name="connsiteX44" fmla="*/ 162473 w 229878"/>
              <a:gd name="connsiteY44" fmla="*/ 57083 h 337500"/>
              <a:gd name="connsiteX45" fmla="*/ 174107 w 229878"/>
              <a:gd name="connsiteY45" fmla="*/ 59573 h 337500"/>
              <a:gd name="connsiteX46" fmla="*/ 174545 w 229878"/>
              <a:gd name="connsiteY46" fmla="*/ 60049 h 337500"/>
              <a:gd name="connsiteX47" fmla="*/ 175323 w 229878"/>
              <a:gd name="connsiteY47" fmla="*/ 71831 h 337500"/>
              <a:gd name="connsiteX48" fmla="*/ 164903 w 229878"/>
              <a:gd name="connsiteY48" fmla="*/ 85759 h 337500"/>
              <a:gd name="connsiteX49" fmla="*/ 157108 w 229878"/>
              <a:gd name="connsiteY49" fmla="*/ 39844 h 337500"/>
              <a:gd name="connsiteX50" fmla="*/ 189352 w 229878"/>
              <a:gd name="connsiteY50" fmla="*/ 50494 h 337500"/>
              <a:gd name="connsiteX51" fmla="*/ 189398 w 229878"/>
              <a:gd name="connsiteY51" fmla="*/ 73133 h 337500"/>
              <a:gd name="connsiteX52" fmla="*/ 166871 w 229878"/>
              <a:gd name="connsiteY52" fmla="*/ 101411 h 337500"/>
              <a:gd name="connsiteX53" fmla="*/ 166493 w 229878"/>
              <a:gd name="connsiteY53" fmla="*/ 94193 h 337500"/>
              <a:gd name="connsiteX54" fmla="*/ 182200 w 229878"/>
              <a:gd name="connsiteY54" fmla="*/ 74978 h 337500"/>
              <a:gd name="connsiteX55" fmla="*/ 180809 w 229878"/>
              <a:gd name="connsiteY55" fmla="*/ 55785 h 337500"/>
              <a:gd name="connsiteX56" fmla="*/ 180265 w 229878"/>
              <a:gd name="connsiteY56" fmla="*/ 55099 h 337500"/>
              <a:gd name="connsiteX57" fmla="*/ 179751 w 229878"/>
              <a:gd name="connsiteY57" fmla="*/ 54548 h 337500"/>
              <a:gd name="connsiteX58" fmla="*/ 159726 w 229878"/>
              <a:gd name="connsiteY58" fmla="*/ 50078 h 337500"/>
              <a:gd name="connsiteX59" fmla="*/ 159148 w 229878"/>
              <a:gd name="connsiteY59" fmla="*/ 50333 h 337500"/>
              <a:gd name="connsiteX60" fmla="*/ 150537 w 229878"/>
              <a:gd name="connsiteY60" fmla="*/ 56021 h 337500"/>
              <a:gd name="connsiteX61" fmla="*/ 143978 w 229878"/>
              <a:gd name="connsiteY61" fmla="*/ 49084 h 337500"/>
              <a:gd name="connsiteX62" fmla="*/ 157108 w 229878"/>
              <a:gd name="connsiteY62" fmla="*/ 39844 h 337500"/>
              <a:gd name="connsiteX63" fmla="*/ 59241 w 229878"/>
              <a:gd name="connsiteY63" fmla="*/ 119550 h 337500"/>
              <a:gd name="connsiteX64" fmla="*/ 55897 w 229878"/>
              <a:gd name="connsiteY64" fmla="*/ 107925 h 337500"/>
              <a:gd name="connsiteX65" fmla="*/ 59838 w 229878"/>
              <a:gd name="connsiteY65" fmla="*/ 76298 h 337500"/>
              <a:gd name="connsiteX66" fmla="*/ 66310 w 229878"/>
              <a:gd name="connsiteY66" fmla="*/ 63623 h 337500"/>
              <a:gd name="connsiteX67" fmla="*/ 67357 w 229878"/>
              <a:gd name="connsiteY67" fmla="*/ 62089 h 337500"/>
              <a:gd name="connsiteX68" fmla="*/ 99204 w 229878"/>
              <a:gd name="connsiteY68" fmla="*/ 42311 h 337500"/>
              <a:gd name="connsiteX69" fmla="*/ 136255 w 229878"/>
              <a:gd name="connsiteY69" fmla="*/ 52376 h 337500"/>
              <a:gd name="connsiteX70" fmla="*/ 137936 w 229878"/>
              <a:gd name="connsiteY70" fmla="*/ 53756 h 337500"/>
              <a:gd name="connsiteX71" fmla="*/ 146778 w 229878"/>
              <a:gd name="connsiteY71" fmla="*/ 63458 h 337500"/>
              <a:gd name="connsiteX72" fmla="*/ 146876 w 229878"/>
              <a:gd name="connsiteY72" fmla="*/ 63596 h 337500"/>
              <a:gd name="connsiteX73" fmla="*/ 158736 w 229878"/>
              <a:gd name="connsiteY73" fmla="*/ 93195 h 337500"/>
              <a:gd name="connsiteX74" fmla="*/ 158736 w 229878"/>
              <a:gd name="connsiteY74" fmla="*/ 107344 h 337500"/>
              <a:gd name="connsiteX75" fmla="*/ 114303 w 229878"/>
              <a:gd name="connsiteY75" fmla="*/ 147416 h 337500"/>
              <a:gd name="connsiteX76" fmla="*/ 60114 w 229878"/>
              <a:gd name="connsiteY76" fmla="*/ 121448 h 337500"/>
              <a:gd name="connsiteX77" fmla="*/ 48000 w 229878"/>
              <a:gd name="connsiteY77" fmla="*/ 102263 h 337500"/>
              <a:gd name="connsiteX78" fmla="*/ 34988 w 229878"/>
              <a:gd name="connsiteY78" fmla="*/ 92423 h 337500"/>
              <a:gd name="connsiteX79" fmla="*/ 32671 w 229878"/>
              <a:gd name="connsiteY79" fmla="*/ 80344 h 337500"/>
              <a:gd name="connsiteX80" fmla="*/ 32838 w 229878"/>
              <a:gd name="connsiteY80" fmla="*/ 79950 h 337500"/>
              <a:gd name="connsiteX81" fmla="*/ 43417 w 229878"/>
              <a:gd name="connsiteY81" fmla="*/ 74231 h 337500"/>
              <a:gd name="connsiteX82" fmla="*/ 51729 w 229878"/>
              <a:gd name="connsiteY82" fmla="*/ 76811 h 337500"/>
              <a:gd name="connsiteX83" fmla="*/ 48000 w 229878"/>
              <a:gd name="connsiteY83" fmla="*/ 102263 h 337500"/>
              <a:gd name="connsiteX84" fmla="*/ 21748 w 229878"/>
              <a:gd name="connsiteY84" fmla="*/ 96401 h 337500"/>
              <a:gd name="connsiteX85" fmla="*/ 16171 w 229878"/>
              <a:gd name="connsiteY85" fmla="*/ 75750 h 337500"/>
              <a:gd name="connsiteX86" fmla="*/ 42004 w 229878"/>
              <a:gd name="connsiteY86" fmla="*/ 56194 h 337500"/>
              <a:gd name="connsiteX87" fmla="*/ 44384 w 229878"/>
              <a:gd name="connsiteY87" fmla="*/ 56261 h 337500"/>
              <a:gd name="connsiteX88" fmla="*/ 59003 w 229878"/>
              <a:gd name="connsiteY88" fmla="*/ 61061 h 337500"/>
              <a:gd name="connsiteX89" fmla="*/ 54386 w 229878"/>
              <a:gd name="connsiteY89" fmla="*/ 69814 h 337500"/>
              <a:gd name="connsiteX90" fmla="*/ 44433 w 229878"/>
              <a:gd name="connsiteY90" fmla="*/ 66814 h 337500"/>
              <a:gd name="connsiteX91" fmla="*/ 44056 w 229878"/>
              <a:gd name="connsiteY91" fmla="*/ 66773 h 337500"/>
              <a:gd name="connsiteX92" fmla="*/ 25817 w 229878"/>
              <a:gd name="connsiteY92" fmla="*/ 77149 h 337500"/>
              <a:gd name="connsiteX93" fmla="*/ 25440 w 229878"/>
              <a:gd name="connsiteY93" fmla="*/ 78109 h 337500"/>
              <a:gd name="connsiteX94" fmla="*/ 29067 w 229878"/>
              <a:gd name="connsiteY94" fmla="*/ 97136 h 337500"/>
              <a:gd name="connsiteX95" fmla="*/ 29422 w 229878"/>
              <a:gd name="connsiteY95" fmla="*/ 97541 h 337500"/>
              <a:gd name="connsiteX96" fmla="*/ 48745 w 229878"/>
              <a:gd name="connsiteY96" fmla="*/ 110959 h 337500"/>
              <a:gd name="connsiteX97" fmla="*/ 50373 w 229878"/>
              <a:gd name="connsiteY97" fmla="*/ 117521 h 337500"/>
              <a:gd name="connsiteX98" fmla="*/ 21748 w 229878"/>
              <a:gd name="connsiteY98" fmla="*/ 96401 h 337500"/>
              <a:gd name="connsiteX99" fmla="*/ 178115 w 229878"/>
              <a:gd name="connsiteY99" fmla="*/ 251625 h 337500"/>
              <a:gd name="connsiteX100" fmla="*/ 154025 w 229878"/>
              <a:gd name="connsiteY100" fmla="*/ 251625 h 337500"/>
              <a:gd name="connsiteX101" fmla="*/ 151512 w 229878"/>
              <a:gd name="connsiteY101" fmla="*/ 248760 h 337500"/>
              <a:gd name="connsiteX102" fmla="*/ 151512 w 229878"/>
              <a:gd name="connsiteY102" fmla="*/ 234652 h 337500"/>
              <a:gd name="connsiteX103" fmla="*/ 138080 w 229878"/>
              <a:gd name="connsiteY103" fmla="*/ 206190 h 337500"/>
              <a:gd name="connsiteX104" fmla="*/ 145467 w 229878"/>
              <a:gd name="connsiteY104" fmla="*/ 206250 h 337500"/>
              <a:gd name="connsiteX105" fmla="*/ 186575 w 229878"/>
              <a:gd name="connsiteY105" fmla="*/ 203348 h 337500"/>
              <a:gd name="connsiteX106" fmla="*/ 186651 w 229878"/>
              <a:gd name="connsiteY106" fmla="*/ 288000 h 337500"/>
              <a:gd name="connsiteX107" fmla="*/ 77834 w 229878"/>
              <a:gd name="connsiteY107" fmla="*/ 288000 h 337500"/>
              <a:gd name="connsiteX108" fmla="*/ 7557 w 229878"/>
              <a:gd name="connsiteY108" fmla="*/ 223875 h 337500"/>
              <a:gd name="connsiteX109" fmla="*/ 50252 w 229878"/>
              <a:gd name="connsiteY109" fmla="*/ 130875 h 337500"/>
              <a:gd name="connsiteX110" fmla="*/ 53740 w 229878"/>
              <a:gd name="connsiteY110" fmla="*/ 126278 h 337500"/>
              <a:gd name="connsiteX111" fmla="*/ 54117 w 229878"/>
              <a:gd name="connsiteY111" fmla="*/ 126375 h 337500"/>
              <a:gd name="connsiteX112" fmla="*/ 105216 w 229878"/>
              <a:gd name="connsiteY112" fmla="*/ 155595 h 337500"/>
              <a:gd name="connsiteX113" fmla="*/ 115372 w 229878"/>
              <a:gd name="connsiteY113" fmla="*/ 154845 h 337500"/>
              <a:gd name="connsiteX114" fmla="*/ 133682 w 229878"/>
              <a:gd name="connsiteY114" fmla="*/ 149449 h 337500"/>
              <a:gd name="connsiteX115" fmla="*/ 131415 w 229878"/>
              <a:gd name="connsiteY115" fmla="*/ 168600 h 337500"/>
              <a:gd name="connsiteX116" fmla="*/ 135507 w 229878"/>
              <a:gd name="connsiteY116" fmla="*/ 168750 h 337500"/>
              <a:gd name="connsiteX117" fmla="*/ 194982 w 229878"/>
              <a:gd name="connsiteY117" fmla="*/ 163324 h 337500"/>
              <a:gd name="connsiteX118" fmla="*/ 213832 w 229878"/>
              <a:gd name="connsiteY118" fmla="*/ 171491 h 337500"/>
              <a:gd name="connsiteX119" fmla="*/ 214066 w 229878"/>
              <a:gd name="connsiteY119" fmla="*/ 171971 h 337500"/>
              <a:gd name="connsiteX120" fmla="*/ 214444 w 229878"/>
              <a:gd name="connsiteY120" fmla="*/ 173051 h 337500"/>
              <a:gd name="connsiteX121" fmla="*/ 204432 w 229878"/>
              <a:gd name="connsiteY121" fmla="*/ 191801 h 337500"/>
              <a:gd name="connsiteX122" fmla="*/ 145467 w 229878"/>
              <a:gd name="connsiteY122" fmla="*/ 198750 h 337500"/>
              <a:gd name="connsiteX123" fmla="*/ 131683 w 229878"/>
              <a:gd name="connsiteY123" fmla="*/ 198375 h 337500"/>
              <a:gd name="connsiteX124" fmla="*/ 102968 w 229878"/>
              <a:gd name="connsiteY124" fmla="*/ 196875 h 337500"/>
              <a:gd name="connsiteX125" fmla="*/ 98993 w 229878"/>
              <a:gd name="connsiteY125" fmla="*/ 200423 h 337500"/>
              <a:gd name="connsiteX126" fmla="*/ 102564 w 229878"/>
              <a:gd name="connsiteY126" fmla="*/ 204368 h 337500"/>
              <a:gd name="connsiteX127" fmla="*/ 102567 w 229878"/>
              <a:gd name="connsiteY127" fmla="*/ 204368 h 337500"/>
              <a:gd name="connsiteX128" fmla="*/ 113736 w 229878"/>
              <a:gd name="connsiteY128" fmla="*/ 204949 h 337500"/>
              <a:gd name="connsiteX129" fmla="*/ 114114 w 229878"/>
              <a:gd name="connsiteY129" fmla="*/ 205024 h 337500"/>
              <a:gd name="connsiteX130" fmla="*/ 143963 w 229878"/>
              <a:gd name="connsiteY130" fmla="*/ 234649 h 337500"/>
              <a:gd name="connsiteX131" fmla="*/ 143963 w 229878"/>
              <a:gd name="connsiteY131" fmla="*/ 249000 h 337500"/>
              <a:gd name="connsiteX132" fmla="*/ 143986 w 229878"/>
              <a:gd name="connsiteY132" fmla="*/ 249416 h 337500"/>
              <a:gd name="connsiteX133" fmla="*/ 153379 w 229878"/>
              <a:gd name="connsiteY133" fmla="*/ 259103 h 337500"/>
              <a:gd name="connsiteX134" fmla="*/ 185154 w 229878"/>
              <a:gd name="connsiteY134" fmla="*/ 259125 h 337500"/>
              <a:gd name="connsiteX135" fmla="*/ 197404 w 229878"/>
              <a:gd name="connsiteY135" fmla="*/ 265181 h 337500"/>
              <a:gd name="connsiteX136" fmla="*/ 199229 w 229878"/>
              <a:gd name="connsiteY136" fmla="*/ 269719 h 337500"/>
              <a:gd name="connsiteX137" fmla="*/ 187984 w 229878"/>
              <a:gd name="connsiteY137" fmla="*/ 287745 h 33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</a:cxnLst>
            <a:rect l="l" t="t" r="r" b="b"/>
            <a:pathLst>
              <a:path w="229878" h="337500">
                <a:moveTo>
                  <a:pt x="221306" y="169778"/>
                </a:moveTo>
                <a:cubicBezTo>
                  <a:pt x="221138" y="169112"/>
                  <a:pt x="220859" y="168478"/>
                  <a:pt x="220482" y="167903"/>
                </a:cubicBezTo>
                <a:cubicBezTo>
                  <a:pt x="217052" y="161003"/>
                  <a:pt x="210356" y="156276"/>
                  <a:pt x="202663" y="155325"/>
                </a:cubicBezTo>
                <a:lnTo>
                  <a:pt x="229879" y="0"/>
                </a:lnTo>
                <a:lnTo>
                  <a:pt x="222209" y="0"/>
                </a:lnTo>
                <a:lnTo>
                  <a:pt x="194940" y="155670"/>
                </a:lnTo>
                <a:cubicBezTo>
                  <a:pt x="194211" y="155828"/>
                  <a:pt x="193478" y="155925"/>
                  <a:pt x="192753" y="156158"/>
                </a:cubicBezTo>
                <a:cubicBezTo>
                  <a:pt x="175474" y="160406"/>
                  <a:pt x="157669" y="162163"/>
                  <a:pt x="139886" y="161374"/>
                </a:cubicBezTo>
                <a:lnTo>
                  <a:pt x="141851" y="144814"/>
                </a:lnTo>
                <a:cubicBezTo>
                  <a:pt x="153881" y="136847"/>
                  <a:pt x="162426" y="124654"/>
                  <a:pt x="165768" y="110689"/>
                </a:cubicBezTo>
                <a:cubicBezTo>
                  <a:pt x="179723" y="102887"/>
                  <a:pt x="190555" y="90564"/>
                  <a:pt x="196452" y="75784"/>
                </a:cubicBezTo>
                <a:cubicBezTo>
                  <a:pt x="200544" y="66596"/>
                  <a:pt x="200392" y="56093"/>
                  <a:pt x="196036" y="47025"/>
                </a:cubicBezTo>
                <a:cubicBezTo>
                  <a:pt x="189682" y="33669"/>
                  <a:pt x="174490" y="26878"/>
                  <a:pt x="160202" y="31005"/>
                </a:cubicBezTo>
                <a:lnTo>
                  <a:pt x="165647" y="0"/>
                </a:lnTo>
                <a:lnTo>
                  <a:pt x="157977" y="0"/>
                </a:lnTo>
                <a:lnTo>
                  <a:pt x="152033" y="33919"/>
                </a:lnTo>
                <a:cubicBezTo>
                  <a:pt x="146688" y="36363"/>
                  <a:pt x="141924" y="39902"/>
                  <a:pt x="138054" y="44303"/>
                </a:cubicBezTo>
                <a:cubicBezTo>
                  <a:pt x="126491" y="36103"/>
                  <a:pt x="112149" y="32731"/>
                  <a:pt x="98109" y="34909"/>
                </a:cubicBezTo>
                <a:cubicBezTo>
                  <a:pt x="84346" y="36819"/>
                  <a:pt x="71876" y="43980"/>
                  <a:pt x="63348" y="54870"/>
                </a:cubicBezTo>
                <a:cubicBezTo>
                  <a:pt x="57784" y="51306"/>
                  <a:pt x="51399" y="49200"/>
                  <a:pt x="44792" y="48750"/>
                </a:cubicBezTo>
                <a:cubicBezTo>
                  <a:pt x="25681" y="47663"/>
                  <a:pt x="12197" y="57232"/>
                  <a:pt x="8766" y="74250"/>
                </a:cubicBezTo>
                <a:cubicBezTo>
                  <a:pt x="7160" y="83647"/>
                  <a:pt x="9641" y="93279"/>
                  <a:pt x="15593" y="100759"/>
                </a:cubicBezTo>
                <a:cubicBezTo>
                  <a:pt x="23434" y="111087"/>
                  <a:pt x="33976" y="119088"/>
                  <a:pt x="46073" y="123892"/>
                </a:cubicBezTo>
                <a:lnTo>
                  <a:pt x="44214" y="126341"/>
                </a:lnTo>
                <a:cubicBezTo>
                  <a:pt x="27710" y="147716"/>
                  <a:pt x="0" y="188805"/>
                  <a:pt x="0" y="223875"/>
                </a:cubicBezTo>
                <a:cubicBezTo>
                  <a:pt x="0" y="271403"/>
                  <a:pt x="26184" y="295500"/>
                  <a:pt x="77834" y="295500"/>
                </a:cubicBezTo>
                <a:lnTo>
                  <a:pt x="106194" y="295500"/>
                </a:lnTo>
                <a:lnTo>
                  <a:pt x="98838" y="337500"/>
                </a:lnTo>
                <a:lnTo>
                  <a:pt x="106527" y="337500"/>
                </a:lnTo>
                <a:lnTo>
                  <a:pt x="113883" y="295500"/>
                </a:lnTo>
                <a:lnTo>
                  <a:pt x="170445" y="295500"/>
                </a:lnTo>
                <a:lnTo>
                  <a:pt x="163070" y="337500"/>
                </a:lnTo>
                <a:lnTo>
                  <a:pt x="170759" y="337500"/>
                </a:lnTo>
                <a:lnTo>
                  <a:pt x="178115" y="295500"/>
                </a:lnTo>
                <a:lnTo>
                  <a:pt x="186670" y="295500"/>
                </a:lnTo>
                <a:cubicBezTo>
                  <a:pt x="187870" y="295477"/>
                  <a:pt x="189061" y="295283"/>
                  <a:pt x="190206" y="294923"/>
                </a:cubicBezTo>
                <a:cubicBezTo>
                  <a:pt x="201963" y="291714"/>
                  <a:pt x="209156" y="279958"/>
                  <a:pt x="206600" y="268125"/>
                </a:cubicBezTo>
                <a:cubicBezTo>
                  <a:pt x="206067" y="265636"/>
                  <a:pt x="205097" y="263259"/>
                  <a:pt x="203736" y="261101"/>
                </a:cubicBezTo>
                <a:cubicBezTo>
                  <a:pt x="199574" y="255330"/>
                  <a:pt x="192926" y="251831"/>
                  <a:pt x="185778" y="251648"/>
                </a:cubicBezTo>
                <a:lnTo>
                  <a:pt x="194495" y="201923"/>
                </a:lnTo>
                <a:cubicBezTo>
                  <a:pt x="198847" y="201049"/>
                  <a:pt x="202932" y="200048"/>
                  <a:pt x="206653" y="198945"/>
                </a:cubicBezTo>
                <a:cubicBezTo>
                  <a:pt x="218581" y="195153"/>
                  <a:pt x="225247" y="182573"/>
                  <a:pt x="221634" y="170670"/>
                </a:cubicBezTo>
                <a:close/>
                <a:moveTo>
                  <a:pt x="164903" y="85759"/>
                </a:moveTo>
                <a:cubicBezTo>
                  <a:pt x="162861" y="77406"/>
                  <a:pt x="159490" y="69431"/>
                  <a:pt x="154916" y="62134"/>
                </a:cubicBezTo>
                <a:cubicBezTo>
                  <a:pt x="157269" y="60218"/>
                  <a:pt x="159799" y="58526"/>
                  <a:pt x="162473" y="57083"/>
                </a:cubicBezTo>
                <a:cubicBezTo>
                  <a:pt x="169701" y="54701"/>
                  <a:pt x="172240" y="57510"/>
                  <a:pt x="174107" y="59573"/>
                </a:cubicBezTo>
                <a:lnTo>
                  <a:pt x="174545" y="60049"/>
                </a:lnTo>
                <a:cubicBezTo>
                  <a:pt x="176697" y="63624"/>
                  <a:pt x="176986" y="68008"/>
                  <a:pt x="175323" y="71831"/>
                </a:cubicBezTo>
                <a:cubicBezTo>
                  <a:pt x="172689" y="77038"/>
                  <a:pt x="169163" y="81751"/>
                  <a:pt x="164903" y="85759"/>
                </a:cubicBezTo>
                <a:close/>
                <a:moveTo>
                  <a:pt x="157108" y="39844"/>
                </a:moveTo>
                <a:cubicBezTo>
                  <a:pt x="160777" y="38344"/>
                  <a:pt x="179585" y="31800"/>
                  <a:pt x="189352" y="50494"/>
                </a:cubicBezTo>
                <a:cubicBezTo>
                  <a:pt x="192600" y="57693"/>
                  <a:pt x="192616" y="65921"/>
                  <a:pt x="189398" y="73133"/>
                </a:cubicBezTo>
                <a:cubicBezTo>
                  <a:pt x="184738" y="84486"/>
                  <a:pt x="176926" y="94292"/>
                  <a:pt x="166871" y="101411"/>
                </a:cubicBezTo>
                <a:cubicBezTo>
                  <a:pt x="166921" y="98999"/>
                  <a:pt x="166795" y="96587"/>
                  <a:pt x="166493" y="94193"/>
                </a:cubicBezTo>
                <a:cubicBezTo>
                  <a:pt x="173068" y="88991"/>
                  <a:pt x="178426" y="82435"/>
                  <a:pt x="182200" y="74978"/>
                </a:cubicBezTo>
                <a:cubicBezTo>
                  <a:pt x="184951" y="68744"/>
                  <a:pt x="184431" y="61564"/>
                  <a:pt x="180809" y="55785"/>
                </a:cubicBezTo>
                <a:lnTo>
                  <a:pt x="180265" y="55099"/>
                </a:lnTo>
                <a:cubicBezTo>
                  <a:pt x="180110" y="54945"/>
                  <a:pt x="179940" y="54757"/>
                  <a:pt x="179751" y="54548"/>
                </a:cubicBezTo>
                <a:cubicBezTo>
                  <a:pt x="177409" y="51956"/>
                  <a:pt x="171926" y="45900"/>
                  <a:pt x="159726" y="50078"/>
                </a:cubicBezTo>
                <a:lnTo>
                  <a:pt x="159148" y="50333"/>
                </a:lnTo>
                <a:cubicBezTo>
                  <a:pt x="156108" y="51962"/>
                  <a:pt x="153225" y="53866"/>
                  <a:pt x="150537" y="56021"/>
                </a:cubicBezTo>
                <a:cubicBezTo>
                  <a:pt x="148489" y="53583"/>
                  <a:pt x="146299" y="51267"/>
                  <a:pt x="143978" y="49084"/>
                </a:cubicBezTo>
                <a:cubicBezTo>
                  <a:pt x="147552" y="45011"/>
                  <a:pt x="152053" y="41843"/>
                  <a:pt x="157108" y="39844"/>
                </a:cubicBezTo>
                <a:close/>
                <a:moveTo>
                  <a:pt x="59241" y="119550"/>
                </a:moveTo>
                <a:cubicBezTo>
                  <a:pt x="57599" y="115844"/>
                  <a:pt x="56474" y="111933"/>
                  <a:pt x="55897" y="107925"/>
                </a:cubicBezTo>
                <a:cubicBezTo>
                  <a:pt x="54856" y="97223"/>
                  <a:pt x="56202" y="86425"/>
                  <a:pt x="59838" y="76298"/>
                </a:cubicBezTo>
                <a:cubicBezTo>
                  <a:pt x="61527" y="71853"/>
                  <a:pt x="63698" y="67603"/>
                  <a:pt x="66310" y="63623"/>
                </a:cubicBezTo>
                <a:lnTo>
                  <a:pt x="67357" y="62089"/>
                </a:lnTo>
                <a:cubicBezTo>
                  <a:pt x="74657" y="51302"/>
                  <a:pt x="86238" y="44110"/>
                  <a:pt x="99204" y="42311"/>
                </a:cubicBezTo>
                <a:cubicBezTo>
                  <a:pt x="112437" y="40246"/>
                  <a:pt x="125927" y="43910"/>
                  <a:pt x="136255" y="52376"/>
                </a:cubicBezTo>
                <a:lnTo>
                  <a:pt x="137936" y="53756"/>
                </a:lnTo>
                <a:cubicBezTo>
                  <a:pt x="141203" y="56688"/>
                  <a:pt x="144165" y="59938"/>
                  <a:pt x="146778" y="63458"/>
                </a:cubicBezTo>
                <a:lnTo>
                  <a:pt x="146876" y="63596"/>
                </a:lnTo>
                <a:cubicBezTo>
                  <a:pt x="152950" y="72489"/>
                  <a:pt x="156998" y="82590"/>
                  <a:pt x="158736" y="93195"/>
                </a:cubicBezTo>
                <a:cubicBezTo>
                  <a:pt x="159527" y="97879"/>
                  <a:pt x="159527" y="102660"/>
                  <a:pt x="158736" y="107344"/>
                </a:cubicBezTo>
                <a:cubicBezTo>
                  <a:pt x="153923" y="128665"/>
                  <a:pt x="136147" y="144696"/>
                  <a:pt x="114303" y="147416"/>
                </a:cubicBezTo>
                <a:cubicBezTo>
                  <a:pt x="90605" y="150934"/>
                  <a:pt x="68838" y="140490"/>
                  <a:pt x="60114" y="121448"/>
                </a:cubicBezTo>
                <a:close/>
                <a:moveTo>
                  <a:pt x="48000" y="102263"/>
                </a:moveTo>
                <a:cubicBezTo>
                  <a:pt x="43235" y="99581"/>
                  <a:pt x="38858" y="96270"/>
                  <a:pt x="34988" y="92423"/>
                </a:cubicBezTo>
                <a:cubicBezTo>
                  <a:pt x="32460" y="88932"/>
                  <a:pt x="31613" y="84512"/>
                  <a:pt x="32671" y="80344"/>
                </a:cubicBezTo>
                <a:lnTo>
                  <a:pt x="32838" y="79950"/>
                </a:lnTo>
                <a:cubicBezTo>
                  <a:pt x="33903" y="77325"/>
                  <a:pt x="35339" y="73781"/>
                  <a:pt x="43417" y="74231"/>
                </a:cubicBezTo>
                <a:cubicBezTo>
                  <a:pt x="46293" y="74713"/>
                  <a:pt x="49090" y="75581"/>
                  <a:pt x="51729" y="76811"/>
                </a:cubicBezTo>
                <a:cubicBezTo>
                  <a:pt x="49130" y="85044"/>
                  <a:pt x="47872" y="93636"/>
                  <a:pt x="48000" y="102263"/>
                </a:cubicBezTo>
                <a:close/>
                <a:moveTo>
                  <a:pt x="21748" y="96401"/>
                </a:moveTo>
                <a:cubicBezTo>
                  <a:pt x="17006" y="90622"/>
                  <a:pt x="14977" y="83108"/>
                  <a:pt x="16171" y="75750"/>
                </a:cubicBezTo>
                <a:cubicBezTo>
                  <a:pt x="19515" y="59156"/>
                  <a:pt x="32887" y="56194"/>
                  <a:pt x="42004" y="56194"/>
                </a:cubicBezTo>
                <a:cubicBezTo>
                  <a:pt x="42839" y="56194"/>
                  <a:pt x="43636" y="56216"/>
                  <a:pt x="44384" y="56261"/>
                </a:cubicBezTo>
                <a:cubicBezTo>
                  <a:pt x="49581" y="56642"/>
                  <a:pt x="54603" y="58290"/>
                  <a:pt x="59003" y="61061"/>
                </a:cubicBezTo>
                <a:cubicBezTo>
                  <a:pt x="57247" y="63861"/>
                  <a:pt x="55704" y="66787"/>
                  <a:pt x="54386" y="69814"/>
                </a:cubicBezTo>
                <a:cubicBezTo>
                  <a:pt x="51214" y="68388"/>
                  <a:pt x="47868" y="67379"/>
                  <a:pt x="44433" y="66814"/>
                </a:cubicBezTo>
                <a:lnTo>
                  <a:pt x="44056" y="66773"/>
                </a:lnTo>
                <a:cubicBezTo>
                  <a:pt x="30404" y="65918"/>
                  <a:pt x="27053" y="74074"/>
                  <a:pt x="25817" y="77149"/>
                </a:cubicBezTo>
                <a:lnTo>
                  <a:pt x="25440" y="78109"/>
                </a:lnTo>
                <a:cubicBezTo>
                  <a:pt x="23647" y="84668"/>
                  <a:pt x="24984" y="91681"/>
                  <a:pt x="29067" y="97136"/>
                </a:cubicBezTo>
                <a:lnTo>
                  <a:pt x="29422" y="97541"/>
                </a:lnTo>
                <a:cubicBezTo>
                  <a:pt x="34995" y="103134"/>
                  <a:pt x="41541" y="107679"/>
                  <a:pt x="48745" y="110959"/>
                </a:cubicBezTo>
                <a:cubicBezTo>
                  <a:pt x="49144" y="113179"/>
                  <a:pt x="49688" y="115371"/>
                  <a:pt x="50373" y="117521"/>
                </a:cubicBezTo>
                <a:cubicBezTo>
                  <a:pt x="39000" y="113330"/>
                  <a:pt x="29069" y="106002"/>
                  <a:pt x="21748" y="96401"/>
                </a:cubicBezTo>
                <a:close/>
                <a:moveTo>
                  <a:pt x="178115" y="251625"/>
                </a:moveTo>
                <a:lnTo>
                  <a:pt x="154025" y="251625"/>
                </a:lnTo>
                <a:cubicBezTo>
                  <a:pt x="152639" y="251329"/>
                  <a:pt x="151616" y="250163"/>
                  <a:pt x="151512" y="248760"/>
                </a:cubicBezTo>
                <a:lnTo>
                  <a:pt x="151512" y="234652"/>
                </a:lnTo>
                <a:cubicBezTo>
                  <a:pt x="151511" y="223657"/>
                  <a:pt x="146591" y="213230"/>
                  <a:pt x="138080" y="206190"/>
                </a:cubicBezTo>
                <a:cubicBezTo>
                  <a:pt x="140611" y="206246"/>
                  <a:pt x="143120" y="206250"/>
                  <a:pt x="145467" y="206250"/>
                </a:cubicBezTo>
                <a:cubicBezTo>
                  <a:pt x="159224" y="206319"/>
                  <a:pt x="172966" y="205348"/>
                  <a:pt x="186575" y="203348"/>
                </a:cubicBezTo>
                <a:close/>
                <a:moveTo>
                  <a:pt x="186651" y="288000"/>
                </a:moveTo>
                <a:lnTo>
                  <a:pt x="77834" y="288000"/>
                </a:lnTo>
                <a:cubicBezTo>
                  <a:pt x="30544" y="288000"/>
                  <a:pt x="7557" y="267023"/>
                  <a:pt x="7557" y="223875"/>
                </a:cubicBezTo>
                <a:cubicBezTo>
                  <a:pt x="7557" y="191018"/>
                  <a:pt x="34289" y="151523"/>
                  <a:pt x="50252" y="130875"/>
                </a:cubicBezTo>
                <a:lnTo>
                  <a:pt x="53740" y="126278"/>
                </a:lnTo>
                <a:cubicBezTo>
                  <a:pt x="53860" y="126300"/>
                  <a:pt x="53996" y="126353"/>
                  <a:pt x="54117" y="126375"/>
                </a:cubicBezTo>
                <a:cubicBezTo>
                  <a:pt x="63371" y="144608"/>
                  <a:pt x="82988" y="155595"/>
                  <a:pt x="105216" y="155595"/>
                </a:cubicBezTo>
                <a:cubicBezTo>
                  <a:pt x="108615" y="155594"/>
                  <a:pt x="112010" y="155343"/>
                  <a:pt x="115372" y="154845"/>
                </a:cubicBezTo>
                <a:cubicBezTo>
                  <a:pt x="121717" y="153987"/>
                  <a:pt x="127893" y="152167"/>
                  <a:pt x="133682" y="149449"/>
                </a:cubicBezTo>
                <a:lnTo>
                  <a:pt x="131415" y="168600"/>
                </a:lnTo>
                <a:lnTo>
                  <a:pt x="135507" y="168750"/>
                </a:lnTo>
                <a:cubicBezTo>
                  <a:pt x="158513" y="169613"/>
                  <a:pt x="180707" y="167580"/>
                  <a:pt x="194982" y="163324"/>
                </a:cubicBezTo>
                <a:cubicBezTo>
                  <a:pt x="202441" y="160943"/>
                  <a:pt x="210520" y="164444"/>
                  <a:pt x="213832" y="171491"/>
                </a:cubicBezTo>
                <a:lnTo>
                  <a:pt x="214066" y="171971"/>
                </a:lnTo>
                <a:cubicBezTo>
                  <a:pt x="214170" y="172339"/>
                  <a:pt x="214296" y="172700"/>
                  <a:pt x="214444" y="173051"/>
                </a:cubicBezTo>
                <a:cubicBezTo>
                  <a:pt x="216751" y="180959"/>
                  <a:pt x="212320" y="189257"/>
                  <a:pt x="204432" y="191801"/>
                </a:cubicBezTo>
                <a:cubicBezTo>
                  <a:pt x="185195" y="196815"/>
                  <a:pt x="165351" y="199153"/>
                  <a:pt x="145467" y="198750"/>
                </a:cubicBezTo>
                <a:cubicBezTo>
                  <a:pt x="140899" y="198750"/>
                  <a:pt x="136176" y="198750"/>
                  <a:pt x="131683" y="198375"/>
                </a:cubicBezTo>
                <a:lnTo>
                  <a:pt x="102968" y="196875"/>
                </a:lnTo>
                <a:cubicBezTo>
                  <a:pt x="100895" y="196799"/>
                  <a:pt x="99136" y="198369"/>
                  <a:pt x="98993" y="200423"/>
                </a:cubicBezTo>
                <a:cubicBezTo>
                  <a:pt x="98881" y="202491"/>
                  <a:pt x="100480" y="204257"/>
                  <a:pt x="102564" y="204368"/>
                </a:cubicBezTo>
                <a:cubicBezTo>
                  <a:pt x="102565" y="204368"/>
                  <a:pt x="102566" y="204368"/>
                  <a:pt x="102567" y="204368"/>
                </a:cubicBezTo>
                <a:lnTo>
                  <a:pt x="113736" y="204949"/>
                </a:lnTo>
                <a:cubicBezTo>
                  <a:pt x="113860" y="204982"/>
                  <a:pt x="113987" y="205007"/>
                  <a:pt x="114114" y="205024"/>
                </a:cubicBezTo>
                <a:cubicBezTo>
                  <a:pt x="130591" y="205043"/>
                  <a:pt x="143944" y="218295"/>
                  <a:pt x="143963" y="234649"/>
                </a:cubicBezTo>
                <a:lnTo>
                  <a:pt x="143963" y="249000"/>
                </a:lnTo>
                <a:lnTo>
                  <a:pt x="143986" y="249416"/>
                </a:lnTo>
                <a:cubicBezTo>
                  <a:pt x="144380" y="254459"/>
                  <a:pt x="148317" y="258519"/>
                  <a:pt x="153379" y="259103"/>
                </a:cubicBezTo>
                <a:lnTo>
                  <a:pt x="185154" y="259125"/>
                </a:lnTo>
                <a:cubicBezTo>
                  <a:pt x="189969" y="259123"/>
                  <a:pt x="194505" y="261366"/>
                  <a:pt x="197404" y="265181"/>
                </a:cubicBezTo>
                <a:cubicBezTo>
                  <a:pt x="198273" y="266577"/>
                  <a:pt x="198890" y="268113"/>
                  <a:pt x="199229" y="269719"/>
                </a:cubicBezTo>
                <a:cubicBezTo>
                  <a:pt x="200963" y="277749"/>
                  <a:pt x="195999" y="285705"/>
                  <a:pt x="187984" y="28774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52" name="Freeform: Shape 351">
            <a:extLst>
              <a:ext uri="{FF2B5EF4-FFF2-40B4-BE49-F238E27FC236}">
                <a16:creationId xmlns:a16="http://schemas.microsoft.com/office/drawing/2014/main" id="{075DC88A-E77B-4AB7-A24C-0A1A7DC12427}"/>
              </a:ext>
            </a:extLst>
          </xdr:cNvPr>
          <xdr:cNvSpPr/>
        </xdr:nvSpPr>
        <xdr:spPr>
          <a:xfrm>
            <a:off x="15116741" y="7583019"/>
            <a:ext cx="15194" cy="15114"/>
          </a:xfrm>
          <a:custGeom>
            <a:avLst/>
            <a:gdLst>
              <a:gd name="connsiteX0" fmla="*/ 7671 w 15194"/>
              <a:gd name="connsiteY0" fmla="*/ 15114 h 15114"/>
              <a:gd name="connsiteX1" fmla="*/ 13595 w 15194"/>
              <a:gd name="connsiteY1" fmla="*/ 12114 h 15114"/>
              <a:gd name="connsiteX2" fmla="*/ 12287 w 15194"/>
              <a:gd name="connsiteY2" fmla="*/ 1587 h 15114"/>
              <a:gd name="connsiteX3" fmla="*/ 6613 w 15194"/>
              <a:gd name="connsiteY3" fmla="*/ 69 h 15114"/>
              <a:gd name="connsiteX4" fmla="*/ 6613 w 15194"/>
              <a:gd name="connsiteY4" fmla="*/ 69 h 15114"/>
              <a:gd name="connsiteX5" fmla="*/ 1610 w 15194"/>
              <a:gd name="connsiteY5" fmla="*/ 2998 h 15114"/>
              <a:gd name="connsiteX6" fmla="*/ 2882 w 15194"/>
              <a:gd name="connsiteY6" fmla="*/ 13503 h 15114"/>
              <a:gd name="connsiteX7" fmla="*/ 7656 w 15194"/>
              <a:gd name="connsiteY7" fmla="*/ 15099 h 1511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15194" h="15114">
                <a:moveTo>
                  <a:pt x="7671" y="15114"/>
                </a:moveTo>
                <a:cubicBezTo>
                  <a:pt x="10014" y="15105"/>
                  <a:pt x="12213" y="13992"/>
                  <a:pt x="13595" y="12114"/>
                </a:cubicBezTo>
                <a:cubicBezTo>
                  <a:pt x="16163" y="8849"/>
                  <a:pt x="15577" y="4136"/>
                  <a:pt x="12287" y="1587"/>
                </a:cubicBezTo>
                <a:cubicBezTo>
                  <a:pt x="10679" y="342"/>
                  <a:pt x="8633" y="-205"/>
                  <a:pt x="6613" y="69"/>
                </a:cubicBezTo>
                <a:lnTo>
                  <a:pt x="6613" y="69"/>
                </a:lnTo>
                <a:cubicBezTo>
                  <a:pt x="4617" y="342"/>
                  <a:pt x="2816" y="1397"/>
                  <a:pt x="1610" y="2998"/>
                </a:cubicBezTo>
                <a:cubicBezTo>
                  <a:pt x="-961" y="6247"/>
                  <a:pt x="-392" y="10950"/>
                  <a:pt x="2882" y="13503"/>
                </a:cubicBezTo>
                <a:cubicBezTo>
                  <a:pt x="4242" y="14562"/>
                  <a:pt x="5927" y="15126"/>
                  <a:pt x="7656" y="1509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53" name="Freeform: Shape 352">
            <a:extLst>
              <a:ext uri="{FF2B5EF4-FFF2-40B4-BE49-F238E27FC236}">
                <a16:creationId xmlns:a16="http://schemas.microsoft.com/office/drawing/2014/main" id="{4AF31495-A884-4B30-89BD-47A91BADA14E}"/>
              </a:ext>
            </a:extLst>
          </xdr:cNvPr>
          <xdr:cNvSpPr/>
        </xdr:nvSpPr>
        <xdr:spPr>
          <a:xfrm>
            <a:off x="15080611" y="7583802"/>
            <a:ext cx="35712" cy="46843"/>
          </a:xfrm>
          <a:custGeom>
            <a:avLst/>
            <a:gdLst>
              <a:gd name="connsiteX0" fmla="*/ 731 w 35712"/>
              <a:gd name="connsiteY0" fmla="*/ 33036 h 46843"/>
              <a:gd name="connsiteX1" fmla="*/ 8481 w 35712"/>
              <a:gd name="connsiteY1" fmla="*/ 44106 h 46843"/>
              <a:gd name="connsiteX2" fmla="*/ 18119 w 35712"/>
              <a:gd name="connsiteY2" fmla="*/ 46844 h 46843"/>
              <a:gd name="connsiteX3" fmla="*/ 21800 w 35712"/>
              <a:gd name="connsiteY3" fmla="*/ 46469 h 46843"/>
              <a:gd name="connsiteX4" fmla="*/ 32957 w 35712"/>
              <a:gd name="connsiteY4" fmla="*/ 38781 h 46843"/>
              <a:gd name="connsiteX5" fmla="*/ 35322 w 35712"/>
              <a:gd name="connsiteY5" fmla="*/ 25450 h 46843"/>
              <a:gd name="connsiteX6" fmla="*/ 30667 w 35712"/>
              <a:gd name="connsiteY6" fmla="*/ 10784 h 46843"/>
              <a:gd name="connsiteX7" fmla="*/ 14009 w 35712"/>
              <a:gd name="connsiteY7" fmla="*/ 36 h 46843"/>
              <a:gd name="connsiteX8" fmla="*/ 13287 w 35712"/>
              <a:gd name="connsiteY8" fmla="*/ 153 h 46843"/>
              <a:gd name="connsiteX9" fmla="*/ 289 w 35712"/>
              <a:gd name="connsiteY9" fmla="*/ 15153 h 46843"/>
              <a:gd name="connsiteX10" fmla="*/ 289 w 35712"/>
              <a:gd name="connsiteY10" fmla="*/ 30048 h 46843"/>
              <a:gd name="connsiteX11" fmla="*/ 7823 w 35712"/>
              <a:gd name="connsiteY11" fmla="*/ 29740 h 46843"/>
              <a:gd name="connsiteX12" fmla="*/ 7823 w 35712"/>
              <a:gd name="connsiteY12" fmla="*/ 15711 h 46843"/>
              <a:gd name="connsiteX13" fmla="*/ 7823 w 35712"/>
              <a:gd name="connsiteY13" fmla="*/ 15674 h 46843"/>
              <a:gd name="connsiteX14" fmla="*/ 12996 w 35712"/>
              <a:gd name="connsiteY14" fmla="*/ 8271 h 46843"/>
              <a:gd name="connsiteX15" fmla="*/ 16793 w 35712"/>
              <a:gd name="connsiteY15" fmla="*/ 7664 h 46843"/>
              <a:gd name="connsiteX16" fmla="*/ 23617 w 35712"/>
              <a:gd name="connsiteY16" fmla="*/ 13495 h 46843"/>
              <a:gd name="connsiteX17" fmla="*/ 27936 w 35712"/>
              <a:gd name="connsiteY17" fmla="*/ 27036 h 46843"/>
              <a:gd name="connsiteX18" fmla="*/ 26549 w 35712"/>
              <a:gd name="connsiteY18" fmla="*/ 34814 h 46843"/>
              <a:gd name="connsiteX19" fmla="*/ 20318 w 35712"/>
              <a:gd name="connsiteY19" fmla="*/ 39123 h 46843"/>
              <a:gd name="connsiteX20" fmla="*/ 12486 w 35712"/>
              <a:gd name="connsiteY20" fmla="*/ 37746 h 46843"/>
              <a:gd name="connsiteX21" fmla="*/ 8194 w 35712"/>
              <a:gd name="connsiteY21" fmla="*/ 31803 h 468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</a:cxnLst>
            <a:rect l="l" t="t" r="r" b="b"/>
            <a:pathLst>
              <a:path w="35712" h="46843">
                <a:moveTo>
                  <a:pt x="731" y="33036"/>
                </a:moveTo>
                <a:cubicBezTo>
                  <a:pt x="1649" y="37636"/>
                  <a:pt x="4458" y="41648"/>
                  <a:pt x="8481" y="44106"/>
                </a:cubicBezTo>
                <a:cubicBezTo>
                  <a:pt x="11370" y="45900"/>
                  <a:pt x="14711" y="46848"/>
                  <a:pt x="18119" y="46844"/>
                </a:cubicBezTo>
                <a:cubicBezTo>
                  <a:pt x="19356" y="46842"/>
                  <a:pt x="20589" y="46716"/>
                  <a:pt x="21800" y="46469"/>
                </a:cubicBezTo>
                <a:cubicBezTo>
                  <a:pt x="26433" y="45556"/>
                  <a:pt x="30475" y="42771"/>
                  <a:pt x="32957" y="38781"/>
                </a:cubicBezTo>
                <a:cubicBezTo>
                  <a:pt x="35443" y="34805"/>
                  <a:pt x="36290" y="30030"/>
                  <a:pt x="35322" y="25450"/>
                </a:cubicBezTo>
                <a:cubicBezTo>
                  <a:pt x="34183" y="20442"/>
                  <a:pt x="32626" y="15536"/>
                  <a:pt x="30667" y="10784"/>
                </a:cubicBezTo>
                <a:cubicBezTo>
                  <a:pt x="28133" y="3929"/>
                  <a:pt x="21349" y="-447"/>
                  <a:pt x="14009" y="36"/>
                </a:cubicBezTo>
                <a:lnTo>
                  <a:pt x="13287" y="153"/>
                </a:lnTo>
                <a:cubicBezTo>
                  <a:pt x="6130" y="1818"/>
                  <a:pt x="877" y="7881"/>
                  <a:pt x="289" y="15153"/>
                </a:cubicBezTo>
                <a:cubicBezTo>
                  <a:pt x="-96" y="20110"/>
                  <a:pt x="-96" y="25090"/>
                  <a:pt x="289" y="30048"/>
                </a:cubicBezTo>
                <a:close/>
                <a:moveTo>
                  <a:pt x="7823" y="29740"/>
                </a:moveTo>
                <a:cubicBezTo>
                  <a:pt x="7464" y="25071"/>
                  <a:pt x="7464" y="20381"/>
                  <a:pt x="7823" y="15711"/>
                </a:cubicBezTo>
                <a:lnTo>
                  <a:pt x="7823" y="15674"/>
                </a:lnTo>
                <a:cubicBezTo>
                  <a:pt x="8090" y="12466"/>
                  <a:pt x="10062" y="9643"/>
                  <a:pt x="12996" y="8271"/>
                </a:cubicBezTo>
                <a:cubicBezTo>
                  <a:pt x="14161" y="7664"/>
                  <a:pt x="15495" y="7451"/>
                  <a:pt x="16793" y="7664"/>
                </a:cubicBezTo>
                <a:cubicBezTo>
                  <a:pt x="19959" y="8248"/>
                  <a:pt x="22565" y="10475"/>
                  <a:pt x="23617" y="13495"/>
                </a:cubicBezTo>
                <a:cubicBezTo>
                  <a:pt x="25434" y="17882"/>
                  <a:pt x="26878" y="22411"/>
                  <a:pt x="27936" y="27036"/>
                </a:cubicBezTo>
                <a:cubicBezTo>
                  <a:pt x="28493" y="29709"/>
                  <a:pt x="27997" y="32493"/>
                  <a:pt x="26549" y="34814"/>
                </a:cubicBezTo>
                <a:cubicBezTo>
                  <a:pt x="25167" y="37048"/>
                  <a:pt x="22909" y="38610"/>
                  <a:pt x="20318" y="39123"/>
                </a:cubicBezTo>
                <a:cubicBezTo>
                  <a:pt x="17626" y="39680"/>
                  <a:pt x="14822" y="39187"/>
                  <a:pt x="12486" y="37746"/>
                </a:cubicBezTo>
                <a:cubicBezTo>
                  <a:pt x="10306" y="36421"/>
                  <a:pt x="8758" y="34277"/>
                  <a:pt x="8194" y="3180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54" name="Freeform: Shape 353">
            <a:extLst>
              <a:ext uri="{FF2B5EF4-FFF2-40B4-BE49-F238E27FC236}">
                <a16:creationId xmlns:a16="http://schemas.microsoft.com/office/drawing/2014/main" id="{319B0B2C-44B7-443D-90EC-5BC8463037F2}"/>
              </a:ext>
            </a:extLst>
          </xdr:cNvPr>
          <xdr:cNvSpPr/>
        </xdr:nvSpPr>
        <xdr:spPr>
          <a:xfrm>
            <a:off x="15059327" y="7591308"/>
            <a:ext cx="15173" cy="15072"/>
          </a:xfrm>
          <a:custGeom>
            <a:avLst/>
            <a:gdLst>
              <a:gd name="connsiteX0" fmla="*/ 7654 w 15173"/>
              <a:gd name="connsiteY0" fmla="*/ 15072 h 15072"/>
              <a:gd name="connsiteX1" fmla="*/ 8576 w 15173"/>
              <a:gd name="connsiteY1" fmla="*/ 15016 h 15072"/>
              <a:gd name="connsiteX2" fmla="*/ 15120 w 15173"/>
              <a:gd name="connsiteY2" fmla="*/ 6548 h 15072"/>
              <a:gd name="connsiteX3" fmla="*/ 12169 w 15173"/>
              <a:gd name="connsiteY3" fmla="*/ 1583 h 15072"/>
              <a:gd name="connsiteX4" fmla="*/ 6589 w 15173"/>
              <a:gd name="connsiteY4" fmla="*/ 46 h 15072"/>
              <a:gd name="connsiteX5" fmla="*/ 6589 w 15173"/>
              <a:gd name="connsiteY5" fmla="*/ 46 h 15072"/>
              <a:gd name="connsiteX6" fmla="*/ 1590 w 15173"/>
              <a:gd name="connsiteY6" fmla="*/ 2971 h 15072"/>
              <a:gd name="connsiteX7" fmla="*/ 2921 w 15173"/>
              <a:gd name="connsiteY7" fmla="*/ 13495 h 15072"/>
              <a:gd name="connsiteX8" fmla="*/ 7635 w 15173"/>
              <a:gd name="connsiteY8" fmla="*/ 15072 h 150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5173" h="15072">
                <a:moveTo>
                  <a:pt x="7654" y="15072"/>
                </a:moveTo>
                <a:cubicBezTo>
                  <a:pt x="7962" y="15072"/>
                  <a:pt x="8270" y="15053"/>
                  <a:pt x="8576" y="15016"/>
                </a:cubicBezTo>
                <a:cubicBezTo>
                  <a:pt x="12706" y="14415"/>
                  <a:pt x="15606" y="10663"/>
                  <a:pt x="15120" y="6548"/>
                </a:cubicBezTo>
                <a:cubicBezTo>
                  <a:pt x="14842" y="4569"/>
                  <a:pt x="13780" y="2782"/>
                  <a:pt x="12169" y="1583"/>
                </a:cubicBezTo>
                <a:cubicBezTo>
                  <a:pt x="10576" y="381"/>
                  <a:pt x="8579" y="-169"/>
                  <a:pt x="6589" y="46"/>
                </a:cubicBezTo>
                <a:lnTo>
                  <a:pt x="6589" y="46"/>
                </a:lnTo>
                <a:cubicBezTo>
                  <a:pt x="4597" y="322"/>
                  <a:pt x="2797" y="1374"/>
                  <a:pt x="1590" y="2971"/>
                </a:cubicBezTo>
                <a:cubicBezTo>
                  <a:pt x="-971" y="6241"/>
                  <a:pt x="-375" y="10953"/>
                  <a:pt x="2921" y="13495"/>
                </a:cubicBezTo>
                <a:cubicBezTo>
                  <a:pt x="4268" y="14533"/>
                  <a:pt x="5929" y="15089"/>
                  <a:pt x="7635" y="1507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8</xdr:col>
      <xdr:colOff>131974</xdr:colOff>
      <xdr:row>13</xdr:row>
      <xdr:rowOff>116961</xdr:rowOff>
    </xdr:from>
    <xdr:to>
      <xdr:col>8</xdr:col>
      <xdr:colOff>447193</xdr:colOff>
      <xdr:row>13</xdr:row>
      <xdr:rowOff>413042</xdr:rowOff>
    </xdr:to>
    <xdr:grpSp>
      <xdr:nvGrpSpPr>
        <xdr:cNvPr id="355" name="monkey" descr="Monkey outline">
          <a:extLst>
            <a:ext uri="{FF2B5EF4-FFF2-40B4-BE49-F238E27FC236}">
              <a16:creationId xmlns:a16="http://schemas.microsoft.com/office/drawing/2014/main" id="{3F2BAEE3-9C04-489B-8414-E376A7A9A0B6}"/>
            </a:ext>
          </a:extLst>
        </xdr:cNvPr>
        <xdr:cNvGrpSpPr>
          <a:grpSpLocks noChangeAspect="1"/>
        </xdr:cNvGrpSpPr>
      </xdr:nvGrpSpPr>
      <xdr:grpSpPr>
        <a:xfrm>
          <a:off x="7247149" y="6155811"/>
          <a:ext cx="315219" cy="296081"/>
          <a:chOff x="13674022" y="7509476"/>
          <a:chExt cx="315219" cy="296081"/>
        </a:xfrm>
        <a:solidFill>
          <a:srgbClr val="1F4E78"/>
        </a:solidFill>
      </xdr:grpSpPr>
      <xdr:sp macro="" textlink="">
        <xdr:nvSpPr>
          <xdr:cNvPr id="356" name="Freeform: Shape 355">
            <a:extLst>
              <a:ext uri="{FF2B5EF4-FFF2-40B4-BE49-F238E27FC236}">
                <a16:creationId xmlns:a16="http://schemas.microsoft.com/office/drawing/2014/main" id="{12FFC996-0252-4ADA-A9DA-A56B60664594}"/>
              </a:ext>
            </a:extLst>
          </xdr:cNvPr>
          <xdr:cNvSpPr/>
        </xdr:nvSpPr>
        <xdr:spPr>
          <a:xfrm>
            <a:off x="13674022" y="7569958"/>
            <a:ext cx="231831" cy="235599"/>
          </a:xfrm>
          <a:custGeom>
            <a:avLst/>
            <a:gdLst>
              <a:gd name="connsiteX0" fmla="*/ 77985 w 231831"/>
              <a:gd name="connsiteY0" fmla="*/ 176327 h 235599"/>
              <a:gd name="connsiteX1" fmla="*/ 68010 w 231831"/>
              <a:gd name="connsiteY1" fmla="*/ 176256 h 235599"/>
              <a:gd name="connsiteX2" fmla="*/ 49118 w 231831"/>
              <a:gd name="connsiteY2" fmla="*/ 157506 h 235599"/>
              <a:gd name="connsiteX3" fmla="*/ 49118 w 231831"/>
              <a:gd name="connsiteY3" fmla="*/ 25266 h 235599"/>
              <a:gd name="connsiteX4" fmla="*/ 26958 w 231831"/>
              <a:gd name="connsiteY4" fmla="*/ 118 h 235599"/>
              <a:gd name="connsiteX5" fmla="*/ 117 w 231831"/>
              <a:gd name="connsiteY5" fmla="*/ 21995 h 235599"/>
              <a:gd name="connsiteX6" fmla="*/ 0 w 231831"/>
              <a:gd name="connsiteY6" fmla="*/ 24381 h 235599"/>
              <a:gd name="connsiteX7" fmla="*/ 0 w 231831"/>
              <a:gd name="connsiteY7" fmla="*/ 48756 h 235599"/>
              <a:gd name="connsiteX8" fmla="*/ 3778 w 231831"/>
              <a:gd name="connsiteY8" fmla="*/ 52506 h 235599"/>
              <a:gd name="connsiteX9" fmla="*/ 7557 w 231831"/>
              <a:gd name="connsiteY9" fmla="*/ 48756 h 235599"/>
              <a:gd name="connsiteX10" fmla="*/ 7557 w 231831"/>
              <a:gd name="connsiteY10" fmla="*/ 24381 h 235599"/>
              <a:gd name="connsiteX11" fmla="*/ 13122 w 231831"/>
              <a:gd name="connsiteY11" fmla="*/ 11890 h 235599"/>
              <a:gd name="connsiteX12" fmla="*/ 26241 w 231831"/>
              <a:gd name="connsiteY12" fmla="*/ 7585 h 235599"/>
              <a:gd name="connsiteX13" fmla="*/ 41562 w 231831"/>
              <a:gd name="connsiteY13" fmla="*/ 25266 h 235599"/>
              <a:gd name="connsiteX14" fmla="*/ 41562 w 231831"/>
              <a:gd name="connsiteY14" fmla="*/ 157506 h 235599"/>
              <a:gd name="connsiteX15" fmla="*/ 68010 w 231831"/>
              <a:gd name="connsiteY15" fmla="*/ 183756 h 235599"/>
              <a:gd name="connsiteX16" fmla="*/ 75227 w 231831"/>
              <a:gd name="connsiteY16" fmla="*/ 183756 h 235599"/>
              <a:gd name="connsiteX17" fmla="*/ 164974 w 231831"/>
              <a:gd name="connsiteY17" fmla="*/ 235506 h 235599"/>
              <a:gd name="connsiteX18" fmla="*/ 169258 w 231831"/>
              <a:gd name="connsiteY18" fmla="*/ 235600 h 235599"/>
              <a:gd name="connsiteX19" fmla="*/ 212940 w 231831"/>
              <a:gd name="connsiteY19" fmla="*/ 235600 h 235599"/>
              <a:gd name="connsiteX20" fmla="*/ 231832 w 231831"/>
              <a:gd name="connsiteY20" fmla="*/ 216850 h 235599"/>
              <a:gd name="connsiteX21" fmla="*/ 212940 w 231831"/>
              <a:gd name="connsiteY21" fmla="*/ 198100 h 235599"/>
              <a:gd name="connsiteX22" fmla="*/ 190629 w 231831"/>
              <a:gd name="connsiteY22" fmla="*/ 198100 h 235599"/>
              <a:gd name="connsiteX23" fmla="*/ 185902 w 231831"/>
              <a:gd name="connsiteY23" fmla="*/ 139131 h 235599"/>
              <a:gd name="connsiteX24" fmla="*/ 152471 w 231831"/>
              <a:gd name="connsiteY24" fmla="*/ 125181 h 235599"/>
              <a:gd name="connsiteX25" fmla="*/ 152112 w 231831"/>
              <a:gd name="connsiteY25" fmla="*/ 125181 h 235599"/>
              <a:gd name="connsiteX26" fmla="*/ 130614 w 231831"/>
              <a:gd name="connsiteY26" fmla="*/ 130937 h 235599"/>
              <a:gd name="connsiteX27" fmla="*/ 128059 w 231831"/>
              <a:gd name="connsiteY27" fmla="*/ 132171 h 235599"/>
              <a:gd name="connsiteX28" fmla="*/ 125551 w 231831"/>
              <a:gd name="connsiteY28" fmla="*/ 136851 h 235599"/>
              <a:gd name="connsiteX29" fmla="*/ 130266 w 231831"/>
              <a:gd name="connsiteY29" fmla="*/ 139345 h 235599"/>
              <a:gd name="connsiteX30" fmla="*/ 134184 w 231831"/>
              <a:gd name="connsiteY30" fmla="*/ 137548 h 235599"/>
              <a:gd name="connsiteX31" fmla="*/ 152245 w 231831"/>
              <a:gd name="connsiteY31" fmla="*/ 132673 h 235599"/>
              <a:gd name="connsiteX32" fmla="*/ 152543 w 231831"/>
              <a:gd name="connsiteY32" fmla="*/ 132673 h 235599"/>
              <a:gd name="connsiteX33" fmla="*/ 180503 w 231831"/>
              <a:gd name="connsiteY33" fmla="*/ 144366 h 235599"/>
              <a:gd name="connsiteX34" fmla="*/ 179820 w 231831"/>
              <a:gd name="connsiteY34" fmla="*/ 199145 h 235599"/>
              <a:gd name="connsiteX35" fmla="*/ 179819 w 231831"/>
              <a:gd name="connsiteY35" fmla="*/ 199146 h 235599"/>
              <a:gd name="connsiteX36" fmla="*/ 179751 w 231831"/>
              <a:gd name="connsiteY36" fmla="*/ 204449 h 235599"/>
              <a:gd name="connsiteX37" fmla="*/ 182464 w 231831"/>
              <a:gd name="connsiteY37" fmla="*/ 205581 h 235599"/>
              <a:gd name="connsiteX38" fmla="*/ 212959 w 231831"/>
              <a:gd name="connsiteY38" fmla="*/ 205581 h 235599"/>
              <a:gd name="connsiteX39" fmla="*/ 224294 w 231831"/>
              <a:gd name="connsiteY39" fmla="*/ 216831 h 235599"/>
              <a:gd name="connsiteX40" fmla="*/ 212959 w 231831"/>
              <a:gd name="connsiteY40" fmla="*/ 228081 h 235599"/>
              <a:gd name="connsiteX41" fmla="*/ 169024 w 231831"/>
              <a:gd name="connsiteY41" fmla="*/ 228081 h 235599"/>
              <a:gd name="connsiteX42" fmla="*/ 164804 w 231831"/>
              <a:gd name="connsiteY42" fmla="*/ 228006 h 235599"/>
              <a:gd name="connsiteX43" fmla="*/ 81639 w 231831"/>
              <a:gd name="connsiteY43" fmla="*/ 179042 h 235599"/>
              <a:gd name="connsiteX44" fmla="*/ 77985 w 231831"/>
              <a:gd name="connsiteY44" fmla="*/ 176327 h 2355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</a:cxnLst>
            <a:rect l="l" t="t" r="r" b="b"/>
            <a:pathLst>
              <a:path w="231831" h="235599">
                <a:moveTo>
                  <a:pt x="77985" y="176327"/>
                </a:moveTo>
                <a:lnTo>
                  <a:pt x="68010" y="176256"/>
                </a:lnTo>
                <a:cubicBezTo>
                  <a:pt x="57582" y="176243"/>
                  <a:pt x="49131" y="167856"/>
                  <a:pt x="49118" y="157506"/>
                </a:cubicBezTo>
                <a:lnTo>
                  <a:pt x="49118" y="25266"/>
                </a:lnTo>
                <a:cubicBezTo>
                  <a:pt x="49264" y="12505"/>
                  <a:pt x="39721" y="1675"/>
                  <a:pt x="26958" y="118"/>
                </a:cubicBezTo>
                <a:cubicBezTo>
                  <a:pt x="13460" y="-1197"/>
                  <a:pt x="1443" y="8598"/>
                  <a:pt x="117" y="21995"/>
                </a:cubicBezTo>
                <a:cubicBezTo>
                  <a:pt x="39" y="22788"/>
                  <a:pt x="0" y="23584"/>
                  <a:pt x="0" y="24381"/>
                </a:cubicBezTo>
                <a:lnTo>
                  <a:pt x="0" y="48756"/>
                </a:lnTo>
                <a:cubicBezTo>
                  <a:pt x="0" y="50827"/>
                  <a:pt x="1692" y="52506"/>
                  <a:pt x="3778" y="52506"/>
                </a:cubicBezTo>
                <a:cubicBezTo>
                  <a:pt x="5865" y="52506"/>
                  <a:pt x="7557" y="50827"/>
                  <a:pt x="7557" y="48756"/>
                </a:cubicBezTo>
                <a:lnTo>
                  <a:pt x="7557" y="24381"/>
                </a:lnTo>
                <a:cubicBezTo>
                  <a:pt x="7562" y="19626"/>
                  <a:pt x="9582" y="15093"/>
                  <a:pt x="13122" y="11890"/>
                </a:cubicBezTo>
                <a:cubicBezTo>
                  <a:pt x="16673" y="8658"/>
                  <a:pt x="21449" y="7091"/>
                  <a:pt x="26241" y="7585"/>
                </a:cubicBezTo>
                <a:cubicBezTo>
                  <a:pt x="35138" y="8747"/>
                  <a:pt x="41735" y="16360"/>
                  <a:pt x="41562" y="25266"/>
                </a:cubicBezTo>
                <a:lnTo>
                  <a:pt x="41562" y="157506"/>
                </a:lnTo>
                <a:cubicBezTo>
                  <a:pt x="41578" y="171997"/>
                  <a:pt x="53410" y="183739"/>
                  <a:pt x="68010" y="183756"/>
                </a:cubicBezTo>
                <a:lnTo>
                  <a:pt x="75227" y="183756"/>
                </a:lnTo>
                <a:cubicBezTo>
                  <a:pt x="85353" y="215878"/>
                  <a:pt x="117703" y="234490"/>
                  <a:pt x="164974" y="235506"/>
                </a:cubicBezTo>
                <a:lnTo>
                  <a:pt x="169258" y="235600"/>
                </a:lnTo>
                <a:lnTo>
                  <a:pt x="212940" y="235600"/>
                </a:lnTo>
                <a:cubicBezTo>
                  <a:pt x="223373" y="235600"/>
                  <a:pt x="231832" y="227205"/>
                  <a:pt x="231832" y="216850"/>
                </a:cubicBezTo>
                <a:cubicBezTo>
                  <a:pt x="231832" y="206494"/>
                  <a:pt x="223373" y="198100"/>
                  <a:pt x="212940" y="198100"/>
                </a:cubicBezTo>
                <a:lnTo>
                  <a:pt x="190629" y="198100"/>
                </a:lnTo>
                <a:cubicBezTo>
                  <a:pt x="203571" y="179880"/>
                  <a:pt x="201584" y="155091"/>
                  <a:pt x="185902" y="139131"/>
                </a:cubicBezTo>
                <a:cubicBezTo>
                  <a:pt x="177097" y="130215"/>
                  <a:pt x="165050" y="125188"/>
                  <a:pt x="152471" y="125181"/>
                </a:cubicBezTo>
                <a:lnTo>
                  <a:pt x="152112" y="125181"/>
                </a:lnTo>
                <a:cubicBezTo>
                  <a:pt x="144568" y="125242"/>
                  <a:pt x="137166" y="127224"/>
                  <a:pt x="130614" y="130937"/>
                </a:cubicBezTo>
                <a:cubicBezTo>
                  <a:pt x="129590" y="131485"/>
                  <a:pt x="128592" y="131923"/>
                  <a:pt x="128059" y="132171"/>
                </a:cubicBezTo>
                <a:cubicBezTo>
                  <a:pt x="126134" y="132858"/>
                  <a:pt x="125049" y="134882"/>
                  <a:pt x="125551" y="136851"/>
                </a:cubicBezTo>
                <a:cubicBezTo>
                  <a:pt x="126159" y="138832"/>
                  <a:pt x="128270" y="139948"/>
                  <a:pt x="130266" y="139345"/>
                </a:cubicBezTo>
                <a:cubicBezTo>
                  <a:pt x="131627" y="138872"/>
                  <a:pt x="132939" y="138271"/>
                  <a:pt x="134184" y="137548"/>
                </a:cubicBezTo>
                <a:cubicBezTo>
                  <a:pt x="139670" y="134380"/>
                  <a:pt x="145898" y="132698"/>
                  <a:pt x="152245" y="132673"/>
                </a:cubicBezTo>
                <a:lnTo>
                  <a:pt x="152543" y="132673"/>
                </a:lnTo>
                <a:cubicBezTo>
                  <a:pt x="163066" y="132692"/>
                  <a:pt x="173140" y="136905"/>
                  <a:pt x="180503" y="144366"/>
                </a:cubicBezTo>
                <a:cubicBezTo>
                  <a:pt x="195555" y="159680"/>
                  <a:pt x="195250" y="184205"/>
                  <a:pt x="179820" y="199145"/>
                </a:cubicBezTo>
                <a:cubicBezTo>
                  <a:pt x="179820" y="199145"/>
                  <a:pt x="179819" y="199145"/>
                  <a:pt x="179819" y="199146"/>
                </a:cubicBezTo>
                <a:cubicBezTo>
                  <a:pt x="178325" y="200592"/>
                  <a:pt x="178294" y="202966"/>
                  <a:pt x="179751" y="204449"/>
                </a:cubicBezTo>
                <a:cubicBezTo>
                  <a:pt x="180464" y="205174"/>
                  <a:pt x="181442" y="205583"/>
                  <a:pt x="182464" y="205581"/>
                </a:cubicBezTo>
                <a:lnTo>
                  <a:pt x="212959" y="205581"/>
                </a:lnTo>
                <a:cubicBezTo>
                  <a:pt x="219219" y="205581"/>
                  <a:pt x="224294" y="210617"/>
                  <a:pt x="224294" y="216831"/>
                </a:cubicBezTo>
                <a:cubicBezTo>
                  <a:pt x="224294" y="223044"/>
                  <a:pt x="219219" y="228081"/>
                  <a:pt x="212959" y="228081"/>
                </a:cubicBezTo>
                <a:lnTo>
                  <a:pt x="169024" y="228081"/>
                </a:lnTo>
                <a:lnTo>
                  <a:pt x="164804" y="228006"/>
                </a:lnTo>
                <a:cubicBezTo>
                  <a:pt x="103595" y="226686"/>
                  <a:pt x="86430" y="196903"/>
                  <a:pt x="81639" y="179042"/>
                </a:cubicBezTo>
                <a:cubicBezTo>
                  <a:pt x="81186" y="177417"/>
                  <a:pt x="79684" y="176301"/>
                  <a:pt x="77985" y="17632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57" name="Freeform: Shape 356">
            <a:extLst>
              <a:ext uri="{FF2B5EF4-FFF2-40B4-BE49-F238E27FC236}">
                <a16:creationId xmlns:a16="http://schemas.microsoft.com/office/drawing/2014/main" id="{7302D598-DE30-42DD-98A7-F2F26D652624}"/>
              </a:ext>
            </a:extLst>
          </xdr:cNvPr>
          <xdr:cNvSpPr/>
        </xdr:nvSpPr>
        <xdr:spPr>
          <a:xfrm>
            <a:off x="13746729" y="7509476"/>
            <a:ext cx="242513" cy="259237"/>
          </a:xfrm>
          <a:custGeom>
            <a:avLst/>
            <a:gdLst>
              <a:gd name="connsiteX0" fmla="*/ 242441 w 242513"/>
              <a:gd name="connsiteY0" fmla="*/ 65978 h 259237"/>
              <a:gd name="connsiteX1" fmla="*/ 240552 w 242513"/>
              <a:gd name="connsiteY1" fmla="*/ 61193 h 259237"/>
              <a:gd name="connsiteX2" fmla="*/ 229115 w 242513"/>
              <a:gd name="connsiteY2" fmla="*/ 46943 h 259237"/>
              <a:gd name="connsiteX3" fmla="*/ 175889 w 242513"/>
              <a:gd name="connsiteY3" fmla="*/ 0 h 259237"/>
              <a:gd name="connsiteX4" fmla="*/ 174877 w 242513"/>
              <a:gd name="connsiteY4" fmla="*/ 0 h 259237"/>
              <a:gd name="connsiteX5" fmla="*/ 122237 w 242513"/>
              <a:gd name="connsiteY5" fmla="*/ 51281 h 259237"/>
              <a:gd name="connsiteX6" fmla="*/ 122445 w 242513"/>
              <a:gd name="connsiteY6" fmla="*/ 56985 h 259237"/>
              <a:gd name="connsiteX7" fmla="*/ 122445 w 242513"/>
              <a:gd name="connsiteY7" fmla="*/ 57041 h 259237"/>
              <a:gd name="connsiteX8" fmla="*/ 120242 w 242513"/>
              <a:gd name="connsiteY8" fmla="*/ 60289 h 259237"/>
              <a:gd name="connsiteX9" fmla="*/ 0 w 242513"/>
              <a:gd name="connsiteY9" fmla="*/ 219720 h 259237"/>
              <a:gd name="connsiteX10" fmla="*/ 0 w 242513"/>
              <a:gd name="connsiteY10" fmla="*/ 225698 h 259237"/>
              <a:gd name="connsiteX11" fmla="*/ 3778 w 242513"/>
              <a:gd name="connsiteY11" fmla="*/ 229448 h 259237"/>
              <a:gd name="connsiteX12" fmla="*/ 7557 w 242513"/>
              <a:gd name="connsiteY12" fmla="*/ 225698 h 259237"/>
              <a:gd name="connsiteX13" fmla="*/ 7557 w 242513"/>
              <a:gd name="connsiteY13" fmla="*/ 219799 h 259237"/>
              <a:gd name="connsiteX14" fmla="*/ 122690 w 242513"/>
              <a:gd name="connsiteY14" fmla="*/ 67384 h 259237"/>
              <a:gd name="connsiteX15" fmla="*/ 124088 w 242513"/>
              <a:gd name="connsiteY15" fmla="*/ 66788 h 259237"/>
              <a:gd name="connsiteX16" fmla="*/ 125501 w 242513"/>
              <a:gd name="connsiteY16" fmla="*/ 71115 h 259237"/>
              <a:gd name="connsiteX17" fmla="*/ 130490 w 242513"/>
              <a:gd name="connsiteY17" fmla="*/ 73015 h 259237"/>
              <a:gd name="connsiteX18" fmla="*/ 132476 w 242513"/>
              <a:gd name="connsiteY18" fmla="*/ 68235 h 259237"/>
              <a:gd name="connsiteX19" fmla="*/ 129983 w 242513"/>
              <a:gd name="connsiteY19" fmla="*/ 56486 h 259237"/>
              <a:gd name="connsiteX20" fmla="*/ 129983 w 242513"/>
              <a:gd name="connsiteY20" fmla="*/ 56456 h 259237"/>
              <a:gd name="connsiteX21" fmla="*/ 129983 w 242513"/>
              <a:gd name="connsiteY21" fmla="*/ 56400 h 259237"/>
              <a:gd name="connsiteX22" fmla="*/ 170795 w 242513"/>
              <a:gd name="connsiteY22" fmla="*/ 7681 h 259237"/>
              <a:gd name="connsiteX23" fmla="*/ 174945 w 242513"/>
              <a:gd name="connsiteY23" fmla="*/ 7493 h 259237"/>
              <a:gd name="connsiteX24" fmla="*/ 175814 w 242513"/>
              <a:gd name="connsiteY24" fmla="*/ 7493 h 259237"/>
              <a:gd name="connsiteX25" fmla="*/ 221607 w 242513"/>
              <a:gd name="connsiteY25" fmla="*/ 48266 h 259237"/>
              <a:gd name="connsiteX26" fmla="*/ 222431 w 242513"/>
              <a:gd name="connsiteY26" fmla="*/ 50603 h 259237"/>
              <a:gd name="connsiteX27" fmla="*/ 234635 w 242513"/>
              <a:gd name="connsiteY27" fmla="*/ 65813 h 259237"/>
              <a:gd name="connsiteX28" fmla="*/ 234919 w 242513"/>
              <a:gd name="connsiteY28" fmla="*/ 66484 h 259237"/>
              <a:gd name="connsiteX29" fmla="*/ 223742 w 242513"/>
              <a:gd name="connsiteY29" fmla="*/ 92359 h 259237"/>
              <a:gd name="connsiteX30" fmla="*/ 219340 w 242513"/>
              <a:gd name="connsiteY30" fmla="*/ 93555 h 259237"/>
              <a:gd name="connsiteX31" fmla="*/ 180480 w 242513"/>
              <a:gd name="connsiteY31" fmla="*/ 93555 h 259237"/>
              <a:gd name="connsiteX32" fmla="*/ 171900 w 242513"/>
              <a:gd name="connsiteY32" fmla="*/ 102068 h 259237"/>
              <a:gd name="connsiteX33" fmla="*/ 172002 w 242513"/>
              <a:gd name="connsiteY33" fmla="*/ 102945 h 259237"/>
              <a:gd name="connsiteX34" fmla="*/ 173025 w 242513"/>
              <a:gd name="connsiteY34" fmla="*/ 129548 h 259237"/>
              <a:gd name="connsiteX35" fmla="*/ 140656 w 242513"/>
              <a:gd name="connsiteY35" fmla="*/ 172943 h 259237"/>
              <a:gd name="connsiteX36" fmla="*/ 131913 w 242513"/>
              <a:gd name="connsiteY36" fmla="*/ 180409 h 259237"/>
              <a:gd name="connsiteX37" fmla="*/ 131595 w 242513"/>
              <a:gd name="connsiteY37" fmla="*/ 185703 h 259237"/>
              <a:gd name="connsiteX38" fmla="*/ 132669 w 242513"/>
              <a:gd name="connsiteY38" fmla="*/ 186536 h 259237"/>
              <a:gd name="connsiteX39" fmla="*/ 178636 w 242513"/>
              <a:gd name="connsiteY39" fmla="*/ 210638 h 259237"/>
              <a:gd name="connsiteX40" fmla="*/ 184391 w 242513"/>
              <a:gd name="connsiteY40" fmla="*/ 220646 h 259237"/>
              <a:gd name="connsiteX41" fmla="*/ 184391 w 242513"/>
              <a:gd name="connsiteY41" fmla="*/ 240488 h 259237"/>
              <a:gd name="connsiteX42" fmla="*/ 173056 w 242513"/>
              <a:gd name="connsiteY42" fmla="*/ 251738 h 259237"/>
              <a:gd name="connsiteX43" fmla="*/ 161721 w 242513"/>
              <a:gd name="connsiteY43" fmla="*/ 240488 h 259237"/>
              <a:gd name="connsiteX44" fmla="*/ 161721 w 242513"/>
              <a:gd name="connsiteY44" fmla="*/ 229699 h 259237"/>
              <a:gd name="connsiteX45" fmla="*/ 159711 w 242513"/>
              <a:gd name="connsiteY45" fmla="*/ 226384 h 259237"/>
              <a:gd name="connsiteX46" fmla="*/ 137313 w 242513"/>
              <a:gd name="connsiteY46" fmla="*/ 214631 h 259237"/>
              <a:gd name="connsiteX47" fmla="*/ 132204 w 242513"/>
              <a:gd name="connsiteY47" fmla="*/ 216191 h 259237"/>
              <a:gd name="connsiteX48" fmla="*/ 133776 w 242513"/>
              <a:gd name="connsiteY48" fmla="*/ 221261 h 259237"/>
              <a:gd name="connsiteX49" fmla="*/ 154141 w 242513"/>
              <a:gd name="connsiteY49" fmla="*/ 231956 h 259237"/>
              <a:gd name="connsiteX50" fmla="*/ 154141 w 242513"/>
              <a:gd name="connsiteY50" fmla="*/ 240488 h 259237"/>
              <a:gd name="connsiteX51" fmla="*/ 173033 w 242513"/>
              <a:gd name="connsiteY51" fmla="*/ 259238 h 259237"/>
              <a:gd name="connsiteX52" fmla="*/ 191925 w 242513"/>
              <a:gd name="connsiteY52" fmla="*/ 240488 h 259237"/>
              <a:gd name="connsiteX53" fmla="*/ 191925 w 242513"/>
              <a:gd name="connsiteY53" fmla="*/ 220714 h 259237"/>
              <a:gd name="connsiteX54" fmla="*/ 182237 w 242513"/>
              <a:gd name="connsiteY54" fmla="*/ 204068 h 259237"/>
              <a:gd name="connsiteX55" fmla="*/ 141053 w 242513"/>
              <a:gd name="connsiteY55" fmla="*/ 182471 h 259237"/>
              <a:gd name="connsiteX56" fmla="*/ 145546 w 242513"/>
              <a:gd name="connsiteY56" fmla="*/ 178673 h 259237"/>
              <a:gd name="connsiteX57" fmla="*/ 180427 w 242513"/>
              <a:gd name="connsiteY57" fmla="*/ 131048 h 259237"/>
              <a:gd name="connsiteX58" fmla="*/ 179494 w 242513"/>
              <a:gd name="connsiteY58" fmla="*/ 101797 h 259237"/>
              <a:gd name="connsiteX59" fmla="*/ 180480 w 242513"/>
              <a:gd name="connsiteY59" fmla="*/ 101048 h 259237"/>
              <a:gd name="connsiteX60" fmla="*/ 219374 w 242513"/>
              <a:gd name="connsiteY60" fmla="*/ 101048 h 259237"/>
              <a:gd name="connsiteX61" fmla="*/ 227509 w 242513"/>
              <a:gd name="connsiteY61" fmla="*/ 98843 h 259237"/>
              <a:gd name="connsiteX62" fmla="*/ 242441 w 242513"/>
              <a:gd name="connsiteY62" fmla="*/ 65978 h 25923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</a:cxnLst>
            <a:rect l="l" t="t" r="r" b="b"/>
            <a:pathLst>
              <a:path w="242513" h="259237">
                <a:moveTo>
                  <a:pt x="242441" y="65978"/>
                </a:moveTo>
                <a:cubicBezTo>
                  <a:pt x="242299" y="64233"/>
                  <a:pt x="241642" y="62569"/>
                  <a:pt x="240552" y="61193"/>
                </a:cubicBezTo>
                <a:lnTo>
                  <a:pt x="229115" y="46943"/>
                </a:lnTo>
                <a:cubicBezTo>
                  <a:pt x="228431" y="19740"/>
                  <a:pt x="206237" y="86"/>
                  <a:pt x="175889" y="0"/>
                </a:cubicBezTo>
                <a:lnTo>
                  <a:pt x="174877" y="0"/>
                </a:lnTo>
                <a:cubicBezTo>
                  <a:pt x="146202" y="49"/>
                  <a:pt x="122820" y="22827"/>
                  <a:pt x="122237" y="51281"/>
                </a:cubicBezTo>
                <a:cubicBezTo>
                  <a:pt x="122203" y="53185"/>
                  <a:pt x="122273" y="55089"/>
                  <a:pt x="122445" y="56985"/>
                </a:cubicBezTo>
                <a:lnTo>
                  <a:pt x="122445" y="57041"/>
                </a:lnTo>
                <a:cubicBezTo>
                  <a:pt x="122557" y="58499"/>
                  <a:pt x="121645" y="59843"/>
                  <a:pt x="120242" y="60289"/>
                </a:cubicBezTo>
                <a:cubicBezTo>
                  <a:pt x="17822" y="95786"/>
                  <a:pt x="952" y="175365"/>
                  <a:pt x="0" y="219720"/>
                </a:cubicBezTo>
                <a:lnTo>
                  <a:pt x="0" y="225698"/>
                </a:lnTo>
                <a:cubicBezTo>
                  <a:pt x="0" y="227769"/>
                  <a:pt x="1692" y="229448"/>
                  <a:pt x="3778" y="229448"/>
                </a:cubicBezTo>
                <a:cubicBezTo>
                  <a:pt x="5865" y="229448"/>
                  <a:pt x="7557" y="227769"/>
                  <a:pt x="7557" y="225698"/>
                </a:cubicBezTo>
                <a:lnTo>
                  <a:pt x="7557" y="219799"/>
                </a:lnTo>
                <a:cubicBezTo>
                  <a:pt x="8456" y="177488"/>
                  <a:pt x="24623" y="101363"/>
                  <a:pt x="122690" y="67384"/>
                </a:cubicBezTo>
                <a:cubicBezTo>
                  <a:pt x="123170" y="67217"/>
                  <a:pt x="123637" y="67018"/>
                  <a:pt x="124088" y="66788"/>
                </a:cubicBezTo>
                <a:cubicBezTo>
                  <a:pt x="124470" y="68257"/>
                  <a:pt x="124942" y="69702"/>
                  <a:pt x="125501" y="71115"/>
                </a:cubicBezTo>
                <a:cubicBezTo>
                  <a:pt x="126350" y="73007"/>
                  <a:pt x="128584" y="73857"/>
                  <a:pt x="130490" y="73015"/>
                </a:cubicBezTo>
                <a:cubicBezTo>
                  <a:pt x="132330" y="72201"/>
                  <a:pt x="133204" y="70099"/>
                  <a:pt x="132476" y="68235"/>
                </a:cubicBezTo>
                <a:cubicBezTo>
                  <a:pt x="131079" y="64458"/>
                  <a:pt x="130239" y="60501"/>
                  <a:pt x="129983" y="56486"/>
                </a:cubicBezTo>
                <a:lnTo>
                  <a:pt x="129983" y="56456"/>
                </a:lnTo>
                <a:cubicBezTo>
                  <a:pt x="129984" y="56438"/>
                  <a:pt x="129984" y="56419"/>
                  <a:pt x="129983" y="56400"/>
                </a:cubicBezTo>
                <a:cubicBezTo>
                  <a:pt x="127697" y="31761"/>
                  <a:pt x="145970" y="9949"/>
                  <a:pt x="170795" y="7681"/>
                </a:cubicBezTo>
                <a:cubicBezTo>
                  <a:pt x="172175" y="7555"/>
                  <a:pt x="173559" y="7492"/>
                  <a:pt x="174945" y="7493"/>
                </a:cubicBezTo>
                <a:lnTo>
                  <a:pt x="175814" y="7493"/>
                </a:lnTo>
                <a:cubicBezTo>
                  <a:pt x="202338" y="7575"/>
                  <a:pt x="221607" y="24716"/>
                  <a:pt x="221607" y="48266"/>
                </a:cubicBezTo>
                <a:cubicBezTo>
                  <a:pt x="221610" y="49115"/>
                  <a:pt x="221900" y="49938"/>
                  <a:pt x="222431" y="50603"/>
                </a:cubicBezTo>
                <a:lnTo>
                  <a:pt x="234635" y="65813"/>
                </a:lnTo>
                <a:cubicBezTo>
                  <a:pt x="234788" y="66008"/>
                  <a:pt x="234885" y="66239"/>
                  <a:pt x="234919" y="66484"/>
                </a:cubicBezTo>
                <a:cubicBezTo>
                  <a:pt x="235172" y="70879"/>
                  <a:pt x="235123" y="85744"/>
                  <a:pt x="223742" y="92359"/>
                </a:cubicBezTo>
                <a:cubicBezTo>
                  <a:pt x="222399" y="93119"/>
                  <a:pt x="220886" y="93530"/>
                  <a:pt x="219340" y="93555"/>
                </a:cubicBezTo>
                <a:lnTo>
                  <a:pt x="180480" y="93555"/>
                </a:lnTo>
                <a:cubicBezTo>
                  <a:pt x="175745" y="93561"/>
                  <a:pt x="171908" y="97368"/>
                  <a:pt x="171900" y="102068"/>
                </a:cubicBezTo>
                <a:cubicBezTo>
                  <a:pt x="171901" y="102363"/>
                  <a:pt x="171935" y="102657"/>
                  <a:pt x="172002" y="102945"/>
                </a:cubicBezTo>
                <a:cubicBezTo>
                  <a:pt x="174133" y="111655"/>
                  <a:pt x="174481" y="120701"/>
                  <a:pt x="173025" y="129548"/>
                </a:cubicBezTo>
                <a:cubicBezTo>
                  <a:pt x="168182" y="149738"/>
                  <a:pt x="156023" y="159979"/>
                  <a:pt x="140656" y="172943"/>
                </a:cubicBezTo>
                <a:cubicBezTo>
                  <a:pt x="137826" y="175324"/>
                  <a:pt x="134906" y="177791"/>
                  <a:pt x="131913" y="180409"/>
                </a:cubicBezTo>
                <a:cubicBezTo>
                  <a:pt x="130352" y="181783"/>
                  <a:pt x="130210" y="184154"/>
                  <a:pt x="131595" y="185703"/>
                </a:cubicBezTo>
                <a:cubicBezTo>
                  <a:pt x="131899" y="186043"/>
                  <a:pt x="132263" y="186326"/>
                  <a:pt x="132669" y="186536"/>
                </a:cubicBezTo>
                <a:lnTo>
                  <a:pt x="178636" y="210638"/>
                </a:lnTo>
                <a:cubicBezTo>
                  <a:pt x="182257" y="212675"/>
                  <a:pt x="184466" y="216516"/>
                  <a:pt x="184391" y="220646"/>
                </a:cubicBezTo>
                <a:lnTo>
                  <a:pt x="184391" y="240488"/>
                </a:lnTo>
                <a:cubicBezTo>
                  <a:pt x="184391" y="246701"/>
                  <a:pt x="179316" y="251738"/>
                  <a:pt x="173056" y="251738"/>
                </a:cubicBezTo>
                <a:cubicBezTo>
                  <a:pt x="166796" y="251738"/>
                  <a:pt x="161721" y="246701"/>
                  <a:pt x="161721" y="240488"/>
                </a:cubicBezTo>
                <a:lnTo>
                  <a:pt x="161721" y="229699"/>
                </a:lnTo>
                <a:cubicBezTo>
                  <a:pt x="161721" y="228309"/>
                  <a:pt x="160948" y="227034"/>
                  <a:pt x="159711" y="226384"/>
                </a:cubicBezTo>
                <a:lnTo>
                  <a:pt x="137313" y="214631"/>
                </a:lnTo>
                <a:cubicBezTo>
                  <a:pt x="135468" y="213662"/>
                  <a:pt x="133181" y="214361"/>
                  <a:pt x="132204" y="216191"/>
                </a:cubicBezTo>
                <a:cubicBezTo>
                  <a:pt x="131228" y="218022"/>
                  <a:pt x="131931" y="220292"/>
                  <a:pt x="133776" y="221261"/>
                </a:cubicBezTo>
                <a:lnTo>
                  <a:pt x="154141" y="231956"/>
                </a:lnTo>
                <a:lnTo>
                  <a:pt x="154141" y="240488"/>
                </a:lnTo>
                <a:cubicBezTo>
                  <a:pt x="154141" y="250843"/>
                  <a:pt x="162600" y="259238"/>
                  <a:pt x="173033" y="259238"/>
                </a:cubicBezTo>
                <a:cubicBezTo>
                  <a:pt x="183467" y="259238"/>
                  <a:pt x="191925" y="250843"/>
                  <a:pt x="191925" y="240488"/>
                </a:cubicBezTo>
                <a:lnTo>
                  <a:pt x="191925" y="220714"/>
                </a:lnTo>
                <a:cubicBezTo>
                  <a:pt x="192018" y="213821"/>
                  <a:pt x="188300" y="207431"/>
                  <a:pt x="182237" y="204068"/>
                </a:cubicBezTo>
                <a:lnTo>
                  <a:pt x="141053" y="182471"/>
                </a:lnTo>
                <a:cubicBezTo>
                  <a:pt x="142564" y="181176"/>
                  <a:pt x="144062" y="179910"/>
                  <a:pt x="145546" y="178673"/>
                </a:cubicBezTo>
                <a:cubicBezTo>
                  <a:pt x="161328" y="165364"/>
                  <a:pt x="174960" y="153874"/>
                  <a:pt x="180427" y="131048"/>
                </a:cubicBezTo>
                <a:cubicBezTo>
                  <a:pt x="182067" y="121332"/>
                  <a:pt x="181750" y="111390"/>
                  <a:pt x="179494" y="101797"/>
                </a:cubicBezTo>
                <a:cubicBezTo>
                  <a:pt x="179615" y="101355"/>
                  <a:pt x="180019" y="101048"/>
                  <a:pt x="180480" y="101048"/>
                </a:cubicBezTo>
                <a:lnTo>
                  <a:pt x="219374" y="101048"/>
                </a:lnTo>
                <a:cubicBezTo>
                  <a:pt x="222231" y="101010"/>
                  <a:pt x="225030" y="100251"/>
                  <a:pt x="227509" y="98843"/>
                </a:cubicBezTo>
                <a:cubicBezTo>
                  <a:pt x="242630" y="90060"/>
                  <a:pt x="242766" y="71520"/>
                  <a:pt x="242441" y="6597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58" name="Freeform: Shape 357">
            <a:extLst>
              <a:ext uri="{FF2B5EF4-FFF2-40B4-BE49-F238E27FC236}">
                <a16:creationId xmlns:a16="http://schemas.microsoft.com/office/drawing/2014/main" id="{2DB49000-8FBA-4C95-A5C1-670A6434778A}"/>
              </a:ext>
            </a:extLst>
          </xdr:cNvPr>
          <xdr:cNvSpPr/>
        </xdr:nvSpPr>
        <xdr:spPr>
          <a:xfrm>
            <a:off x="13942285" y="754371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8</xdr:col>
      <xdr:colOff>153484</xdr:colOff>
      <xdr:row>16</xdr:row>
      <xdr:rowOff>154837</xdr:rowOff>
    </xdr:from>
    <xdr:to>
      <xdr:col>8</xdr:col>
      <xdr:colOff>425683</xdr:colOff>
      <xdr:row>16</xdr:row>
      <xdr:rowOff>416662</xdr:rowOff>
    </xdr:to>
    <xdr:grpSp>
      <xdr:nvGrpSpPr>
        <xdr:cNvPr id="359" name="octopus" descr="Octopus outline">
          <a:extLst>
            <a:ext uri="{FF2B5EF4-FFF2-40B4-BE49-F238E27FC236}">
              <a16:creationId xmlns:a16="http://schemas.microsoft.com/office/drawing/2014/main" id="{469104E7-DB88-4AAA-81F0-F71AA9FE4C12}"/>
            </a:ext>
          </a:extLst>
        </xdr:cNvPr>
        <xdr:cNvGrpSpPr>
          <a:grpSpLocks noChangeAspect="1"/>
        </xdr:cNvGrpSpPr>
      </xdr:nvGrpSpPr>
      <xdr:grpSpPr>
        <a:xfrm>
          <a:off x="7268659" y="8079637"/>
          <a:ext cx="272199" cy="261825"/>
          <a:chOff x="14972049" y="8430138"/>
          <a:chExt cx="272199" cy="261825"/>
        </a:xfrm>
        <a:solidFill>
          <a:srgbClr val="1F4E78"/>
        </a:solidFill>
      </xdr:grpSpPr>
      <xdr:sp macro="" textlink="">
        <xdr:nvSpPr>
          <xdr:cNvPr id="360" name="Freeform: Shape 359">
            <a:extLst>
              <a:ext uri="{FF2B5EF4-FFF2-40B4-BE49-F238E27FC236}">
                <a16:creationId xmlns:a16="http://schemas.microsoft.com/office/drawing/2014/main" id="{0A06BE23-44AE-4051-8C01-B1C4D56C1F3E}"/>
              </a:ext>
            </a:extLst>
          </xdr:cNvPr>
          <xdr:cNvSpPr/>
        </xdr:nvSpPr>
        <xdr:spPr>
          <a:xfrm>
            <a:off x="14972049" y="8430138"/>
            <a:ext cx="272199" cy="261825"/>
          </a:xfrm>
          <a:custGeom>
            <a:avLst/>
            <a:gdLst>
              <a:gd name="connsiteX0" fmla="*/ 256639 w 272199"/>
              <a:gd name="connsiteY0" fmla="*/ 216192 h 261825"/>
              <a:gd name="connsiteX1" fmla="*/ 256360 w 272199"/>
              <a:gd name="connsiteY1" fmla="*/ 216111 h 261825"/>
              <a:gd name="connsiteX2" fmla="*/ 238214 w 272199"/>
              <a:gd name="connsiteY2" fmla="*/ 227291 h 261825"/>
              <a:gd name="connsiteX3" fmla="*/ 238127 w 272199"/>
              <a:gd name="connsiteY3" fmla="*/ 227685 h 261825"/>
              <a:gd name="connsiteX4" fmla="*/ 238063 w 272199"/>
              <a:gd name="connsiteY4" fmla="*/ 228141 h 261825"/>
              <a:gd name="connsiteX5" fmla="*/ 237743 w 272199"/>
              <a:gd name="connsiteY5" fmla="*/ 229489 h 261825"/>
              <a:gd name="connsiteX6" fmla="*/ 237183 w 272199"/>
              <a:gd name="connsiteY6" fmla="*/ 229714 h 261825"/>
              <a:gd name="connsiteX7" fmla="*/ 218237 w 272199"/>
              <a:gd name="connsiteY7" fmla="*/ 231380 h 261825"/>
              <a:gd name="connsiteX8" fmla="*/ 202262 w 272199"/>
              <a:gd name="connsiteY8" fmla="*/ 224293 h 261825"/>
              <a:gd name="connsiteX9" fmla="*/ 191373 w 272199"/>
              <a:gd name="connsiteY9" fmla="*/ 204959 h 261825"/>
              <a:gd name="connsiteX10" fmla="*/ 232659 w 272199"/>
              <a:gd name="connsiteY10" fmla="*/ 203135 h 261825"/>
              <a:gd name="connsiteX11" fmla="*/ 267687 w 272199"/>
              <a:gd name="connsiteY11" fmla="*/ 122025 h 261825"/>
              <a:gd name="connsiteX12" fmla="*/ 259192 w 272199"/>
              <a:gd name="connsiteY12" fmla="*/ 107213 h 261825"/>
              <a:gd name="connsiteX13" fmla="*/ 238666 w 272199"/>
              <a:gd name="connsiteY13" fmla="*/ 103346 h 261825"/>
              <a:gd name="connsiteX14" fmla="*/ 233414 w 272199"/>
              <a:gd name="connsiteY14" fmla="*/ 123703 h 261825"/>
              <a:gd name="connsiteX15" fmla="*/ 234123 w 272199"/>
              <a:gd name="connsiteY15" fmla="*/ 124850 h 261825"/>
              <a:gd name="connsiteX16" fmla="*/ 235015 w 272199"/>
              <a:gd name="connsiteY16" fmla="*/ 126157 h 261825"/>
              <a:gd name="connsiteX17" fmla="*/ 238760 w 272199"/>
              <a:gd name="connsiteY17" fmla="*/ 132386 h 261825"/>
              <a:gd name="connsiteX18" fmla="*/ 238059 w 272199"/>
              <a:gd name="connsiteY18" fmla="*/ 158874 h 261825"/>
              <a:gd name="connsiteX19" fmla="*/ 215014 w 272199"/>
              <a:gd name="connsiteY19" fmla="*/ 173625 h 261825"/>
              <a:gd name="connsiteX20" fmla="*/ 214555 w 272199"/>
              <a:gd name="connsiteY20" fmla="*/ 173625 h 261825"/>
              <a:gd name="connsiteX21" fmla="*/ 194313 w 272199"/>
              <a:gd name="connsiteY21" fmla="*/ 165680 h 261825"/>
              <a:gd name="connsiteX22" fmla="*/ 185544 w 272199"/>
              <a:gd name="connsiteY22" fmla="*/ 145875 h 261825"/>
              <a:gd name="connsiteX23" fmla="*/ 192781 w 272199"/>
              <a:gd name="connsiteY23" fmla="*/ 126371 h 261825"/>
              <a:gd name="connsiteX24" fmla="*/ 219927 w 272199"/>
              <a:gd name="connsiteY24" fmla="*/ 69000 h 261825"/>
              <a:gd name="connsiteX25" fmla="*/ 135292 w 272199"/>
              <a:gd name="connsiteY25" fmla="*/ 0 h 261825"/>
              <a:gd name="connsiteX26" fmla="*/ 50657 w 272199"/>
              <a:gd name="connsiteY26" fmla="*/ 69000 h 261825"/>
              <a:gd name="connsiteX27" fmla="*/ 77690 w 272199"/>
              <a:gd name="connsiteY27" fmla="*/ 126252 h 261825"/>
              <a:gd name="connsiteX28" fmla="*/ 85107 w 272199"/>
              <a:gd name="connsiteY28" fmla="*/ 149299 h 261825"/>
              <a:gd name="connsiteX29" fmla="*/ 56323 w 272199"/>
              <a:gd name="connsiteY29" fmla="*/ 173625 h 261825"/>
              <a:gd name="connsiteX30" fmla="*/ 48673 w 272199"/>
              <a:gd name="connsiteY30" fmla="*/ 172646 h 261825"/>
              <a:gd name="connsiteX31" fmla="*/ 37002 w 272199"/>
              <a:gd name="connsiteY31" fmla="*/ 165308 h 261825"/>
              <a:gd name="connsiteX32" fmla="*/ 32659 w 272199"/>
              <a:gd name="connsiteY32" fmla="*/ 132190 h 261825"/>
              <a:gd name="connsiteX33" fmla="*/ 37026 w 272199"/>
              <a:gd name="connsiteY33" fmla="*/ 125288 h 261825"/>
              <a:gd name="connsiteX34" fmla="*/ 39894 w 272199"/>
              <a:gd name="connsiteY34" fmla="*/ 114156 h 261825"/>
              <a:gd name="connsiteX35" fmla="*/ 34245 w 272199"/>
              <a:gd name="connsiteY35" fmla="*/ 104415 h 261825"/>
              <a:gd name="connsiteX36" fmla="*/ 32205 w 272199"/>
              <a:gd name="connsiteY36" fmla="*/ 103256 h 261825"/>
              <a:gd name="connsiteX37" fmla="*/ 12926 w 272199"/>
              <a:gd name="connsiteY37" fmla="*/ 107559 h 261825"/>
              <a:gd name="connsiteX38" fmla="*/ 29 w 272199"/>
              <a:gd name="connsiteY38" fmla="*/ 146720 h 261825"/>
              <a:gd name="connsiteX39" fmla="*/ 56646 w 272199"/>
              <a:gd name="connsiteY39" fmla="*/ 207727 h 261825"/>
              <a:gd name="connsiteX40" fmla="*/ 80798 w 272199"/>
              <a:gd name="connsiteY40" fmla="*/ 205604 h 261825"/>
              <a:gd name="connsiteX41" fmla="*/ 72610 w 272199"/>
              <a:gd name="connsiteY41" fmla="*/ 221573 h 261825"/>
              <a:gd name="connsiteX42" fmla="*/ 53639 w 272199"/>
              <a:gd name="connsiteY42" fmla="*/ 231773 h 261825"/>
              <a:gd name="connsiteX43" fmla="*/ 34980 w 272199"/>
              <a:gd name="connsiteY43" fmla="*/ 230112 h 261825"/>
              <a:gd name="connsiteX44" fmla="*/ 34364 w 272199"/>
              <a:gd name="connsiteY44" fmla="*/ 229876 h 261825"/>
              <a:gd name="connsiteX45" fmla="*/ 18540 w 272199"/>
              <a:gd name="connsiteY45" fmla="*/ 216000 h 261825"/>
              <a:gd name="connsiteX46" fmla="*/ 7966 w 272199"/>
              <a:gd name="connsiteY46" fmla="*/ 220565 h 261825"/>
              <a:gd name="connsiteX47" fmla="*/ 3806 w 272199"/>
              <a:gd name="connsiteY47" fmla="*/ 231884 h 261825"/>
              <a:gd name="connsiteX48" fmla="*/ 23973 w 272199"/>
              <a:gd name="connsiteY48" fmla="*/ 258122 h 261825"/>
              <a:gd name="connsiteX49" fmla="*/ 44016 w 272199"/>
              <a:gd name="connsiteY49" fmla="*/ 261826 h 261825"/>
              <a:gd name="connsiteX50" fmla="*/ 46877 w 272199"/>
              <a:gd name="connsiteY50" fmla="*/ 261751 h 261825"/>
              <a:gd name="connsiteX51" fmla="*/ 55525 w 272199"/>
              <a:gd name="connsiteY51" fmla="*/ 261361 h 261825"/>
              <a:gd name="connsiteX52" fmla="*/ 128091 w 272199"/>
              <a:gd name="connsiteY52" fmla="*/ 212052 h 261825"/>
              <a:gd name="connsiteX53" fmla="*/ 132889 w 272199"/>
              <a:gd name="connsiteY53" fmla="*/ 207919 h 261825"/>
              <a:gd name="connsiteX54" fmla="*/ 138887 w 272199"/>
              <a:gd name="connsiteY54" fmla="*/ 208477 h 261825"/>
              <a:gd name="connsiteX55" fmla="*/ 142479 w 272199"/>
              <a:gd name="connsiteY55" fmla="*/ 212033 h 261825"/>
              <a:gd name="connsiteX56" fmla="*/ 215016 w 272199"/>
              <a:gd name="connsiteY56" fmla="*/ 261356 h 261825"/>
              <a:gd name="connsiteX57" fmla="*/ 224460 w 272199"/>
              <a:gd name="connsiteY57" fmla="*/ 261750 h 261825"/>
              <a:gd name="connsiteX58" fmla="*/ 247109 w 272199"/>
              <a:gd name="connsiteY58" fmla="*/ 258209 h 261825"/>
              <a:gd name="connsiteX59" fmla="*/ 267508 w 272199"/>
              <a:gd name="connsiteY59" fmla="*/ 233352 h 261825"/>
              <a:gd name="connsiteX60" fmla="*/ 256639 w 272199"/>
              <a:gd name="connsiteY60" fmla="*/ 216192 h 261825"/>
              <a:gd name="connsiteX61" fmla="*/ 260039 w 272199"/>
              <a:gd name="connsiteY61" fmla="*/ 232182 h 261825"/>
              <a:gd name="connsiteX62" fmla="*/ 259986 w 272199"/>
              <a:gd name="connsiteY62" fmla="*/ 232598 h 261825"/>
              <a:gd name="connsiteX63" fmla="*/ 244800 w 272199"/>
              <a:gd name="connsiteY63" fmla="*/ 251068 h 261825"/>
              <a:gd name="connsiteX64" fmla="*/ 224460 w 272199"/>
              <a:gd name="connsiteY64" fmla="*/ 254250 h 261825"/>
              <a:gd name="connsiteX65" fmla="*/ 215726 w 272199"/>
              <a:gd name="connsiteY65" fmla="*/ 253889 h 261825"/>
              <a:gd name="connsiteX66" fmla="*/ 149249 w 272199"/>
              <a:gd name="connsiteY66" fmla="*/ 208695 h 261825"/>
              <a:gd name="connsiteX67" fmla="*/ 142361 w 272199"/>
              <a:gd name="connsiteY67" fmla="*/ 201816 h 261825"/>
              <a:gd name="connsiteX68" fmla="*/ 130597 w 272199"/>
              <a:gd name="connsiteY68" fmla="*/ 200774 h 261825"/>
              <a:gd name="connsiteX69" fmla="*/ 121323 w 272199"/>
              <a:gd name="connsiteY69" fmla="*/ 208715 h 261825"/>
              <a:gd name="connsiteX70" fmla="*/ 54722 w 272199"/>
              <a:gd name="connsiteY70" fmla="*/ 253903 h 261825"/>
              <a:gd name="connsiteX71" fmla="*/ 46678 w 272199"/>
              <a:gd name="connsiteY71" fmla="*/ 254255 h 261825"/>
              <a:gd name="connsiteX72" fmla="*/ 26416 w 272199"/>
              <a:gd name="connsiteY72" fmla="*/ 251029 h 261825"/>
              <a:gd name="connsiteX73" fmla="*/ 11354 w 272199"/>
              <a:gd name="connsiteY73" fmla="*/ 231530 h 261825"/>
              <a:gd name="connsiteX74" fmla="*/ 13465 w 272199"/>
              <a:gd name="connsiteY74" fmla="*/ 225709 h 261825"/>
              <a:gd name="connsiteX75" fmla="*/ 18540 w 272199"/>
              <a:gd name="connsiteY75" fmla="*/ 223500 h 261825"/>
              <a:gd name="connsiteX76" fmla="*/ 26852 w 272199"/>
              <a:gd name="connsiteY76" fmla="*/ 230625 h 261825"/>
              <a:gd name="connsiteX77" fmla="*/ 32457 w 272199"/>
              <a:gd name="connsiteY77" fmla="*/ 237182 h 261825"/>
              <a:gd name="connsiteX78" fmla="*/ 54398 w 272199"/>
              <a:gd name="connsiteY78" fmla="*/ 239235 h 261825"/>
              <a:gd name="connsiteX79" fmla="*/ 78495 w 272199"/>
              <a:gd name="connsiteY79" fmla="*/ 226275 h 261825"/>
              <a:gd name="connsiteX80" fmla="*/ 89543 w 272199"/>
              <a:gd name="connsiteY80" fmla="*/ 200360 h 261825"/>
              <a:gd name="connsiteX81" fmla="*/ 90391 w 272199"/>
              <a:gd name="connsiteY81" fmla="*/ 193913 h 261825"/>
              <a:gd name="connsiteX82" fmla="*/ 84342 w 272199"/>
              <a:gd name="connsiteY82" fmla="*/ 196413 h 261825"/>
              <a:gd name="connsiteX83" fmla="*/ 57508 w 272199"/>
              <a:gd name="connsiteY83" fmla="*/ 200275 h 261825"/>
              <a:gd name="connsiteX84" fmla="*/ 7581 w 272199"/>
              <a:gd name="connsiteY84" fmla="*/ 146516 h 261825"/>
              <a:gd name="connsiteX85" fmla="*/ 19003 w 272199"/>
              <a:gd name="connsiteY85" fmla="*/ 112010 h 261825"/>
              <a:gd name="connsiteX86" fmla="*/ 29135 w 272199"/>
              <a:gd name="connsiteY86" fmla="*/ 110132 h 261825"/>
              <a:gd name="connsiteX87" fmla="*/ 29723 w 272199"/>
              <a:gd name="connsiteY87" fmla="*/ 110432 h 261825"/>
              <a:gd name="connsiteX88" fmla="*/ 32419 w 272199"/>
              <a:gd name="connsiteY88" fmla="*/ 115251 h 261825"/>
              <a:gd name="connsiteX89" fmla="*/ 31129 w 272199"/>
              <a:gd name="connsiteY89" fmla="*/ 120600 h 261825"/>
              <a:gd name="connsiteX90" fmla="*/ 25643 w 272199"/>
              <a:gd name="connsiteY90" fmla="*/ 129412 h 261825"/>
              <a:gd name="connsiteX91" fmla="*/ 31107 w 272199"/>
              <a:gd name="connsiteY91" fmla="*/ 170001 h 261825"/>
              <a:gd name="connsiteX92" fmla="*/ 46599 w 272199"/>
              <a:gd name="connsiteY92" fmla="*/ 179858 h 261825"/>
              <a:gd name="connsiteX93" fmla="*/ 56402 w 272199"/>
              <a:gd name="connsiteY93" fmla="*/ 181125 h 261825"/>
              <a:gd name="connsiteX94" fmla="*/ 56415 w 272199"/>
              <a:gd name="connsiteY94" fmla="*/ 181125 h 261825"/>
              <a:gd name="connsiteX95" fmla="*/ 92570 w 272199"/>
              <a:gd name="connsiteY95" fmla="*/ 150450 h 261825"/>
              <a:gd name="connsiteX96" fmla="*/ 83146 w 272199"/>
              <a:gd name="connsiteY96" fmla="*/ 121071 h 261825"/>
              <a:gd name="connsiteX97" fmla="*/ 58214 w 272199"/>
              <a:gd name="connsiteY97" fmla="*/ 69003 h 261825"/>
              <a:gd name="connsiteX98" fmla="*/ 135292 w 272199"/>
              <a:gd name="connsiteY98" fmla="*/ 7503 h 261825"/>
              <a:gd name="connsiteX99" fmla="*/ 212371 w 272199"/>
              <a:gd name="connsiteY99" fmla="*/ 69003 h 261825"/>
              <a:gd name="connsiteX100" fmla="*/ 187234 w 272199"/>
              <a:gd name="connsiteY100" fmla="*/ 121283 h 261825"/>
              <a:gd name="connsiteX101" fmla="*/ 177987 w 272199"/>
              <a:gd name="connsiteY101" fmla="*/ 145958 h 261825"/>
              <a:gd name="connsiteX102" fmla="*/ 189055 w 272199"/>
              <a:gd name="connsiteY102" fmla="*/ 171071 h 261825"/>
              <a:gd name="connsiteX103" fmla="*/ 214634 w 272199"/>
              <a:gd name="connsiteY103" fmla="*/ 181127 h 261825"/>
              <a:gd name="connsiteX104" fmla="*/ 215138 w 272199"/>
              <a:gd name="connsiteY104" fmla="*/ 181125 h 261825"/>
              <a:gd name="connsiteX105" fmla="*/ 244867 w 272199"/>
              <a:gd name="connsiteY105" fmla="*/ 162124 h 261825"/>
              <a:gd name="connsiteX106" fmla="*/ 245690 w 272199"/>
              <a:gd name="connsiteY106" fmla="*/ 129400 h 261825"/>
              <a:gd name="connsiteX107" fmla="*/ 240705 w 272199"/>
              <a:gd name="connsiteY107" fmla="*/ 121208 h 261825"/>
              <a:gd name="connsiteX108" fmla="*/ 240168 w 272199"/>
              <a:gd name="connsiteY108" fmla="*/ 120321 h 261825"/>
              <a:gd name="connsiteX109" fmla="*/ 242581 w 272199"/>
              <a:gd name="connsiteY109" fmla="*/ 109758 h 261825"/>
              <a:gd name="connsiteX110" fmla="*/ 253208 w 272199"/>
              <a:gd name="connsiteY110" fmla="*/ 111794 h 261825"/>
              <a:gd name="connsiteX111" fmla="*/ 242967 w 272199"/>
              <a:gd name="connsiteY111" fmla="*/ 188766 h 261825"/>
              <a:gd name="connsiteX112" fmla="*/ 229846 w 272199"/>
              <a:gd name="connsiteY112" fmla="*/ 196175 h 261825"/>
              <a:gd name="connsiteX113" fmla="*/ 187793 w 272199"/>
              <a:gd name="connsiteY113" fmla="*/ 195682 h 261825"/>
              <a:gd name="connsiteX114" fmla="*/ 181605 w 272199"/>
              <a:gd name="connsiteY114" fmla="*/ 193038 h 261825"/>
              <a:gd name="connsiteX115" fmla="*/ 182559 w 272199"/>
              <a:gd name="connsiteY115" fmla="*/ 199657 h 261825"/>
              <a:gd name="connsiteX116" fmla="*/ 196851 w 272199"/>
              <a:gd name="connsiteY116" fmla="*/ 229529 h 261825"/>
              <a:gd name="connsiteX117" fmla="*/ 217621 w 272199"/>
              <a:gd name="connsiteY117" fmla="*/ 238853 h 261825"/>
              <a:gd name="connsiteX118" fmla="*/ 239767 w 272199"/>
              <a:gd name="connsiteY118" fmla="*/ 236763 h 261825"/>
              <a:gd name="connsiteX119" fmla="*/ 245237 w 272199"/>
              <a:gd name="connsiteY119" fmla="*/ 230494 h 261825"/>
              <a:gd name="connsiteX120" fmla="*/ 245601 w 272199"/>
              <a:gd name="connsiteY120" fmla="*/ 228848 h 261825"/>
              <a:gd name="connsiteX121" fmla="*/ 254392 w 272199"/>
              <a:gd name="connsiteY121" fmla="*/ 223356 h 261825"/>
              <a:gd name="connsiteX122" fmla="*/ 260041 w 272199"/>
              <a:gd name="connsiteY122" fmla="*/ 232182 h 2618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</a:cxnLst>
            <a:rect l="l" t="t" r="r" b="b"/>
            <a:pathLst>
              <a:path w="272199" h="261825">
                <a:moveTo>
                  <a:pt x="256639" y="216192"/>
                </a:moveTo>
                <a:lnTo>
                  <a:pt x="256360" y="216111"/>
                </a:lnTo>
                <a:cubicBezTo>
                  <a:pt x="248239" y="214225"/>
                  <a:pt x="240115" y="219231"/>
                  <a:pt x="238214" y="227291"/>
                </a:cubicBezTo>
                <a:cubicBezTo>
                  <a:pt x="238183" y="227422"/>
                  <a:pt x="238154" y="227553"/>
                  <a:pt x="238127" y="227685"/>
                </a:cubicBezTo>
                <a:lnTo>
                  <a:pt x="238063" y="228141"/>
                </a:lnTo>
                <a:cubicBezTo>
                  <a:pt x="237910" y="228578"/>
                  <a:pt x="237803" y="229030"/>
                  <a:pt x="237743" y="229489"/>
                </a:cubicBezTo>
                <a:cubicBezTo>
                  <a:pt x="237592" y="229555"/>
                  <a:pt x="237407" y="229630"/>
                  <a:pt x="237183" y="229714"/>
                </a:cubicBezTo>
                <a:cubicBezTo>
                  <a:pt x="231071" y="231660"/>
                  <a:pt x="224599" y="232230"/>
                  <a:pt x="218237" y="231380"/>
                </a:cubicBezTo>
                <a:cubicBezTo>
                  <a:pt x="212206" y="231085"/>
                  <a:pt x="206506" y="228556"/>
                  <a:pt x="202262" y="224293"/>
                </a:cubicBezTo>
                <a:cubicBezTo>
                  <a:pt x="197084" y="218836"/>
                  <a:pt x="193344" y="212195"/>
                  <a:pt x="191373" y="204959"/>
                </a:cubicBezTo>
                <a:cubicBezTo>
                  <a:pt x="204940" y="209059"/>
                  <a:pt x="219513" y="208415"/>
                  <a:pt x="232659" y="203135"/>
                </a:cubicBezTo>
                <a:cubicBezTo>
                  <a:pt x="264899" y="190337"/>
                  <a:pt x="280582" y="154023"/>
                  <a:pt x="267687" y="122025"/>
                </a:cubicBezTo>
                <a:cubicBezTo>
                  <a:pt x="265551" y="116725"/>
                  <a:pt x="262693" y="111741"/>
                  <a:pt x="259192" y="107213"/>
                </a:cubicBezTo>
                <a:cubicBezTo>
                  <a:pt x="254333" y="100936"/>
                  <a:pt x="245504" y="99273"/>
                  <a:pt x="238666" y="103346"/>
                </a:cubicBezTo>
                <a:cubicBezTo>
                  <a:pt x="231757" y="107679"/>
                  <a:pt x="229453" y="116608"/>
                  <a:pt x="233414" y="123703"/>
                </a:cubicBezTo>
                <a:cubicBezTo>
                  <a:pt x="233637" y="124062"/>
                  <a:pt x="233920" y="124537"/>
                  <a:pt x="234123" y="124850"/>
                </a:cubicBezTo>
                <a:cubicBezTo>
                  <a:pt x="234322" y="125155"/>
                  <a:pt x="234812" y="125897"/>
                  <a:pt x="235015" y="126157"/>
                </a:cubicBezTo>
                <a:cubicBezTo>
                  <a:pt x="236509" y="128078"/>
                  <a:pt x="237766" y="130169"/>
                  <a:pt x="238760" y="132386"/>
                </a:cubicBezTo>
                <a:cubicBezTo>
                  <a:pt x="242436" y="140893"/>
                  <a:pt x="242179" y="150570"/>
                  <a:pt x="238059" y="158874"/>
                </a:cubicBezTo>
                <a:cubicBezTo>
                  <a:pt x="233744" y="167666"/>
                  <a:pt x="224864" y="173351"/>
                  <a:pt x="215014" y="173625"/>
                </a:cubicBezTo>
                <a:lnTo>
                  <a:pt x="214555" y="173625"/>
                </a:lnTo>
                <a:cubicBezTo>
                  <a:pt x="207001" y="173807"/>
                  <a:pt x="199697" y="170940"/>
                  <a:pt x="194313" y="165680"/>
                </a:cubicBezTo>
                <a:cubicBezTo>
                  <a:pt x="188863" y="160491"/>
                  <a:pt x="185710" y="153368"/>
                  <a:pt x="185544" y="145875"/>
                </a:cubicBezTo>
                <a:cubicBezTo>
                  <a:pt x="185511" y="138721"/>
                  <a:pt x="188081" y="131795"/>
                  <a:pt x="192781" y="126371"/>
                </a:cubicBezTo>
                <a:cubicBezTo>
                  <a:pt x="209779" y="109088"/>
                  <a:pt x="219927" y="87641"/>
                  <a:pt x="219927" y="69000"/>
                </a:cubicBezTo>
                <a:cubicBezTo>
                  <a:pt x="219927" y="29663"/>
                  <a:pt x="183542" y="0"/>
                  <a:pt x="135292" y="0"/>
                </a:cubicBezTo>
                <a:cubicBezTo>
                  <a:pt x="87042" y="0"/>
                  <a:pt x="50657" y="29663"/>
                  <a:pt x="50657" y="69000"/>
                </a:cubicBezTo>
                <a:cubicBezTo>
                  <a:pt x="50657" y="88455"/>
                  <a:pt x="60828" y="109926"/>
                  <a:pt x="77690" y="126252"/>
                </a:cubicBezTo>
                <a:cubicBezTo>
                  <a:pt x="83317" y="132558"/>
                  <a:pt x="86008" y="140924"/>
                  <a:pt x="85107" y="149299"/>
                </a:cubicBezTo>
                <a:cubicBezTo>
                  <a:pt x="82550" y="163163"/>
                  <a:pt x="70521" y="173329"/>
                  <a:pt x="56323" y="173625"/>
                </a:cubicBezTo>
                <a:cubicBezTo>
                  <a:pt x="53740" y="173646"/>
                  <a:pt x="51166" y="173316"/>
                  <a:pt x="48673" y="172646"/>
                </a:cubicBezTo>
                <a:cubicBezTo>
                  <a:pt x="44129" y="171417"/>
                  <a:pt x="40062" y="168861"/>
                  <a:pt x="37002" y="165308"/>
                </a:cubicBezTo>
                <a:cubicBezTo>
                  <a:pt x="29480" y="155922"/>
                  <a:pt x="27808" y="143175"/>
                  <a:pt x="32659" y="132190"/>
                </a:cubicBezTo>
                <a:cubicBezTo>
                  <a:pt x="33725" y="129668"/>
                  <a:pt x="35200" y="127336"/>
                  <a:pt x="37026" y="125288"/>
                </a:cubicBezTo>
                <a:cubicBezTo>
                  <a:pt x="39475" y="122123"/>
                  <a:pt x="40512" y="118100"/>
                  <a:pt x="39894" y="114156"/>
                </a:cubicBezTo>
                <a:cubicBezTo>
                  <a:pt x="39336" y="110312"/>
                  <a:pt x="37314" y="106825"/>
                  <a:pt x="34245" y="104415"/>
                </a:cubicBezTo>
                <a:cubicBezTo>
                  <a:pt x="33615" y="103948"/>
                  <a:pt x="32930" y="103559"/>
                  <a:pt x="32205" y="103256"/>
                </a:cubicBezTo>
                <a:cubicBezTo>
                  <a:pt x="25601" y="99688"/>
                  <a:pt x="17356" y="101528"/>
                  <a:pt x="12926" y="107559"/>
                </a:cubicBezTo>
                <a:cubicBezTo>
                  <a:pt x="4153" y="118718"/>
                  <a:pt x="-409" y="132572"/>
                  <a:pt x="29" y="146720"/>
                </a:cubicBezTo>
                <a:cubicBezTo>
                  <a:pt x="1047" y="178176"/>
                  <a:pt x="25142" y="204139"/>
                  <a:pt x="56646" y="207727"/>
                </a:cubicBezTo>
                <a:cubicBezTo>
                  <a:pt x="64759" y="208626"/>
                  <a:pt x="72970" y="207905"/>
                  <a:pt x="80798" y="205604"/>
                </a:cubicBezTo>
                <a:cubicBezTo>
                  <a:pt x="79250" y="211447"/>
                  <a:pt x="76458" y="216892"/>
                  <a:pt x="72610" y="221573"/>
                </a:cubicBezTo>
                <a:cubicBezTo>
                  <a:pt x="67977" y="227428"/>
                  <a:pt x="61111" y="231120"/>
                  <a:pt x="53639" y="231773"/>
                </a:cubicBezTo>
                <a:cubicBezTo>
                  <a:pt x="47372" y="232577"/>
                  <a:pt x="41003" y="232011"/>
                  <a:pt x="34980" y="230112"/>
                </a:cubicBezTo>
                <a:cubicBezTo>
                  <a:pt x="34736" y="230023"/>
                  <a:pt x="34533" y="229944"/>
                  <a:pt x="34364" y="229876"/>
                </a:cubicBezTo>
                <a:cubicBezTo>
                  <a:pt x="33562" y="221853"/>
                  <a:pt x="26661" y="215801"/>
                  <a:pt x="18540" y="216000"/>
                </a:cubicBezTo>
                <a:cubicBezTo>
                  <a:pt x="14529" y="215995"/>
                  <a:pt x="10697" y="217649"/>
                  <a:pt x="7966" y="220565"/>
                </a:cubicBezTo>
                <a:cubicBezTo>
                  <a:pt x="5080" y="223615"/>
                  <a:pt x="3576" y="227706"/>
                  <a:pt x="3806" y="231884"/>
                </a:cubicBezTo>
                <a:cubicBezTo>
                  <a:pt x="4286" y="243974"/>
                  <a:pt x="12351" y="254468"/>
                  <a:pt x="23973" y="258122"/>
                </a:cubicBezTo>
                <a:cubicBezTo>
                  <a:pt x="30368" y="260568"/>
                  <a:pt x="37163" y="261824"/>
                  <a:pt x="44016" y="261826"/>
                </a:cubicBezTo>
                <a:cubicBezTo>
                  <a:pt x="44973" y="261826"/>
                  <a:pt x="45927" y="261801"/>
                  <a:pt x="46877" y="261751"/>
                </a:cubicBezTo>
                <a:cubicBezTo>
                  <a:pt x="49765" y="261807"/>
                  <a:pt x="52654" y="261676"/>
                  <a:pt x="55525" y="261361"/>
                </a:cubicBezTo>
                <a:cubicBezTo>
                  <a:pt x="86691" y="258524"/>
                  <a:pt x="114152" y="239864"/>
                  <a:pt x="128091" y="212052"/>
                </a:cubicBezTo>
                <a:cubicBezTo>
                  <a:pt x="129057" y="210084"/>
                  <a:pt x="130790" y="208592"/>
                  <a:pt x="132889" y="207919"/>
                </a:cubicBezTo>
                <a:cubicBezTo>
                  <a:pt x="134881" y="207284"/>
                  <a:pt x="137048" y="207486"/>
                  <a:pt x="138887" y="208477"/>
                </a:cubicBezTo>
                <a:cubicBezTo>
                  <a:pt x="140432" y="209257"/>
                  <a:pt x="141690" y="210501"/>
                  <a:pt x="142479" y="212033"/>
                </a:cubicBezTo>
                <a:cubicBezTo>
                  <a:pt x="156407" y="239844"/>
                  <a:pt x="183856" y="258508"/>
                  <a:pt x="215016" y="261356"/>
                </a:cubicBezTo>
                <a:cubicBezTo>
                  <a:pt x="218154" y="261659"/>
                  <a:pt x="221307" y="261791"/>
                  <a:pt x="224460" y="261750"/>
                </a:cubicBezTo>
                <a:cubicBezTo>
                  <a:pt x="232152" y="261786"/>
                  <a:pt x="239800" y="260590"/>
                  <a:pt x="247109" y="258209"/>
                </a:cubicBezTo>
                <a:cubicBezTo>
                  <a:pt x="258360" y="254798"/>
                  <a:pt x="266419" y="244978"/>
                  <a:pt x="267508" y="233352"/>
                </a:cubicBezTo>
                <a:cubicBezTo>
                  <a:pt x="268709" y="225741"/>
                  <a:pt x="264070" y="218417"/>
                  <a:pt x="256639" y="216192"/>
                </a:cubicBezTo>
                <a:close/>
                <a:moveTo>
                  <a:pt x="260039" y="232182"/>
                </a:moveTo>
                <a:lnTo>
                  <a:pt x="259986" y="232598"/>
                </a:lnTo>
                <a:cubicBezTo>
                  <a:pt x="259207" y="241258"/>
                  <a:pt x="253193" y="248574"/>
                  <a:pt x="244800" y="251068"/>
                </a:cubicBezTo>
                <a:cubicBezTo>
                  <a:pt x="238237" y="253208"/>
                  <a:pt x="231368" y="254282"/>
                  <a:pt x="224460" y="254250"/>
                </a:cubicBezTo>
                <a:cubicBezTo>
                  <a:pt x="221544" y="254291"/>
                  <a:pt x="218629" y="254170"/>
                  <a:pt x="215726" y="253889"/>
                </a:cubicBezTo>
                <a:cubicBezTo>
                  <a:pt x="187169" y="251288"/>
                  <a:pt x="162011" y="234184"/>
                  <a:pt x="149249" y="208695"/>
                </a:cubicBezTo>
                <a:cubicBezTo>
                  <a:pt x="147753" y="205731"/>
                  <a:pt x="145339" y="203320"/>
                  <a:pt x="142361" y="201816"/>
                </a:cubicBezTo>
                <a:cubicBezTo>
                  <a:pt x="138747" y="199892"/>
                  <a:pt x="134498" y="199515"/>
                  <a:pt x="130597" y="200774"/>
                </a:cubicBezTo>
                <a:cubicBezTo>
                  <a:pt x="126546" y="202058"/>
                  <a:pt x="123196" y="204926"/>
                  <a:pt x="121323" y="208715"/>
                </a:cubicBezTo>
                <a:cubicBezTo>
                  <a:pt x="108530" y="234230"/>
                  <a:pt x="83320" y="251334"/>
                  <a:pt x="54722" y="253903"/>
                </a:cubicBezTo>
                <a:cubicBezTo>
                  <a:pt x="52052" y="254190"/>
                  <a:pt x="49364" y="254307"/>
                  <a:pt x="46678" y="254255"/>
                </a:cubicBezTo>
                <a:cubicBezTo>
                  <a:pt x="39772" y="254585"/>
                  <a:pt x="32872" y="253487"/>
                  <a:pt x="26416" y="251029"/>
                </a:cubicBezTo>
                <a:cubicBezTo>
                  <a:pt x="17737" y="248358"/>
                  <a:pt x="11699" y="240542"/>
                  <a:pt x="11354" y="231530"/>
                </a:cubicBezTo>
                <a:cubicBezTo>
                  <a:pt x="11224" y="229384"/>
                  <a:pt x="11987" y="227280"/>
                  <a:pt x="13465" y="225709"/>
                </a:cubicBezTo>
                <a:cubicBezTo>
                  <a:pt x="14774" y="224304"/>
                  <a:pt x="16612" y="223504"/>
                  <a:pt x="18540" y="223500"/>
                </a:cubicBezTo>
                <a:cubicBezTo>
                  <a:pt x="22791" y="223268"/>
                  <a:pt x="26465" y="226417"/>
                  <a:pt x="26852" y="230625"/>
                </a:cubicBezTo>
                <a:cubicBezTo>
                  <a:pt x="26852" y="234408"/>
                  <a:pt x="28695" y="235785"/>
                  <a:pt x="32457" y="237182"/>
                </a:cubicBezTo>
                <a:cubicBezTo>
                  <a:pt x="39530" y="239459"/>
                  <a:pt x="47021" y="240159"/>
                  <a:pt x="54398" y="239235"/>
                </a:cubicBezTo>
                <a:cubicBezTo>
                  <a:pt x="63885" y="238391"/>
                  <a:pt x="72602" y="233702"/>
                  <a:pt x="78495" y="226275"/>
                </a:cubicBezTo>
                <a:cubicBezTo>
                  <a:pt x="84545" y="218831"/>
                  <a:pt x="88373" y="209853"/>
                  <a:pt x="89543" y="200360"/>
                </a:cubicBezTo>
                <a:lnTo>
                  <a:pt x="90391" y="193913"/>
                </a:lnTo>
                <a:lnTo>
                  <a:pt x="84342" y="196413"/>
                </a:lnTo>
                <a:cubicBezTo>
                  <a:pt x="75875" y="199948"/>
                  <a:pt x="66638" y="201278"/>
                  <a:pt x="57508" y="200275"/>
                </a:cubicBezTo>
                <a:cubicBezTo>
                  <a:pt x="29590" y="197410"/>
                  <a:pt x="8188" y="174366"/>
                  <a:pt x="7581" y="146516"/>
                </a:cubicBezTo>
                <a:cubicBezTo>
                  <a:pt x="7204" y="134042"/>
                  <a:pt x="11245" y="121832"/>
                  <a:pt x="19003" y="112010"/>
                </a:cubicBezTo>
                <a:cubicBezTo>
                  <a:pt x="21345" y="108818"/>
                  <a:pt x="25790" y="107994"/>
                  <a:pt x="29135" y="110132"/>
                </a:cubicBezTo>
                <a:lnTo>
                  <a:pt x="29723" y="110432"/>
                </a:lnTo>
                <a:cubicBezTo>
                  <a:pt x="31188" y="111655"/>
                  <a:pt x="32148" y="113370"/>
                  <a:pt x="32419" y="115251"/>
                </a:cubicBezTo>
                <a:cubicBezTo>
                  <a:pt x="32729" y="117134"/>
                  <a:pt x="32265" y="119061"/>
                  <a:pt x="31129" y="120600"/>
                </a:cubicBezTo>
                <a:cubicBezTo>
                  <a:pt x="28821" y="123216"/>
                  <a:pt x="26967" y="126194"/>
                  <a:pt x="25643" y="129412"/>
                </a:cubicBezTo>
                <a:cubicBezTo>
                  <a:pt x="19750" y="142902"/>
                  <a:pt x="21853" y="158520"/>
                  <a:pt x="31107" y="170001"/>
                </a:cubicBezTo>
                <a:cubicBezTo>
                  <a:pt x="35152" y="174762"/>
                  <a:pt x="40552" y="178197"/>
                  <a:pt x="46599" y="179858"/>
                </a:cubicBezTo>
                <a:cubicBezTo>
                  <a:pt x="49792" y="180724"/>
                  <a:pt x="53091" y="181151"/>
                  <a:pt x="56402" y="181125"/>
                </a:cubicBezTo>
                <a:lnTo>
                  <a:pt x="56415" y="181125"/>
                </a:lnTo>
                <a:cubicBezTo>
                  <a:pt x="74297" y="180770"/>
                  <a:pt x="89435" y="167926"/>
                  <a:pt x="92570" y="150450"/>
                </a:cubicBezTo>
                <a:cubicBezTo>
                  <a:pt x="93785" y="139772"/>
                  <a:pt x="90357" y="129086"/>
                  <a:pt x="83146" y="121071"/>
                </a:cubicBezTo>
                <a:cubicBezTo>
                  <a:pt x="67768" y="106169"/>
                  <a:pt x="58214" y="86218"/>
                  <a:pt x="58214" y="69003"/>
                </a:cubicBezTo>
                <a:cubicBezTo>
                  <a:pt x="58214" y="33940"/>
                  <a:pt x="91350" y="7503"/>
                  <a:pt x="135292" y="7503"/>
                </a:cubicBezTo>
                <a:cubicBezTo>
                  <a:pt x="179235" y="7503"/>
                  <a:pt x="212371" y="33940"/>
                  <a:pt x="212371" y="69003"/>
                </a:cubicBezTo>
                <a:cubicBezTo>
                  <a:pt x="212371" y="85731"/>
                  <a:pt x="203026" y="105219"/>
                  <a:pt x="187234" y="121283"/>
                </a:cubicBezTo>
                <a:cubicBezTo>
                  <a:pt x="181237" y="128122"/>
                  <a:pt x="177950" y="136892"/>
                  <a:pt x="177987" y="145958"/>
                </a:cubicBezTo>
                <a:cubicBezTo>
                  <a:pt x="178176" y="155454"/>
                  <a:pt x="182158" y="164487"/>
                  <a:pt x="189055" y="171071"/>
                </a:cubicBezTo>
                <a:cubicBezTo>
                  <a:pt x="195870" y="177703"/>
                  <a:pt x="205092" y="181328"/>
                  <a:pt x="214634" y="181127"/>
                </a:cubicBezTo>
                <a:lnTo>
                  <a:pt x="215138" y="181125"/>
                </a:lnTo>
                <a:cubicBezTo>
                  <a:pt x="227845" y="180798"/>
                  <a:pt x="239309" y="173470"/>
                  <a:pt x="244867" y="162124"/>
                </a:cubicBezTo>
                <a:cubicBezTo>
                  <a:pt x="249943" y="151859"/>
                  <a:pt x="250244" y="139904"/>
                  <a:pt x="245690" y="129400"/>
                </a:cubicBezTo>
                <a:cubicBezTo>
                  <a:pt x="244383" y="126471"/>
                  <a:pt x="242708" y="123719"/>
                  <a:pt x="240705" y="121208"/>
                </a:cubicBezTo>
                <a:lnTo>
                  <a:pt x="240168" y="120321"/>
                </a:lnTo>
                <a:cubicBezTo>
                  <a:pt x="237926" y="116738"/>
                  <a:pt x="239001" y="112032"/>
                  <a:pt x="242581" y="109758"/>
                </a:cubicBezTo>
                <a:cubicBezTo>
                  <a:pt x="246125" y="107628"/>
                  <a:pt x="250717" y="108508"/>
                  <a:pt x="253208" y="111794"/>
                </a:cubicBezTo>
                <a:cubicBezTo>
                  <a:pt x="271796" y="135856"/>
                  <a:pt x="267211" y="170318"/>
                  <a:pt x="242967" y="188766"/>
                </a:cubicBezTo>
                <a:cubicBezTo>
                  <a:pt x="238955" y="191819"/>
                  <a:pt x="234540" y="194312"/>
                  <a:pt x="229846" y="196175"/>
                </a:cubicBezTo>
                <a:cubicBezTo>
                  <a:pt x="216328" y="201610"/>
                  <a:pt x="201177" y="201432"/>
                  <a:pt x="187793" y="195682"/>
                </a:cubicBezTo>
                <a:lnTo>
                  <a:pt x="181605" y="193038"/>
                </a:lnTo>
                <a:lnTo>
                  <a:pt x="182559" y="199657"/>
                </a:lnTo>
                <a:cubicBezTo>
                  <a:pt x="184060" y="210852"/>
                  <a:pt x="189058" y="221299"/>
                  <a:pt x="196851" y="229529"/>
                </a:cubicBezTo>
                <a:cubicBezTo>
                  <a:pt x="202356" y="235105"/>
                  <a:pt x="209766" y="238431"/>
                  <a:pt x="217621" y="238853"/>
                </a:cubicBezTo>
                <a:cubicBezTo>
                  <a:pt x="225067" y="239811"/>
                  <a:pt x="232636" y="239097"/>
                  <a:pt x="239767" y="236763"/>
                </a:cubicBezTo>
                <a:cubicBezTo>
                  <a:pt x="243607" y="235335"/>
                  <a:pt x="245162" y="233565"/>
                  <a:pt x="245237" y="230494"/>
                </a:cubicBezTo>
                <a:cubicBezTo>
                  <a:pt x="245428" y="229963"/>
                  <a:pt x="245551" y="229410"/>
                  <a:pt x="245601" y="228848"/>
                </a:cubicBezTo>
                <a:cubicBezTo>
                  <a:pt x="246606" y="224997"/>
                  <a:pt x="250459" y="222590"/>
                  <a:pt x="254392" y="223356"/>
                </a:cubicBezTo>
                <a:cubicBezTo>
                  <a:pt x="258254" y="224455"/>
                  <a:pt x="260680" y="228245"/>
                  <a:pt x="260041" y="23218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61" name="Freeform: Shape 360">
            <a:extLst>
              <a:ext uri="{FF2B5EF4-FFF2-40B4-BE49-F238E27FC236}">
                <a16:creationId xmlns:a16="http://schemas.microsoft.com/office/drawing/2014/main" id="{1AD92580-BA98-433A-9D8B-C59A2953684B}"/>
              </a:ext>
            </a:extLst>
          </xdr:cNvPr>
          <xdr:cNvSpPr/>
        </xdr:nvSpPr>
        <xdr:spPr>
          <a:xfrm>
            <a:off x="15077870" y="8533264"/>
            <a:ext cx="18891" cy="18750"/>
          </a:xfrm>
          <a:custGeom>
            <a:avLst/>
            <a:gdLst>
              <a:gd name="connsiteX0" fmla="*/ 18892 w 18891"/>
              <a:gd name="connsiteY0" fmla="*/ 9375 h 18750"/>
              <a:gd name="connsiteX1" fmla="*/ 9446 w 18891"/>
              <a:gd name="connsiteY1" fmla="*/ 18750 h 18750"/>
              <a:gd name="connsiteX2" fmla="*/ 0 w 18891"/>
              <a:gd name="connsiteY2" fmla="*/ 9375 h 18750"/>
              <a:gd name="connsiteX3" fmla="*/ 9446 w 18891"/>
              <a:gd name="connsiteY3" fmla="*/ 0 h 18750"/>
              <a:gd name="connsiteX4" fmla="*/ 18892 w 18891"/>
              <a:gd name="connsiteY4" fmla="*/ 9375 h 187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8891" h="18750">
                <a:moveTo>
                  <a:pt x="18892" y="9375"/>
                </a:moveTo>
                <a:cubicBezTo>
                  <a:pt x="18892" y="14553"/>
                  <a:pt x="14663" y="18750"/>
                  <a:pt x="9446" y="18750"/>
                </a:cubicBezTo>
                <a:cubicBezTo>
                  <a:pt x="4229" y="18750"/>
                  <a:pt x="0" y="14553"/>
                  <a:pt x="0" y="9375"/>
                </a:cubicBezTo>
                <a:cubicBezTo>
                  <a:pt x="0" y="4197"/>
                  <a:pt x="4229" y="0"/>
                  <a:pt x="9446" y="0"/>
                </a:cubicBezTo>
                <a:cubicBezTo>
                  <a:pt x="14663" y="0"/>
                  <a:pt x="18892" y="4197"/>
                  <a:pt x="18892" y="937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62" name="Freeform: Shape 361">
            <a:extLst>
              <a:ext uri="{FF2B5EF4-FFF2-40B4-BE49-F238E27FC236}">
                <a16:creationId xmlns:a16="http://schemas.microsoft.com/office/drawing/2014/main" id="{54D89939-D428-4CBF-8262-504AB405DB2A}"/>
              </a:ext>
            </a:extLst>
          </xdr:cNvPr>
          <xdr:cNvSpPr/>
        </xdr:nvSpPr>
        <xdr:spPr>
          <a:xfrm>
            <a:off x="15119431" y="8533263"/>
            <a:ext cx="18897" cy="18756"/>
          </a:xfrm>
          <a:custGeom>
            <a:avLst/>
            <a:gdLst>
              <a:gd name="connsiteX0" fmla="*/ 9446 w 18897"/>
              <a:gd name="connsiteY0" fmla="*/ 1 h 18756"/>
              <a:gd name="connsiteX1" fmla="*/ 0 w 18897"/>
              <a:gd name="connsiteY1" fmla="*/ 9376 h 18756"/>
              <a:gd name="connsiteX2" fmla="*/ 9446 w 18897"/>
              <a:gd name="connsiteY2" fmla="*/ 18751 h 18756"/>
              <a:gd name="connsiteX3" fmla="*/ 18892 w 18897"/>
              <a:gd name="connsiteY3" fmla="*/ 10017 h 18756"/>
              <a:gd name="connsiteX4" fmla="*/ 18892 w 18897"/>
              <a:gd name="connsiteY4" fmla="*/ 9376 h 18756"/>
              <a:gd name="connsiteX5" fmla="*/ 9630 w 18897"/>
              <a:gd name="connsiteY5" fmla="*/ 1 h 18756"/>
              <a:gd name="connsiteX6" fmla="*/ 9446 w 18897"/>
              <a:gd name="connsiteY6" fmla="*/ 1 h 187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8897" h="18756">
                <a:moveTo>
                  <a:pt x="9446" y="1"/>
                </a:moveTo>
                <a:cubicBezTo>
                  <a:pt x="4229" y="1"/>
                  <a:pt x="0" y="4198"/>
                  <a:pt x="0" y="9376"/>
                </a:cubicBezTo>
                <a:cubicBezTo>
                  <a:pt x="0" y="14553"/>
                  <a:pt x="4229" y="18751"/>
                  <a:pt x="9446" y="18751"/>
                </a:cubicBezTo>
                <a:cubicBezTo>
                  <a:pt x="14484" y="18928"/>
                  <a:pt x="18713" y="15017"/>
                  <a:pt x="18892" y="10017"/>
                </a:cubicBezTo>
                <a:cubicBezTo>
                  <a:pt x="18899" y="9803"/>
                  <a:pt x="18899" y="9589"/>
                  <a:pt x="18892" y="9376"/>
                </a:cubicBezTo>
                <a:cubicBezTo>
                  <a:pt x="18943" y="4249"/>
                  <a:pt x="14796" y="51"/>
                  <a:pt x="9630" y="1"/>
                </a:cubicBezTo>
                <a:cubicBezTo>
                  <a:pt x="9569" y="0"/>
                  <a:pt x="9507" y="0"/>
                  <a:pt x="9446" y="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8</xdr:col>
      <xdr:colOff>191341</xdr:colOff>
      <xdr:row>18</xdr:row>
      <xdr:rowOff>131065</xdr:rowOff>
    </xdr:from>
    <xdr:to>
      <xdr:col>8</xdr:col>
      <xdr:colOff>387825</xdr:colOff>
      <xdr:row>18</xdr:row>
      <xdr:rowOff>434862</xdr:rowOff>
    </xdr:to>
    <xdr:grpSp>
      <xdr:nvGrpSpPr>
        <xdr:cNvPr id="363" name="owl" descr="Owl outline">
          <a:extLst>
            <a:ext uri="{FF2B5EF4-FFF2-40B4-BE49-F238E27FC236}">
              <a16:creationId xmlns:a16="http://schemas.microsoft.com/office/drawing/2014/main" id="{4B1B5D91-8770-49F0-858D-127CFA85DF75}"/>
            </a:ext>
          </a:extLst>
        </xdr:cNvPr>
        <xdr:cNvGrpSpPr>
          <a:grpSpLocks noChangeAspect="1"/>
        </xdr:cNvGrpSpPr>
      </xdr:nvGrpSpPr>
      <xdr:grpSpPr>
        <a:xfrm>
          <a:off x="7306516" y="9313165"/>
          <a:ext cx="196484" cy="303797"/>
          <a:chOff x="14371984" y="8410592"/>
          <a:chExt cx="196484" cy="303797"/>
        </a:xfrm>
        <a:solidFill>
          <a:srgbClr val="1F4E78"/>
        </a:solidFill>
      </xdr:grpSpPr>
      <xdr:sp macro="" textlink="">
        <xdr:nvSpPr>
          <xdr:cNvPr id="364" name="Freeform: Shape 363">
            <a:extLst>
              <a:ext uri="{FF2B5EF4-FFF2-40B4-BE49-F238E27FC236}">
                <a16:creationId xmlns:a16="http://schemas.microsoft.com/office/drawing/2014/main" id="{8B894D58-C166-43E2-8153-3129177D772B}"/>
              </a:ext>
            </a:extLst>
          </xdr:cNvPr>
          <xdr:cNvSpPr/>
        </xdr:nvSpPr>
        <xdr:spPr>
          <a:xfrm>
            <a:off x="14410161" y="8436882"/>
            <a:ext cx="120930" cy="81606"/>
          </a:xfrm>
          <a:custGeom>
            <a:avLst/>
            <a:gdLst>
              <a:gd name="connsiteX0" fmla="*/ 32136 w 120930"/>
              <a:gd name="connsiteY0" fmla="*/ 63756 h 81606"/>
              <a:gd name="connsiteX1" fmla="*/ 45965 w 120930"/>
              <a:gd name="connsiteY1" fmla="*/ 60606 h 81606"/>
              <a:gd name="connsiteX2" fmla="*/ 60213 w 120930"/>
              <a:gd name="connsiteY2" fmla="*/ 81606 h 81606"/>
              <a:gd name="connsiteX3" fmla="*/ 75111 w 120930"/>
              <a:gd name="connsiteY3" fmla="*/ 60663 h 81606"/>
              <a:gd name="connsiteX4" fmla="*/ 117818 w 120930"/>
              <a:gd name="connsiteY4" fmla="*/ 45619 h 81606"/>
              <a:gd name="connsiteX5" fmla="*/ 120878 w 120930"/>
              <a:gd name="connsiteY5" fmla="*/ 30138 h 81606"/>
              <a:gd name="connsiteX6" fmla="*/ 87029 w 120930"/>
              <a:gd name="connsiteY6" fmla="*/ 81 h 81606"/>
              <a:gd name="connsiteX7" fmla="*/ 60474 w 120930"/>
              <a:gd name="connsiteY7" fmla="*/ 16908 h 81606"/>
              <a:gd name="connsiteX8" fmla="*/ 17035 w 120930"/>
              <a:gd name="connsiteY8" fmla="*/ 3742 h 81606"/>
              <a:gd name="connsiteX9" fmla="*/ 3770 w 120930"/>
              <a:gd name="connsiteY9" fmla="*/ 46855 h 81606"/>
              <a:gd name="connsiteX10" fmla="*/ 32136 w 120930"/>
              <a:gd name="connsiteY10" fmla="*/ 63756 h 81606"/>
              <a:gd name="connsiteX11" fmla="*/ 60361 w 120930"/>
              <a:gd name="connsiteY11" fmla="*/ 68399 h 81606"/>
              <a:gd name="connsiteX12" fmla="*/ 52366 w 120930"/>
              <a:gd name="connsiteY12" fmla="*/ 56609 h 81606"/>
              <a:gd name="connsiteX13" fmla="*/ 60470 w 120930"/>
              <a:gd name="connsiteY13" fmla="*/ 46859 h 81606"/>
              <a:gd name="connsiteX14" fmla="*/ 68688 w 120930"/>
              <a:gd name="connsiteY14" fmla="*/ 56695 h 81606"/>
              <a:gd name="connsiteX15" fmla="*/ 88804 w 120930"/>
              <a:gd name="connsiteY15" fmla="*/ 7506 h 81606"/>
              <a:gd name="connsiteX16" fmla="*/ 113363 w 120930"/>
              <a:gd name="connsiteY16" fmla="*/ 31881 h 81606"/>
              <a:gd name="connsiteX17" fmla="*/ 88804 w 120930"/>
              <a:gd name="connsiteY17" fmla="*/ 56256 h 81606"/>
              <a:gd name="connsiteX18" fmla="*/ 64245 w 120930"/>
              <a:gd name="connsiteY18" fmla="*/ 31953 h 81606"/>
              <a:gd name="connsiteX19" fmla="*/ 64245 w 120930"/>
              <a:gd name="connsiteY19" fmla="*/ 31810 h 81606"/>
              <a:gd name="connsiteX20" fmla="*/ 88804 w 120930"/>
              <a:gd name="connsiteY20" fmla="*/ 7506 h 81606"/>
              <a:gd name="connsiteX21" fmla="*/ 30954 w 120930"/>
              <a:gd name="connsiteY21" fmla="*/ 7536 h 81606"/>
              <a:gd name="connsiteX22" fmla="*/ 56672 w 120930"/>
              <a:gd name="connsiteY22" fmla="*/ 30751 h 81606"/>
              <a:gd name="connsiteX23" fmla="*/ 56699 w 120930"/>
              <a:gd name="connsiteY23" fmla="*/ 31810 h 81606"/>
              <a:gd name="connsiteX24" fmla="*/ 56699 w 120930"/>
              <a:gd name="connsiteY24" fmla="*/ 31953 h 81606"/>
              <a:gd name="connsiteX25" fmla="*/ 32070 w 120930"/>
              <a:gd name="connsiteY25" fmla="*/ 56258 h 81606"/>
              <a:gd name="connsiteX26" fmla="*/ 7581 w 120930"/>
              <a:gd name="connsiteY26" fmla="*/ 31813 h 81606"/>
              <a:gd name="connsiteX27" fmla="*/ 30954 w 120930"/>
              <a:gd name="connsiteY27" fmla="*/ 7536 h 8160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</a:cxnLst>
            <a:rect l="l" t="t" r="r" b="b"/>
            <a:pathLst>
              <a:path w="120930" h="81606">
                <a:moveTo>
                  <a:pt x="32136" y="63756"/>
                </a:moveTo>
                <a:cubicBezTo>
                  <a:pt x="36926" y="63752"/>
                  <a:pt x="41653" y="62675"/>
                  <a:pt x="45965" y="60606"/>
                </a:cubicBezTo>
                <a:lnTo>
                  <a:pt x="60213" y="81606"/>
                </a:lnTo>
                <a:lnTo>
                  <a:pt x="75111" y="60663"/>
                </a:lnTo>
                <a:cubicBezTo>
                  <a:pt x="91090" y="68213"/>
                  <a:pt x="110211" y="61478"/>
                  <a:pt x="117818" y="45619"/>
                </a:cubicBezTo>
                <a:cubicBezTo>
                  <a:pt x="120132" y="40795"/>
                  <a:pt x="121185" y="35471"/>
                  <a:pt x="120878" y="30138"/>
                </a:cubicBezTo>
                <a:cubicBezTo>
                  <a:pt x="119894" y="12561"/>
                  <a:pt x="104739" y="-896"/>
                  <a:pt x="87029" y="81"/>
                </a:cubicBezTo>
                <a:cubicBezTo>
                  <a:pt x="75823" y="699"/>
                  <a:pt x="65755" y="7079"/>
                  <a:pt x="60474" y="16908"/>
                </a:cubicBezTo>
                <a:cubicBezTo>
                  <a:pt x="52142" y="1367"/>
                  <a:pt x="32694" y="-4527"/>
                  <a:pt x="17035" y="3742"/>
                </a:cubicBezTo>
                <a:cubicBezTo>
                  <a:pt x="1377" y="12012"/>
                  <a:pt x="-4562" y="31314"/>
                  <a:pt x="3770" y="46855"/>
                </a:cubicBezTo>
                <a:cubicBezTo>
                  <a:pt x="9350" y="57261"/>
                  <a:pt x="20260" y="63762"/>
                  <a:pt x="32136" y="63756"/>
                </a:cubicBezTo>
                <a:close/>
                <a:moveTo>
                  <a:pt x="60361" y="68399"/>
                </a:moveTo>
                <a:lnTo>
                  <a:pt x="52366" y="56609"/>
                </a:lnTo>
                <a:cubicBezTo>
                  <a:pt x="55692" y="53925"/>
                  <a:pt x="58447" y="50610"/>
                  <a:pt x="60470" y="46859"/>
                </a:cubicBezTo>
                <a:cubicBezTo>
                  <a:pt x="62518" y="50651"/>
                  <a:pt x="65312" y="53996"/>
                  <a:pt x="68688" y="56695"/>
                </a:cubicBezTo>
                <a:close/>
                <a:moveTo>
                  <a:pt x="88804" y="7506"/>
                </a:moveTo>
                <a:cubicBezTo>
                  <a:pt x="102368" y="7506"/>
                  <a:pt x="113363" y="18420"/>
                  <a:pt x="113363" y="31881"/>
                </a:cubicBezTo>
                <a:cubicBezTo>
                  <a:pt x="113363" y="45343"/>
                  <a:pt x="102367" y="56256"/>
                  <a:pt x="88804" y="56256"/>
                </a:cubicBezTo>
                <a:cubicBezTo>
                  <a:pt x="75268" y="56256"/>
                  <a:pt x="64284" y="45387"/>
                  <a:pt x="64245" y="31953"/>
                </a:cubicBezTo>
                <a:lnTo>
                  <a:pt x="64245" y="31810"/>
                </a:lnTo>
                <a:cubicBezTo>
                  <a:pt x="64301" y="18383"/>
                  <a:pt x="75275" y="7523"/>
                  <a:pt x="88804" y="7506"/>
                </a:cubicBezTo>
                <a:close/>
                <a:moveTo>
                  <a:pt x="30954" y="7536"/>
                </a:moveTo>
                <a:cubicBezTo>
                  <a:pt x="44515" y="6898"/>
                  <a:pt x="56029" y="17292"/>
                  <a:pt x="56672" y="30751"/>
                </a:cubicBezTo>
                <a:cubicBezTo>
                  <a:pt x="56689" y="31104"/>
                  <a:pt x="56698" y="31457"/>
                  <a:pt x="56699" y="31810"/>
                </a:cubicBezTo>
                <a:lnTo>
                  <a:pt x="56699" y="31953"/>
                </a:lnTo>
                <a:cubicBezTo>
                  <a:pt x="56660" y="45414"/>
                  <a:pt x="45634" y="56296"/>
                  <a:pt x="32070" y="56258"/>
                </a:cubicBezTo>
                <a:cubicBezTo>
                  <a:pt x="18506" y="56219"/>
                  <a:pt x="7542" y="45275"/>
                  <a:pt x="7581" y="31813"/>
                </a:cubicBezTo>
                <a:cubicBezTo>
                  <a:pt x="7619" y="18836"/>
                  <a:pt x="17894" y="8163"/>
                  <a:pt x="30954" y="753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65" name="Freeform: Shape 364">
            <a:extLst>
              <a:ext uri="{FF2B5EF4-FFF2-40B4-BE49-F238E27FC236}">
                <a16:creationId xmlns:a16="http://schemas.microsoft.com/office/drawing/2014/main" id="{09B9E458-D6BE-4EAD-B50A-550B92044E4D}"/>
              </a:ext>
            </a:extLst>
          </xdr:cNvPr>
          <xdr:cNvSpPr/>
        </xdr:nvSpPr>
        <xdr:spPr>
          <a:xfrm>
            <a:off x="14432851" y="8459389"/>
            <a:ext cx="18892" cy="18751"/>
          </a:xfrm>
          <a:custGeom>
            <a:avLst/>
            <a:gdLst>
              <a:gd name="connsiteX0" fmla="*/ 8672 w 18892"/>
              <a:gd name="connsiteY0" fmla="*/ 18719 h 18751"/>
              <a:gd name="connsiteX1" fmla="*/ 18860 w 18892"/>
              <a:gd name="connsiteY1" fmla="*/ 10144 h 18751"/>
              <a:gd name="connsiteX2" fmla="*/ 10220 w 18892"/>
              <a:gd name="connsiteY2" fmla="*/ 32 h 18751"/>
              <a:gd name="connsiteX3" fmla="*/ 32 w 18892"/>
              <a:gd name="connsiteY3" fmla="*/ 8607 h 18751"/>
              <a:gd name="connsiteX4" fmla="*/ 31 w 18892"/>
              <a:gd name="connsiteY4" fmla="*/ 10132 h 18751"/>
              <a:gd name="connsiteX5" fmla="*/ 8672 w 18892"/>
              <a:gd name="connsiteY5" fmla="*/ 18719 h 187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8892" h="18751">
                <a:moveTo>
                  <a:pt x="8672" y="18719"/>
                </a:moveTo>
                <a:cubicBezTo>
                  <a:pt x="13871" y="19143"/>
                  <a:pt x="18432" y="15304"/>
                  <a:pt x="18860" y="10144"/>
                </a:cubicBezTo>
                <a:cubicBezTo>
                  <a:pt x="19287" y="4984"/>
                  <a:pt x="15419" y="457"/>
                  <a:pt x="10220" y="32"/>
                </a:cubicBezTo>
                <a:cubicBezTo>
                  <a:pt x="5021" y="-392"/>
                  <a:pt x="459" y="3447"/>
                  <a:pt x="32" y="8607"/>
                </a:cubicBezTo>
                <a:cubicBezTo>
                  <a:pt x="-10" y="9115"/>
                  <a:pt x="-10" y="9624"/>
                  <a:pt x="31" y="10132"/>
                </a:cubicBezTo>
                <a:cubicBezTo>
                  <a:pt x="404" y="14708"/>
                  <a:pt x="4061" y="18343"/>
                  <a:pt x="8672" y="1871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66" name="Freeform: Shape 365">
            <a:extLst>
              <a:ext uri="{FF2B5EF4-FFF2-40B4-BE49-F238E27FC236}">
                <a16:creationId xmlns:a16="http://schemas.microsoft.com/office/drawing/2014/main" id="{94E56A68-A5AC-406D-B6A3-EC23E7181292}"/>
              </a:ext>
            </a:extLst>
          </xdr:cNvPr>
          <xdr:cNvSpPr/>
        </xdr:nvSpPr>
        <xdr:spPr>
          <a:xfrm>
            <a:off x="14489519" y="8459389"/>
            <a:ext cx="18892" cy="18751"/>
          </a:xfrm>
          <a:custGeom>
            <a:avLst/>
            <a:gdLst>
              <a:gd name="connsiteX0" fmla="*/ 8672 w 18892"/>
              <a:gd name="connsiteY0" fmla="*/ 18719 h 18751"/>
              <a:gd name="connsiteX1" fmla="*/ 18860 w 18892"/>
              <a:gd name="connsiteY1" fmla="*/ 10144 h 18751"/>
              <a:gd name="connsiteX2" fmla="*/ 10220 w 18892"/>
              <a:gd name="connsiteY2" fmla="*/ 32 h 18751"/>
              <a:gd name="connsiteX3" fmla="*/ 32 w 18892"/>
              <a:gd name="connsiteY3" fmla="*/ 8607 h 18751"/>
              <a:gd name="connsiteX4" fmla="*/ 31 w 18892"/>
              <a:gd name="connsiteY4" fmla="*/ 10132 h 18751"/>
              <a:gd name="connsiteX5" fmla="*/ 8672 w 18892"/>
              <a:gd name="connsiteY5" fmla="*/ 18719 h 187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8892" h="18751">
                <a:moveTo>
                  <a:pt x="8672" y="18719"/>
                </a:moveTo>
                <a:cubicBezTo>
                  <a:pt x="13871" y="19143"/>
                  <a:pt x="18432" y="15304"/>
                  <a:pt x="18860" y="10144"/>
                </a:cubicBezTo>
                <a:cubicBezTo>
                  <a:pt x="19287" y="4984"/>
                  <a:pt x="15419" y="457"/>
                  <a:pt x="10220" y="32"/>
                </a:cubicBezTo>
                <a:cubicBezTo>
                  <a:pt x="5021" y="-392"/>
                  <a:pt x="459" y="3447"/>
                  <a:pt x="32" y="8607"/>
                </a:cubicBezTo>
                <a:cubicBezTo>
                  <a:pt x="-10" y="9115"/>
                  <a:pt x="-10" y="9624"/>
                  <a:pt x="31" y="10132"/>
                </a:cubicBezTo>
                <a:cubicBezTo>
                  <a:pt x="404" y="14708"/>
                  <a:pt x="4061" y="18343"/>
                  <a:pt x="8672" y="1871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67" name="Freeform: Shape 366">
            <a:extLst>
              <a:ext uri="{FF2B5EF4-FFF2-40B4-BE49-F238E27FC236}">
                <a16:creationId xmlns:a16="http://schemas.microsoft.com/office/drawing/2014/main" id="{7754AF4E-6BE8-4E31-A44E-066A52F8F4AC}"/>
              </a:ext>
            </a:extLst>
          </xdr:cNvPr>
          <xdr:cNvSpPr/>
        </xdr:nvSpPr>
        <xdr:spPr>
          <a:xfrm>
            <a:off x="14371984" y="8410592"/>
            <a:ext cx="196484" cy="303797"/>
          </a:xfrm>
          <a:custGeom>
            <a:avLst/>
            <a:gdLst>
              <a:gd name="connsiteX0" fmla="*/ 19494 w 196484"/>
              <a:gd name="connsiteY0" fmla="*/ 42241 h 303797"/>
              <a:gd name="connsiteX1" fmla="*/ 15134 w 196484"/>
              <a:gd name="connsiteY1" fmla="*/ 64921 h 303797"/>
              <a:gd name="connsiteX2" fmla="*/ 21448 w 196484"/>
              <a:gd name="connsiteY2" fmla="*/ 93046 h 303797"/>
              <a:gd name="connsiteX3" fmla="*/ 6 w 196484"/>
              <a:gd name="connsiteY3" fmla="*/ 172546 h 303797"/>
              <a:gd name="connsiteX4" fmla="*/ 38839 w 196484"/>
              <a:gd name="connsiteY4" fmla="*/ 273954 h 303797"/>
              <a:gd name="connsiteX5" fmla="*/ 37808 w 196484"/>
              <a:gd name="connsiteY5" fmla="*/ 273796 h 303797"/>
              <a:gd name="connsiteX6" fmla="*/ 26473 w 196484"/>
              <a:gd name="connsiteY6" fmla="*/ 285046 h 303797"/>
              <a:gd name="connsiteX7" fmla="*/ 37808 w 196484"/>
              <a:gd name="connsiteY7" fmla="*/ 303796 h 303797"/>
              <a:gd name="connsiteX8" fmla="*/ 43419 w 196484"/>
              <a:gd name="connsiteY8" fmla="*/ 300856 h 303797"/>
              <a:gd name="connsiteX9" fmla="*/ 53044 w 196484"/>
              <a:gd name="connsiteY9" fmla="*/ 302566 h 303797"/>
              <a:gd name="connsiteX10" fmla="*/ 54814 w 196484"/>
              <a:gd name="connsiteY10" fmla="*/ 300789 h 303797"/>
              <a:gd name="connsiteX11" fmla="*/ 60482 w 196484"/>
              <a:gd name="connsiteY11" fmla="*/ 303789 h 303797"/>
              <a:gd name="connsiteX12" fmla="*/ 69716 w 196484"/>
              <a:gd name="connsiteY12" fmla="*/ 294504 h 303797"/>
              <a:gd name="connsiteX13" fmla="*/ 126814 w 196484"/>
              <a:gd name="connsiteY13" fmla="*/ 294504 h 303797"/>
              <a:gd name="connsiteX14" fmla="*/ 136060 w 196484"/>
              <a:gd name="connsiteY14" fmla="*/ 303796 h 303797"/>
              <a:gd name="connsiteX15" fmla="*/ 141667 w 196484"/>
              <a:gd name="connsiteY15" fmla="*/ 300856 h 303797"/>
              <a:gd name="connsiteX16" fmla="*/ 151282 w 196484"/>
              <a:gd name="connsiteY16" fmla="*/ 302563 h 303797"/>
              <a:gd name="connsiteX17" fmla="*/ 153002 w 196484"/>
              <a:gd name="connsiteY17" fmla="*/ 300856 h 303797"/>
              <a:gd name="connsiteX18" fmla="*/ 158730 w 196484"/>
              <a:gd name="connsiteY18" fmla="*/ 303796 h 303797"/>
              <a:gd name="connsiteX19" fmla="*/ 170065 w 196484"/>
              <a:gd name="connsiteY19" fmla="*/ 285046 h 303797"/>
              <a:gd name="connsiteX20" fmla="*/ 158730 w 196484"/>
              <a:gd name="connsiteY20" fmla="*/ 273796 h 303797"/>
              <a:gd name="connsiteX21" fmla="*/ 157638 w 196484"/>
              <a:gd name="connsiteY21" fmla="*/ 273950 h 303797"/>
              <a:gd name="connsiteX22" fmla="*/ 196480 w 196484"/>
              <a:gd name="connsiteY22" fmla="*/ 172546 h 303797"/>
              <a:gd name="connsiteX23" fmla="*/ 175551 w 196484"/>
              <a:gd name="connsiteY23" fmla="*/ 93954 h 303797"/>
              <a:gd name="connsiteX24" fmla="*/ 182160 w 196484"/>
              <a:gd name="connsiteY24" fmla="*/ 65296 h 303797"/>
              <a:gd name="connsiteX25" fmla="*/ 177845 w 196484"/>
              <a:gd name="connsiteY25" fmla="*/ 42537 h 303797"/>
              <a:gd name="connsiteX26" fmla="*/ 177996 w 196484"/>
              <a:gd name="connsiteY26" fmla="*/ 39984 h 303797"/>
              <a:gd name="connsiteX27" fmla="*/ 179507 w 196484"/>
              <a:gd name="connsiteY27" fmla="*/ 10077 h 303797"/>
              <a:gd name="connsiteX28" fmla="*/ 179496 w 196484"/>
              <a:gd name="connsiteY28" fmla="*/ 9796 h 303797"/>
              <a:gd name="connsiteX29" fmla="*/ 175302 w 196484"/>
              <a:gd name="connsiteY29" fmla="*/ 2615 h 303797"/>
              <a:gd name="connsiteX30" fmla="*/ 167428 w 196484"/>
              <a:gd name="connsiteY30" fmla="*/ 440 h 303797"/>
              <a:gd name="connsiteX31" fmla="*/ 138047 w 196484"/>
              <a:gd name="connsiteY31" fmla="*/ 8971 h 303797"/>
              <a:gd name="connsiteX32" fmla="*/ 98269 w 196484"/>
              <a:gd name="connsiteY32" fmla="*/ 5296 h 303797"/>
              <a:gd name="connsiteX33" fmla="*/ 58536 w 196484"/>
              <a:gd name="connsiteY33" fmla="*/ 8967 h 303797"/>
              <a:gd name="connsiteX34" fmla="*/ 30633 w 196484"/>
              <a:gd name="connsiteY34" fmla="*/ 222 h 303797"/>
              <a:gd name="connsiteX35" fmla="*/ 29877 w 196484"/>
              <a:gd name="connsiteY35" fmla="*/ 65 h 303797"/>
              <a:gd name="connsiteX36" fmla="*/ 17805 w 196484"/>
              <a:gd name="connsiteY36" fmla="*/ 9440 h 303797"/>
              <a:gd name="connsiteX37" fmla="*/ 17779 w 196484"/>
              <a:gd name="connsiteY37" fmla="*/ 9721 h 303797"/>
              <a:gd name="connsiteX38" fmla="*/ 19290 w 196484"/>
              <a:gd name="connsiteY38" fmla="*/ 39440 h 303797"/>
              <a:gd name="connsiteX39" fmla="*/ 188923 w 196484"/>
              <a:gd name="connsiteY39" fmla="*/ 172546 h 303797"/>
              <a:gd name="connsiteX40" fmla="*/ 165157 w 196484"/>
              <a:gd name="connsiteY40" fmla="*/ 253351 h 303797"/>
              <a:gd name="connsiteX41" fmla="*/ 102021 w 196484"/>
              <a:gd name="connsiteY41" fmla="*/ 156871 h 303797"/>
              <a:gd name="connsiteX42" fmla="*/ 103653 w 196484"/>
              <a:gd name="connsiteY42" fmla="*/ 138661 h 303797"/>
              <a:gd name="connsiteX43" fmla="*/ 171240 w 196484"/>
              <a:gd name="connsiteY43" fmla="*/ 101570 h 303797"/>
              <a:gd name="connsiteX44" fmla="*/ 188923 w 196484"/>
              <a:gd name="connsiteY44" fmla="*/ 172546 h 303797"/>
              <a:gd name="connsiteX45" fmla="*/ 26832 w 196484"/>
              <a:gd name="connsiteY45" fmla="*/ 39234 h 303797"/>
              <a:gd name="connsiteX46" fmla="*/ 25339 w 196484"/>
              <a:gd name="connsiteY46" fmla="*/ 9961 h 303797"/>
              <a:gd name="connsiteX47" fmla="*/ 28740 w 196484"/>
              <a:gd name="connsiteY47" fmla="*/ 7509 h 303797"/>
              <a:gd name="connsiteX48" fmla="*/ 28770 w 196484"/>
              <a:gd name="connsiteY48" fmla="*/ 7509 h 303797"/>
              <a:gd name="connsiteX49" fmla="*/ 57603 w 196484"/>
              <a:gd name="connsiteY49" fmla="*/ 16546 h 303797"/>
              <a:gd name="connsiteX50" fmla="*/ 59413 w 196484"/>
              <a:gd name="connsiteY50" fmla="*/ 16452 h 303797"/>
              <a:gd name="connsiteX51" fmla="*/ 98269 w 196484"/>
              <a:gd name="connsiteY51" fmla="*/ 12796 h 303797"/>
              <a:gd name="connsiteX52" fmla="*/ 137065 w 196484"/>
              <a:gd name="connsiteY52" fmla="*/ 16445 h 303797"/>
              <a:gd name="connsiteX53" fmla="*/ 137500 w 196484"/>
              <a:gd name="connsiteY53" fmla="*/ 16546 h 303797"/>
              <a:gd name="connsiteX54" fmla="*/ 168482 w 196484"/>
              <a:gd name="connsiteY54" fmla="*/ 7887 h 303797"/>
              <a:gd name="connsiteX55" fmla="*/ 170806 w 196484"/>
              <a:gd name="connsiteY55" fmla="*/ 8637 h 303797"/>
              <a:gd name="connsiteX56" fmla="*/ 171939 w 196484"/>
              <a:gd name="connsiteY56" fmla="*/ 10329 h 303797"/>
              <a:gd name="connsiteX57" fmla="*/ 170428 w 196484"/>
              <a:gd name="connsiteY57" fmla="*/ 39800 h 303797"/>
              <a:gd name="connsiteX58" fmla="*/ 170390 w 196484"/>
              <a:gd name="connsiteY58" fmla="*/ 44322 h 303797"/>
              <a:gd name="connsiteX59" fmla="*/ 174603 w 196484"/>
              <a:gd name="connsiteY59" fmla="*/ 65296 h 303797"/>
              <a:gd name="connsiteX60" fmla="*/ 98658 w 196484"/>
              <a:gd name="connsiteY60" fmla="*/ 131296 h 303797"/>
              <a:gd name="connsiteX61" fmla="*/ 22713 w 196484"/>
              <a:gd name="connsiteY61" fmla="*/ 64921 h 303797"/>
              <a:gd name="connsiteX62" fmla="*/ 27017 w 196484"/>
              <a:gd name="connsiteY62" fmla="*/ 43715 h 303797"/>
              <a:gd name="connsiteX63" fmla="*/ 25679 w 196484"/>
              <a:gd name="connsiteY63" fmla="*/ 100809 h 303797"/>
              <a:gd name="connsiteX64" fmla="*/ 92730 w 196484"/>
              <a:gd name="connsiteY64" fmla="*/ 138597 h 303797"/>
              <a:gd name="connsiteX65" fmla="*/ 94464 w 196484"/>
              <a:gd name="connsiteY65" fmla="*/ 157475 h 303797"/>
              <a:gd name="connsiteX66" fmla="*/ 31615 w 196484"/>
              <a:gd name="connsiteY66" fmla="*/ 253782 h 303797"/>
              <a:gd name="connsiteX67" fmla="*/ 7562 w 196484"/>
              <a:gd name="connsiteY67" fmla="*/ 172546 h 303797"/>
              <a:gd name="connsiteX68" fmla="*/ 25679 w 196484"/>
              <a:gd name="connsiteY68" fmla="*/ 100809 h 303797"/>
              <a:gd name="connsiteX69" fmla="*/ 40037 w 196484"/>
              <a:gd name="connsiteY69" fmla="*/ 291796 h 303797"/>
              <a:gd name="connsiteX70" fmla="*/ 37770 w 196484"/>
              <a:gd name="connsiteY70" fmla="*/ 295876 h 303797"/>
              <a:gd name="connsiteX71" fmla="*/ 37717 w 196484"/>
              <a:gd name="connsiteY71" fmla="*/ 295884 h 303797"/>
              <a:gd name="connsiteX72" fmla="*/ 37710 w 196484"/>
              <a:gd name="connsiteY72" fmla="*/ 295876 h 303797"/>
              <a:gd name="connsiteX73" fmla="*/ 34030 w 196484"/>
              <a:gd name="connsiteY73" fmla="*/ 285046 h 303797"/>
              <a:gd name="connsiteX74" fmla="*/ 37808 w 196484"/>
              <a:gd name="connsiteY74" fmla="*/ 281296 h 303797"/>
              <a:gd name="connsiteX75" fmla="*/ 40804 w 196484"/>
              <a:gd name="connsiteY75" fmla="*/ 282822 h 303797"/>
              <a:gd name="connsiteX76" fmla="*/ 43037 w 196484"/>
              <a:gd name="connsiteY76" fmla="*/ 285042 h 303797"/>
              <a:gd name="connsiteX77" fmla="*/ 51372 w 196484"/>
              <a:gd name="connsiteY77" fmla="*/ 291796 h 303797"/>
              <a:gd name="connsiteX78" fmla="*/ 49135 w 196484"/>
              <a:gd name="connsiteY78" fmla="*/ 295872 h 303797"/>
              <a:gd name="connsiteX79" fmla="*/ 49088 w 196484"/>
              <a:gd name="connsiteY79" fmla="*/ 295882 h 303797"/>
              <a:gd name="connsiteX80" fmla="*/ 49079 w 196484"/>
              <a:gd name="connsiteY80" fmla="*/ 295872 h 303797"/>
              <a:gd name="connsiteX81" fmla="*/ 46997 w 196484"/>
              <a:gd name="connsiteY81" fmla="*/ 291927 h 303797"/>
              <a:gd name="connsiteX82" fmla="*/ 44144 w 196484"/>
              <a:gd name="connsiteY82" fmla="*/ 284847 h 303797"/>
              <a:gd name="connsiteX83" fmla="*/ 46162 w 196484"/>
              <a:gd name="connsiteY83" fmla="*/ 282845 h 303797"/>
              <a:gd name="connsiteX84" fmla="*/ 51302 w 196484"/>
              <a:gd name="connsiteY84" fmla="*/ 282003 h 303797"/>
              <a:gd name="connsiteX85" fmla="*/ 52151 w 196484"/>
              <a:gd name="connsiteY85" fmla="*/ 282845 h 303797"/>
              <a:gd name="connsiteX86" fmla="*/ 54384 w 196484"/>
              <a:gd name="connsiteY86" fmla="*/ 285065 h 303797"/>
              <a:gd name="connsiteX87" fmla="*/ 60584 w 196484"/>
              <a:gd name="connsiteY87" fmla="*/ 295887 h 303797"/>
              <a:gd name="connsiteX88" fmla="*/ 60531 w 196484"/>
              <a:gd name="connsiteY88" fmla="*/ 295895 h 303797"/>
              <a:gd name="connsiteX89" fmla="*/ 60523 w 196484"/>
              <a:gd name="connsiteY89" fmla="*/ 295887 h 303797"/>
              <a:gd name="connsiteX90" fmla="*/ 58279 w 196484"/>
              <a:gd name="connsiteY90" fmla="*/ 291796 h 303797"/>
              <a:gd name="connsiteX91" fmla="*/ 55256 w 196484"/>
              <a:gd name="connsiteY91" fmla="*/ 285046 h 303797"/>
              <a:gd name="connsiteX92" fmla="*/ 57489 w 196484"/>
              <a:gd name="connsiteY92" fmla="*/ 282826 h 303797"/>
              <a:gd name="connsiteX93" fmla="*/ 60482 w 196484"/>
              <a:gd name="connsiteY93" fmla="*/ 281296 h 303797"/>
              <a:gd name="connsiteX94" fmla="*/ 64260 w 196484"/>
              <a:gd name="connsiteY94" fmla="*/ 285046 h 303797"/>
              <a:gd name="connsiteX95" fmla="*/ 60572 w 196484"/>
              <a:gd name="connsiteY95" fmla="*/ 295876 h 303797"/>
              <a:gd name="connsiteX96" fmla="*/ 124721 w 196484"/>
              <a:gd name="connsiteY96" fmla="*/ 285046 h 303797"/>
              <a:gd name="connsiteX97" fmla="*/ 124906 w 196484"/>
              <a:gd name="connsiteY97" fmla="*/ 287217 h 303797"/>
              <a:gd name="connsiteX98" fmla="*/ 71632 w 196484"/>
              <a:gd name="connsiteY98" fmla="*/ 287236 h 303797"/>
              <a:gd name="connsiteX99" fmla="*/ 71821 w 196484"/>
              <a:gd name="connsiteY99" fmla="*/ 285046 h 303797"/>
              <a:gd name="connsiteX100" fmla="*/ 60486 w 196484"/>
              <a:gd name="connsiteY100" fmla="*/ 273796 h 303797"/>
              <a:gd name="connsiteX101" fmla="*/ 54818 w 196484"/>
              <a:gd name="connsiteY101" fmla="*/ 275420 h 303797"/>
              <a:gd name="connsiteX102" fmla="*/ 49906 w 196484"/>
              <a:gd name="connsiteY102" fmla="*/ 273920 h 303797"/>
              <a:gd name="connsiteX103" fmla="*/ 36187 w 196484"/>
              <a:gd name="connsiteY103" fmla="*/ 259921 h 303797"/>
              <a:gd name="connsiteX104" fmla="*/ 98314 w 196484"/>
              <a:gd name="connsiteY104" fmla="*/ 185604 h 303797"/>
              <a:gd name="connsiteX105" fmla="*/ 160608 w 196484"/>
              <a:gd name="connsiteY105" fmla="*/ 259479 h 303797"/>
              <a:gd name="connsiteX106" fmla="*/ 146590 w 196484"/>
              <a:gd name="connsiteY106" fmla="*/ 273916 h 303797"/>
              <a:gd name="connsiteX107" fmla="*/ 141728 w 196484"/>
              <a:gd name="connsiteY107" fmla="*/ 275416 h 303797"/>
              <a:gd name="connsiteX108" fmla="*/ 136060 w 196484"/>
              <a:gd name="connsiteY108" fmla="*/ 273792 h 303797"/>
              <a:gd name="connsiteX109" fmla="*/ 124721 w 196484"/>
              <a:gd name="connsiteY109" fmla="*/ 285039 h 303797"/>
              <a:gd name="connsiteX110" fmla="*/ 124721 w 196484"/>
              <a:gd name="connsiteY110" fmla="*/ 285046 h 303797"/>
              <a:gd name="connsiteX111" fmla="*/ 138274 w 196484"/>
              <a:gd name="connsiteY111" fmla="*/ 291796 h 303797"/>
              <a:gd name="connsiteX112" fmla="*/ 136026 w 196484"/>
              <a:gd name="connsiteY112" fmla="*/ 295887 h 303797"/>
              <a:gd name="connsiteX113" fmla="*/ 135979 w 196484"/>
              <a:gd name="connsiteY113" fmla="*/ 295897 h 303797"/>
              <a:gd name="connsiteX114" fmla="*/ 135969 w 196484"/>
              <a:gd name="connsiteY114" fmla="*/ 295887 h 303797"/>
              <a:gd name="connsiteX115" fmla="*/ 132278 w 196484"/>
              <a:gd name="connsiteY115" fmla="*/ 285046 h 303797"/>
              <a:gd name="connsiteX116" fmla="*/ 136056 w 196484"/>
              <a:gd name="connsiteY116" fmla="*/ 281296 h 303797"/>
              <a:gd name="connsiteX117" fmla="*/ 139049 w 196484"/>
              <a:gd name="connsiteY117" fmla="*/ 282822 h 303797"/>
              <a:gd name="connsiteX118" fmla="*/ 141297 w 196484"/>
              <a:gd name="connsiteY118" fmla="*/ 285046 h 303797"/>
              <a:gd name="connsiteX119" fmla="*/ 149609 w 196484"/>
              <a:gd name="connsiteY119" fmla="*/ 291796 h 303797"/>
              <a:gd name="connsiteX120" fmla="*/ 147376 w 196484"/>
              <a:gd name="connsiteY120" fmla="*/ 295872 h 303797"/>
              <a:gd name="connsiteX121" fmla="*/ 147323 w 196484"/>
              <a:gd name="connsiteY121" fmla="*/ 295880 h 303797"/>
              <a:gd name="connsiteX122" fmla="*/ 147316 w 196484"/>
              <a:gd name="connsiteY122" fmla="*/ 295872 h 303797"/>
              <a:gd name="connsiteX123" fmla="*/ 145234 w 196484"/>
              <a:gd name="connsiteY123" fmla="*/ 291927 h 303797"/>
              <a:gd name="connsiteX124" fmla="*/ 142381 w 196484"/>
              <a:gd name="connsiteY124" fmla="*/ 284847 h 303797"/>
              <a:gd name="connsiteX125" fmla="*/ 144399 w 196484"/>
              <a:gd name="connsiteY125" fmla="*/ 282845 h 303797"/>
              <a:gd name="connsiteX126" fmla="*/ 149545 w 196484"/>
              <a:gd name="connsiteY126" fmla="*/ 282005 h 303797"/>
              <a:gd name="connsiteX127" fmla="*/ 150391 w 196484"/>
              <a:gd name="connsiteY127" fmla="*/ 282845 h 303797"/>
              <a:gd name="connsiteX128" fmla="*/ 152632 w 196484"/>
              <a:gd name="connsiteY128" fmla="*/ 285046 h 303797"/>
              <a:gd name="connsiteX129" fmla="*/ 158772 w 196484"/>
              <a:gd name="connsiteY129" fmla="*/ 295921 h 303797"/>
              <a:gd name="connsiteX130" fmla="*/ 158724 w 196484"/>
              <a:gd name="connsiteY130" fmla="*/ 295930 h 303797"/>
              <a:gd name="connsiteX131" fmla="*/ 158715 w 196484"/>
              <a:gd name="connsiteY131" fmla="*/ 295921 h 303797"/>
              <a:gd name="connsiteX132" fmla="*/ 156573 w 196484"/>
              <a:gd name="connsiteY132" fmla="*/ 291905 h 303797"/>
              <a:gd name="connsiteX133" fmla="*/ 153720 w 196484"/>
              <a:gd name="connsiteY133" fmla="*/ 284825 h 303797"/>
              <a:gd name="connsiteX134" fmla="*/ 155738 w 196484"/>
              <a:gd name="connsiteY134" fmla="*/ 282822 h 303797"/>
              <a:gd name="connsiteX135" fmla="*/ 158730 w 196484"/>
              <a:gd name="connsiteY135" fmla="*/ 281296 h 303797"/>
              <a:gd name="connsiteX136" fmla="*/ 162508 w 196484"/>
              <a:gd name="connsiteY136" fmla="*/ 285046 h 303797"/>
              <a:gd name="connsiteX137" fmla="*/ 158772 w 196484"/>
              <a:gd name="connsiteY137" fmla="*/ 295921 h 30379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</a:cxnLst>
            <a:rect l="l" t="t" r="r" b="b"/>
            <a:pathLst>
              <a:path w="196484" h="303797">
                <a:moveTo>
                  <a:pt x="19494" y="42241"/>
                </a:moveTo>
                <a:cubicBezTo>
                  <a:pt x="16740" y="49497"/>
                  <a:pt x="15265" y="57169"/>
                  <a:pt x="15134" y="64921"/>
                </a:cubicBezTo>
                <a:cubicBezTo>
                  <a:pt x="15145" y="74641"/>
                  <a:pt x="17300" y="84241"/>
                  <a:pt x="21448" y="93046"/>
                </a:cubicBezTo>
                <a:cubicBezTo>
                  <a:pt x="7177" y="117129"/>
                  <a:pt x="-234" y="144608"/>
                  <a:pt x="6" y="172546"/>
                </a:cubicBezTo>
                <a:cubicBezTo>
                  <a:pt x="6" y="213886"/>
                  <a:pt x="15270" y="250644"/>
                  <a:pt x="38839" y="273954"/>
                </a:cubicBezTo>
                <a:cubicBezTo>
                  <a:pt x="38499" y="273882"/>
                  <a:pt x="38154" y="273830"/>
                  <a:pt x="37808" y="273796"/>
                </a:cubicBezTo>
                <a:cubicBezTo>
                  <a:pt x="31548" y="273796"/>
                  <a:pt x="26473" y="278833"/>
                  <a:pt x="26473" y="285046"/>
                </a:cubicBezTo>
                <a:cubicBezTo>
                  <a:pt x="26473" y="289411"/>
                  <a:pt x="30006" y="303796"/>
                  <a:pt x="37808" y="303796"/>
                </a:cubicBezTo>
                <a:cubicBezTo>
                  <a:pt x="40028" y="303703"/>
                  <a:pt x="42089" y="302623"/>
                  <a:pt x="43419" y="300856"/>
                </a:cubicBezTo>
                <a:cubicBezTo>
                  <a:pt x="45601" y="303966"/>
                  <a:pt x="49910" y="304732"/>
                  <a:pt x="53044" y="302566"/>
                </a:cubicBezTo>
                <a:cubicBezTo>
                  <a:pt x="53739" y="302086"/>
                  <a:pt x="54339" y="301484"/>
                  <a:pt x="54814" y="300789"/>
                </a:cubicBezTo>
                <a:cubicBezTo>
                  <a:pt x="56148" y="302589"/>
                  <a:pt x="58232" y="303692"/>
                  <a:pt x="60482" y="303789"/>
                </a:cubicBezTo>
                <a:cubicBezTo>
                  <a:pt x="64861" y="303789"/>
                  <a:pt x="67899" y="299251"/>
                  <a:pt x="69716" y="294504"/>
                </a:cubicBezTo>
                <a:cubicBezTo>
                  <a:pt x="88023" y="301881"/>
                  <a:pt x="108507" y="301881"/>
                  <a:pt x="126814" y="294504"/>
                </a:cubicBezTo>
                <a:cubicBezTo>
                  <a:pt x="128632" y="299259"/>
                  <a:pt x="131670" y="303796"/>
                  <a:pt x="136060" y="303796"/>
                </a:cubicBezTo>
                <a:cubicBezTo>
                  <a:pt x="138279" y="303702"/>
                  <a:pt x="140338" y="302622"/>
                  <a:pt x="141667" y="300856"/>
                </a:cubicBezTo>
                <a:cubicBezTo>
                  <a:pt x="143847" y="303963"/>
                  <a:pt x="148152" y="304727"/>
                  <a:pt x="151282" y="302563"/>
                </a:cubicBezTo>
                <a:cubicBezTo>
                  <a:pt x="151953" y="302100"/>
                  <a:pt x="152535" y="301522"/>
                  <a:pt x="153002" y="300856"/>
                </a:cubicBezTo>
                <a:cubicBezTo>
                  <a:pt x="154360" y="302652"/>
                  <a:pt x="156469" y="303734"/>
                  <a:pt x="158730" y="303796"/>
                </a:cubicBezTo>
                <a:cubicBezTo>
                  <a:pt x="166536" y="303796"/>
                  <a:pt x="170065" y="289411"/>
                  <a:pt x="170065" y="285046"/>
                </a:cubicBezTo>
                <a:cubicBezTo>
                  <a:pt x="170065" y="278833"/>
                  <a:pt x="164990" y="273796"/>
                  <a:pt x="158730" y="273796"/>
                </a:cubicBezTo>
                <a:cubicBezTo>
                  <a:pt x="158364" y="273829"/>
                  <a:pt x="157999" y="273880"/>
                  <a:pt x="157638" y="273950"/>
                </a:cubicBezTo>
                <a:cubicBezTo>
                  <a:pt x="181211" y="250651"/>
                  <a:pt x="196480" y="213890"/>
                  <a:pt x="196480" y="172546"/>
                </a:cubicBezTo>
                <a:cubicBezTo>
                  <a:pt x="196695" y="144964"/>
                  <a:pt x="189469" y="117828"/>
                  <a:pt x="175551" y="93954"/>
                </a:cubicBezTo>
                <a:cubicBezTo>
                  <a:pt x="179894" y="85015"/>
                  <a:pt x="182153" y="75220"/>
                  <a:pt x="182160" y="65296"/>
                </a:cubicBezTo>
                <a:cubicBezTo>
                  <a:pt x="182220" y="57504"/>
                  <a:pt x="180754" y="49775"/>
                  <a:pt x="177845" y="42537"/>
                </a:cubicBezTo>
                <a:lnTo>
                  <a:pt x="177996" y="39984"/>
                </a:lnTo>
                <a:lnTo>
                  <a:pt x="179507" y="10077"/>
                </a:lnTo>
                <a:lnTo>
                  <a:pt x="179496" y="9796"/>
                </a:lnTo>
                <a:cubicBezTo>
                  <a:pt x="179192" y="6919"/>
                  <a:pt x="177667" y="4306"/>
                  <a:pt x="175302" y="2615"/>
                </a:cubicBezTo>
                <a:cubicBezTo>
                  <a:pt x="173038" y="949"/>
                  <a:pt x="170233" y="174"/>
                  <a:pt x="167428" y="440"/>
                </a:cubicBezTo>
                <a:lnTo>
                  <a:pt x="138047" y="8971"/>
                </a:lnTo>
                <a:cubicBezTo>
                  <a:pt x="124966" y="6291"/>
                  <a:pt x="111625" y="5058"/>
                  <a:pt x="98269" y="5296"/>
                </a:cubicBezTo>
                <a:cubicBezTo>
                  <a:pt x="84930" y="5099"/>
                  <a:pt x="71609" y="6330"/>
                  <a:pt x="58536" y="8967"/>
                </a:cubicBezTo>
                <a:lnTo>
                  <a:pt x="30633" y="222"/>
                </a:lnTo>
                <a:lnTo>
                  <a:pt x="29877" y="65"/>
                </a:lnTo>
                <a:cubicBezTo>
                  <a:pt x="23958" y="-574"/>
                  <a:pt x="18604" y="3584"/>
                  <a:pt x="17805" y="9440"/>
                </a:cubicBezTo>
                <a:lnTo>
                  <a:pt x="17779" y="9721"/>
                </a:lnTo>
                <a:lnTo>
                  <a:pt x="19290" y="39440"/>
                </a:lnTo>
                <a:close/>
                <a:moveTo>
                  <a:pt x="188923" y="172546"/>
                </a:moveTo>
                <a:cubicBezTo>
                  <a:pt x="189310" y="201232"/>
                  <a:pt x="181033" y="229376"/>
                  <a:pt x="165157" y="253351"/>
                </a:cubicBezTo>
                <a:cubicBezTo>
                  <a:pt x="126901" y="236226"/>
                  <a:pt x="102228" y="198523"/>
                  <a:pt x="102021" y="156871"/>
                </a:cubicBezTo>
                <a:cubicBezTo>
                  <a:pt x="102084" y="150768"/>
                  <a:pt x="102630" y="144679"/>
                  <a:pt x="103653" y="138661"/>
                </a:cubicBezTo>
                <a:cubicBezTo>
                  <a:pt x="130855" y="137712"/>
                  <a:pt x="155967" y="123931"/>
                  <a:pt x="171240" y="101570"/>
                </a:cubicBezTo>
                <a:cubicBezTo>
                  <a:pt x="183010" y="123393"/>
                  <a:pt x="189089" y="147793"/>
                  <a:pt x="188923" y="172546"/>
                </a:cubicBezTo>
                <a:close/>
                <a:moveTo>
                  <a:pt x="26832" y="39234"/>
                </a:moveTo>
                <a:lnTo>
                  <a:pt x="25339" y="9961"/>
                </a:lnTo>
                <a:cubicBezTo>
                  <a:pt x="25785" y="8475"/>
                  <a:pt x="27178" y="7470"/>
                  <a:pt x="28740" y="7509"/>
                </a:cubicBezTo>
                <a:lnTo>
                  <a:pt x="28770" y="7509"/>
                </a:lnTo>
                <a:lnTo>
                  <a:pt x="57603" y="16546"/>
                </a:lnTo>
                <a:lnTo>
                  <a:pt x="59413" y="16452"/>
                </a:lnTo>
                <a:cubicBezTo>
                  <a:pt x="72189" y="13812"/>
                  <a:pt x="85221" y="12585"/>
                  <a:pt x="98269" y="12796"/>
                </a:cubicBezTo>
                <a:cubicBezTo>
                  <a:pt x="111299" y="12543"/>
                  <a:pt x="124315" y="13767"/>
                  <a:pt x="137065" y="16445"/>
                </a:cubicBezTo>
                <a:lnTo>
                  <a:pt x="137500" y="16546"/>
                </a:lnTo>
                <a:lnTo>
                  <a:pt x="168482" y="7887"/>
                </a:lnTo>
                <a:cubicBezTo>
                  <a:pt x="169314" y="7903"/>
                  <a:pt x="170123" y="8164"/>
                  <a:pt x="170806" y="8637"/>
                </a:cubicBezTo>
                <a:cubicBezTo>
                  <a:pt x="171379" y="9045"/>
                  <a:pt x="171782" y="9646"/>
                  <a:pt x="171939" y="10329"/>
                </a:cubicBezTo>
                <a:lnTo>
                  <a:pt x="170428" y="39800"/>
                </a:lnTo>
                <a:lnTo>
                  <a:pt x="170390" y="44322"/>
                </a:lnTo>
                <a:cubicBezTo>
                  <a:pt x="173243" y="50949"/>
                  <a:pt x="174677" y="58091"/>
                  <a:pt x="174603" y="65296"/>
                </a:cubicBezTo>
                <a:cubicBezTo>
                  <a:pt x="174603" y="101690"/>
                  <a:pt x="140530" y="131296"/>
                  <a:pt x="98658" y="131296"/>
                </a:cubicBezTo>
                <a:cubicBezTo>
                  <a:pt x="56787" y="131296"/>
                  <a:pt x="22713" y="101521"/>
                  <a:pt x="22713" y="64921"/>
                </a:cubicBezTo>
                <a:cubicBezTo>
                  <a:pt x="22852" y="57653"/>
                  <a:pt x="24309" y="50469"/>
                  <a:pt x="27017" y="43715"/>
                </a:cubicBezTo>
                <a:close/>
                <a:moveTo>
                  <a:pt x="25679" y="100809"/>
                </a:moveTo>
                <a:cubicBezTo>
                  <a:pt x="40653" y="123324"/>
                  <a:pt x="65576" y="137371"/>
                  <a:pt x="92730" y="138597"/>
                </a:cubicBezTo>
                <a:cubicBezTo>
                  <a:pt x="93851" y="144829"/>
                  <a:pt x="94431" y="151145"/>
                  <a:pt x="94464" y="157475"/>
                </a:cubicBezTo>
                <a:cubicBezTo>
                  <a:pt x="94212" y="198989"/>
                  <a:pt x="69683" y="236577"/>
                  <a:pt x="31615" y="253782"/>
                </a:cubicBezTo>
                <a:cubicBezTo>
                  <a:pt x="15544" y="229723"/>
                  <a:pt x="7161" y="201410"/>
                  <a:pt x="7562" y="172546"/>
                </a:cubicBezTo>
                <a:cubicBezTo>
                  <a:pt x="7389" y="147498"/>
                  <a:pt x="13622" y="122815"/>
                  <a:pt x="25679" y="100809"/>
                </a:cubicBezTo>
                <a:close/>
                <a:moveTo>
                  <a:pt x="40037" y="291796"/>
                </a:moveTo>
                <a:cubicBezTo>
                  <a:pt x="39440" y="293237"/>
                  <a:pt x="38680" y="294606"/>
                  <a:pt x="37770" y="295876"/>
                </a:cubicBezTo>
                <a:cubicBezTo>
                  <a:pt x="37758" y="295893"/>
                  <a:pt x="37734" y="295896"/>
                  <a:pt x="37717" y="295884"/>
                </a:cubicBezTo>
                <a:cubicBezTo>
                  <a:pt x="37714" y="295881"/>
                  <a:pt x="37712" y="295879"/>
                  <a:pt x="37710" y="295876"/>
                </a:cubicBezTo>
                <a:cubicBezTo>
                  <a:pt x="35609" y="292620"/>
                  <a:pt x="34345" y="288901"/>
                  <a:pt x="34030" y="285046"/>
                </a:cubicBezTo>
                <a:cubicBezTo>
                  <a:pt x="34030" y="282975"/>
                  <a:pt x="35721" y="281296"/>
                  <a:pt x="37808" y="281296"/>
                </a:cubicBezTo>
                <a:cubicBezTo>
                  <a:pt x="38982" y="281351"/>
                  <a:pt x="40075" y="281908"/>
                  <a:pt x="40804" y="282822"/>
                </a:cubicBezTo>
                <a:lnTo>
                  <a:pt x="43037" y="285042"/>
                </a:lnTo>
                <a:close/>
                <a:moveTo>
                  <a:pt x="51372" y="291796"/>
                </a:moveTo>
                <a:cubicBezTo>
                  <a:pt x="50783" y="293234"/>
                  <a:pt x="50033" y="294601"/>
                  <a:pt x="49135" y="295872"/>
                </a:cubicBezTo>
                <a:cubicBezTo>
                  <a:pt x="49125" y="295888"/>
                  <a:pt x="49104" y="295892"/>
                  <a:pt x="49088" y="295882"/>
                </a:cubicBezTo>
                <a:cubicBezTo>
                  <a:pt x="49084" y="295879"/>
                  <a:pt x="49081" y="295876"/>
                  <a:pt x="49079" y="295872"/>
                </a:cubicBezTo>
                <a:cubicBezTo>
                  <a:pt x="48206" y="294658"/>
                  <a:pt x="47506" y="293331"/>
                  <a:pt x="46997" y="291927"/>
                </a:cubicBezTo>
                <a:lnTo>
                  <a:pt x="44144" y="284847"/>
                </a:lnTo>
                <a:lnTo>
                  <a:pt x="46162" y="282845"/>
                </a:lnTo>
                <a:cubicBezTo>
                  <a:pt x="47347" y="281203"/>
                  <a:pt x="49649" y="280827"/>
                  <a:pt x="51302" y="282003"/>
                </a:cubicBezTo>
                <a:cubicBezTo>
                  <a:pt x="51630" y="282235"/>
                  <a:pt x="51916" y="282520"/>
                  <a:pt x="52151" y="282845"/>
                </a:cubicBezTo>
                <a:lnTo>
                  <a:pt x="54384" y="285065"/>
                </a:lnTo>
                <a:close/>
                <a:moveTo>
                  <a:pt x="60584" y="295887"/>
                </a:moveTo>
                <a:cubicBezTo>
                  <a:pt x="60571" y="295904"/>
                  <a:pt x="60548" y="295907"/>
                  <a:pt x="60531" y="295895"/>
                </a:cubicBezTo>
                <a:cubicBezTo>
                  <a:pt x="60528" y="295893"/>
                  <a:pt x="60526" y="295890"/>
                  <a:pt x="60523" y="295887"/>
                </a:cubicBezTo>
                <a:cubicBezTo>
                  <a:pt x="59621" y="294613"/>
                  <a:pt x="58868" y="293240"/>
                  <a:pt x="58279" y="291796"/>
                </a:cubicBezTo>
                <a:lnTo>
                  <a:pt x="55256" y="285046"/>
                </a:lnTo>
                <a:lnTo>
                  <a:pt x="57489" y="282826"/>
                </a:lnTo>
                <a:cubicBezTo>
                  <a:pt x="58217" y="281911"/>
                  <a:pt x="59308" y="281353"/>
                  <a:pt x="60482" y="281296"/>
                </a:cubicBezTo>
                <a:cubicBezTo>
                  <a:pt x="62569" y="281296"/>
                  <a:pt x="64260" y="282975"/>
                  <a:pt x="64260" y="285046"/>
                </a:cubicBezTo>
                <a:cubicBezTo>
                  <a:pt x="63941" y="288901"/>
                  <a:pt x="62675" y="292620"/>
                  <a:pt x="60572" y="295876"/>
                </a:cubicBezTo>
                <a:close/>
                <a:moveTo>
                  <a:pt x="124721" y="285046"/>
                </a:moveTo>
                <a:cubicBezTo>
                  <a:pt x="124734" y="285773"/>
                  <a:pt x="124796" y="286498"/>
                  <a:pt x="124906" y="287217"/>
                </a:cubicBezTo>
                <a:cubicBezTo>
                  <a:pt x="107866" y="294300"/>
                  <a:pt x="88677" y="294306"/>
                  <a:pt x="71632" y="287236"/>
                </a:cubicBezTo>
                <a:cubicBezTo>
                  <a:pt x="71745" y="286511"/>
                  <a:pt x="71808" y="285780"/>
                  <a:pt x="71821" y="285046"/>
                </a:cubicBezTo>
                <a:cubicBezTo>
                  <a:pt x="71821" y="278833"/>
                  <a:pt x="66746" y="273796"/>
                  <a:pt x="60486" y="273796"/>
                </a:cubicBezTo>
                <a:cubicBezTo>
                  <a:pt x="58481" y="273806"/>
                  <a:pt x="56519" y="274368"/>
                  <a:pt x="54818" y="275420"/>
                </a:cubicBezTo>
                <a:cubicBezTo>
                  <a:pt x="53324" y="274539"/>
                  <a:pt x="51640" y="274024"/>
                  <a:pt x="49906" y="273920"/>
                </a:cubicBezTo>
                <a:cubicBezTo>
                  <a:pt x="44883" y="269710"/>
                  <a:pt x="40288" y="265021"/>
                  <a:pt x="36187" y="259921"/>
                </a:cubicBezTo>
                <a:cubicBezTo>
                  <a:pt x="66913" y="245437"/>
                  <a:pt x="89642" y="218248"/>
                  <a:pt x="98314" y="185604"/>
                </a:cubicBezTo>
                <a:cubicBezTo>
                  <a:pt x="107115" y="218126"/>
                  <a:pt x="129903" y="245150"/>
                  <a:pt x="160608" y="259479"/>
                </a:cubicBezTo>
                <a:cubicBezTo>
                  <a:pt x="156435" y="264746"/>
                  <a:pt x="151739" y="269583"/>
                  <a:pt x="146590" y="273916"/>
                </a:cubicBezTo>
                <a:cubicBezTo>
                  <a:pt x="144873" y="274027"/>
                  <a:pt x="143206" y="274541"/>
                  <a:pt x="141728" y="275416"/>
                </a:cubicBezTo>
                <a:cubicBezTo>
                  <a:pt x="140026" y="274365"/>
                  <a:pt x="138064" y="273803"/>
                  <a:pt x="136060" y="273792"/>
                </a:cubicBezTo>
                <a:cubicBezTo>
                  <a:pt x="129800" y="273790"/>
                  <a:pt x="124723" y="278825"/>
                  <a:pt x="124721" y="285039"/>
                </a:cubicBezTo>
                <a:cubicBezTo>
                  <a:pt x="124721" y="285041"/>
                  <a:pt x="124721" y="285043"/>
                  <a:pt x="124721" y="285046"/>
                </a:cubicBezTo>
                <a:close/>
                <a:moveTo>
                  <a:pt x="138274" y="291796"/>
                </a:moveTo>
                <a:cubicBezTo>
                  <a:pt x="137683" y="293240"/>
                  <a:pt x="136929" y="294612"/>
                  <a:pt x="136026" y="295887"/>
                </a:cubicBezTo>
                <a:cubicBezTo>
                  <a:pt x="136016" y="295903"/>
                  <a:pt x="135995" y="295907"/>
                  <a:pt x="135979" y="295897"/>
                </a:cubicBezTo>
                <a:cubicBezTo>
                  <a:pt x="135975" y="295894"/>
                  <a:pt x="135972" y="295891"/>
                  <a:pt x="135969" y="295887"/>
                </a:cubicBezTo>
                <a:cubicBezTo>
                  <a:pt x="133862" y="292629"/>
                  <a:pt x="132595" y="288906"/>
                  <a:pt x="132278" y="285046"/>
                </a:cubicBezTo>
                <a:cubicBezTo>
                  <a:pt x="132278" y="282975"/>
                  <a:pt x="133969" y="281296"/>
                  <a:pt x="136056" y="281296"/>
                </a:cubicBezTo>
                <a:cubicBezTo>
                  <a:pt x="137229" y="281352"/>
                  <a:pt x="138320" y="281908"/>
                  <a:pt x="139049" y="282822"/>
                </a:cubicBezTo>
                <a:lnTo>
                  <a:pt x="141297" y="285046"/>
                </a:lnTo>
                <a:close/>
                <a:moveTo>
                  <a:pt x="149609" y="291796"/>
                </a:moveTo>
                <a:cubicBezTo>
                  <a:pt x="149021" y="293233"/>
                  <a:pt x="148272" y="294601"/>
                  <a:pt x="147376" y="295872"/>
                </a:cubicBezTo>
                <a:cubicBezTo>
                  <a:pt x="147364" y="295889"/>
                  <a:pt x="147340" y="295892"/>
                  <a:pt x="147323" y="295880"/>
                </a:cubicBezTo>
                <a:cubicBezTo>
                  <a:pt x="147320" y="295878"/>
                  <a:pt x="147318" y="295875"/>
                  <a:pt x="147316" y="295872"/>
                </a:cubicBezTo>
                <a:cubicBezTo>
                  <a:pt x="146445" y="294657"/>
                  <a:pt x="145744" y="293330"/>
                  <a:pt x="145234" y="291927"/>
                </a:cubicBezTo>
                <a:lnTo>
                  <a:pt x="142381" y="284847"/>
                </a:lnTo>
                <a:lnTo>
                  <a:pt x="144399" y="282845"/>
                </a:lnTo>
                <a:cubicBezTo>
                  <a:pt x="145586" y="281202"/>
                  <a:pt x="147890" y="280826"/>
                  <a:pt x="149545" y="282005"/>
                </a:cubicBezTo>
                <a:cubicBezTo>
                  <a:pt x="149871" y="282237"/>
                  <a:pt x="150157" y="282521"/>
                  <a:pt x="150391" y="282845"/>
                </a:cubicBezTo>
                <a:lnTo>
                  <a:pt x="152632" y="285046"/>
                </a:lnTo>
                <a:close/>
                <a:moveTo>
                  <a:pt x="158772" y="295921"/>
                </a:moveTo>
                <a:cubicBezTo>
                  <a:pt x="158761" y="295936"/>
                  <a:pt x="158740" y="295941"/>
                  <a:pt x="158724" y="295930"/>
                </a:cubicBezTo>
                <a:cubicBezTo>
                  <a:pt x="158721" y="295928"/>
                  <a:pt x="158718" y="295925"/>
                  <a:pt x="158715" y="295921"/>
                </a:cubicBezTo>
                <a:cubicBezTo>
                  <a:pt x="157806" y="294694"/>
                  <a:pt x="157084" y="293341"/>
                  <a:pt x="156573" y="291905"/>
                </a:cubicBezTo>
                <a:lnTo>
                  <a:pt x="153720" y="284825"/>
                </a:lnTo>
                <a:lnTo>
                  <a:pt x="155738" y="282822"/>
                </a:lnTo>
                <a:cubicBezTo>
                  <a:pt x="156466" y="281908"/>
                  <a:pt x="157557" y="281351"/>
                  <a:pt x="158730" y="281296"/>
                </a:cubicBezTo>
                <a:cubicBezTo>
                  <a:pt x="160817" y="281296"/>
                  <a:pt x="162508" y="282975"/>
                  <a:pt x="162508" y="285046"/>
                </a:cubicBezTo>
                <a:cubicBezTo>
                  <a:pt x="162191" y="288922"/>
                  <a:pt x="160906" y="292660"/>
                  <a:pt x="158772" y="29592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10</xdr:col>
      <xdr:colOff>154802</xdr:colOff>
      <xdr:row>12</xdr:row>
      <xdr:rowOff>170734</xdr:rowOff>
    </xdr:from>
    <xdr:to>
      <xdr:col>10</xdr:col>
      <xdr:colOff>438178</xdr:colOff>
      <xdr:row>12</xdr:row>
      <xdr:rowOff>392345</xdr:rowOff>
    </xdr:to>
    <xdr:grpSp>
      <xdr:nvGrpSpPr>
        <xdr:cNvPr id="368" name="puppy" descr="Puppy outline">
          <a:extLst>
            <a:ext uri="{FF2B5EF4-FFF2-40B4-BE49-F238E27FC236}">
              <a16:creationId xmlns:a16="http://schemas.microsoft.com/office/drawing/2014/main" id="{496E2A17-61FF-476F-971D-FD392FFADA06}"/>
            </a:ext>
          </a:extLst>
        </xdr:cNvPr>
        <xdr:cNvGrpSpPr>
          <a:grpSpLocks noChangeAspect="1"/>
        </xdr:cNvGrpSpPr>
      </xdr:nvGrpSpPr>
      <xdr:grpSpPr>
        <a:xfrm>
          <a:off x="9165452" y="5580934"/>
          <a:ext cx="283376" cy="221611"/>
          <a:chOff x="13054692" y="8447778"/>
          <a:chExt cx="283376" cy="221611"/>
        </a:xfrm>
        <a:solidFill>
          <a:srgbClr val="1F4E78"/>
        </a:solidFill>
      </xdr:grpSpPr>
      <xdr:sp macro="" textlink="">
        <xdr:nvSpPr>
          <xdr:cNvPr id="369" name="Freeform: Shape 368">
            <a:extLst>
              <a:ext uri="{FF2B5EF4-FFF2-40B4-BE49-F238E27FC236}">
                <a16:creationId xmlns:a16="http://schemas.microsoft.com/office/drawing/2014/main" id="{C5700E66-7300-4BC2-9DBD-AAF772C511C6}"/>
              </a:ext>
            </a:extLst>
          </xdr:cNvPr>
          <xdr:cNvSpPr/>
        </xdr:nvSpPr>
        <xdr:spPr>
          <a:xfrm>
            <a:off x="13054692" y="8447778"/>
            <a:ext cx="283376" cy="221611"/>
          </a:xfrm>
          <a:custGeom>
            <a:avLst/>
            <a:gdLst>
              <a:gd name="connsiteX0" fmla="*/ 263509 w 283376"/>
              <a:gd name="connsiteY0" fmla="*/ 60000 h 221611"/>
              <a:gd name="connsiteX1" fmla="*/ 260284 w 283376"/>
              <a:gd name="connsiteY1" fmla="*/ 60000 h 221611"/>
              <a:gd name="connsiteX2" fmla="*/ 235544 w 283376"/>
              <a:gd name="connsiteY2" fmla="*/ 26600 h 221611"/>
              <a:gd name="connsiteX3" fmla="*/ 217256 w 283376"/>
              <a:gd name="connsiteY3" fmla="*/ 0 h 221611"/>
              <a:gd name="connsiteX4" fmla="*/ 198801 w 283376"/>
              <a:gd name="connsiteY4" fmla="*/ 27318 h 221611"/>
              <a:gd name="connsiteX5" fmla="*/ 178901 w 283376"/>
              <a:gd name="connsiteY5" fmla="*/ 42475 h 221611"/>
              <a:gd name="connsiteX6" fmla="*/ 159673 w 283376"/>
              <a:gd name="connsiteY6" fmla="*/ 60974 h 221611"/>
              <a:gd name="connsiteX7" fmla="*/ 136054 w 283376"/>
              <a:gd name="connsiteY7" fmla="*/ 84417 h 221611"/>
              <a:gd name="connsiteX8" fmla="*/ 113351 w 283376"/>
              <a:gd name="connsiteY8" fmla="*/ 93750 h 221611"/>
              <a:gd name="connsiteX9" fmla="*/ 44041 w 283376"/>
              <a:gd name="connsiteY9" fmla="*/ 93750 h 221611"/>
              <a:gd name="connsiteX10" fmla="*/ 25801 w 283376"/>
              <a:gd name="connsiteY10" fmla="*/ 75645 h 221611"/>
              <a:gd name="connsiteX11" fmla="*/ 4428 w 283376"/>
              <a:gd name="connsiteY11" fmla="*/ 75645 h 221611"/>
              <a:gd name="connsiteX12" fmla="*/ 4422 w 283376"/>
              <a:gd name="connsiteY12" fmla="*/ 96849 h 221611"/>
              <a:gd name="connsiteX13" fmla="*/ 4428 w 283376"/>
              <a:gd name="connsiteY13" fmla="*/ 96855 h 221611"/>
              <a:gd name="connsiteX14" fmla="*/ 22670 w 283376"/>
              <a:gd name="connsiteY14" fmla="*/ 114961 h 221611"/>
              <a:gd name="connsiteX15" fmla="*/ 22670 w 283376"/>
              <a:gd name="connsiteY15" fmla="*/ 154092 h 221611"/>
              <a:gd name="connsiteX16" fmla="*/ 22666 w 283376"/>
              <a:gd name="connsiteY16" fmla="*/ 154111 h 221611"/>
              <a:gd name="connsiteX17" fmla="*/ 22666 w 283376"/>
              <a:gd name="connsiteY17" fmla="*/ 195361 h 221611"/>
              <a:gd name="connsiteX18" fmla="*/ 22860 w 283376"/>
              <a:gd name="connsiteY18" fmla="*/ 196547 h 221611"/>
              <a:gd name="connsiteX19" fmla="*/ 27834 w 283376"/>
              <a:gd name="connsiteY19" fmla="*/ 211353 h 221611"/>
              <a:gd name="connsiteX20" fmla="*/ 42171 w 283376"/>
              <a:gd name="connsiteY20" fmla="*/ 221611 h 221611"/>
              <a:gd name="connsiteX21" fmla="*/ 52891 w 283376"/>
              <a:gd name="connsiteY21" fmla="*/ 221611 h 221611"/>
              <a:gd name="connsiteX22" fmla="*/ 68005 w 283376"/>
              <a:gd name="connsiteY22" fmla="*/ 206620 h 221611"/>
              <a:gd name="connsiteX23" fmla="*/ 68005 w 283376"/>
              <a:gd name="connsiteY23" fmla="*/ 204366 h 221611"/>
              <a:gd name="connsiteX24" fmla="*/ 56670 w 283376"/>
              <a:gd name="connsiteY24" fmla="*/ 191697 h 221611"/>
              <a:gd name="connsiteX25" fmla="*/ 56670 w 283376"/>
              <a:gd name="connsiteY25" fmla="*/ 181914 h 221611"/>
              <a:gd name="connsiteX26" fmla="*/ 65793 w 283376"/>
              <a:gd name="connsiteY26" fmla="*/ 172861 h 221611"/>
              <a:gd name="connsiteX27" fmla="*/ 136017 w 283376"/>
              <a:gd name="connsiteY27" fmla="*/ 172861 h 221611"/>
              <a:gd name="connsiteX28" fmla="*/ 136017 w 283376"/>
              <a:gd name="connsiteY28" fmla="*/ 195361 h 221611"/>
              <a:gd name="connsiteX29" fmla="*/ 136211 w 283376"/>
              <a:gd name="connsiteY29" fmla="*/ 196547 h 221611"/>
              <a:gd name="connsiteX30" fmla="*/ 141185 w 283376"/>
              <a:gd name="connsiteY30" fmla="*/ 211353 h 221611"/>
              <a:gd name="connsiteX31" fmla="*/ 155523 w 283376"/>
              <a:gd name="connsiteY31" fmla="*/ 221611 h 221611"/>
              <a:gd name="connsiteX32" fmla="*/ 166244 w 283376"/>
              <a:gd name="connsiteY32" fmla="*/ 221611 h 221611"/>
              <a:gd name="connsiteX33" fmla="*/ 181357 w 283376"/>
              <a:gd name="connsiteY33" fmla="*/ 206616 h 221611"/>
              <a:gd name="connsiteX34" fmla="*/ 181357 w 283376"/>
              <a:gd name="connsiteY34" fmla="*/ 204366 h 221611"/>
              <a:gd name="connsiteX35" fmla="*/ 170022 w 283376"/>
              <a:gd name="connsiteY35" fmla="*/ 191695 h 221611"/>
              <a:gd name="connsiteX36" fmla="*/ 170022 w 283376"/>
              <a:gd name="connsiteY36" fmla="*/ 170836 h 221611"/>
              <a:gd name="connsiteX37" fmla="*/ 188916 w 283376"/>
              <a:gd name="connsiteY37" fmla="*/ 154737 h 221611"/>
              <a:gd name="connsiteX38" fmla="*/ 188916 w 283376"/>
              <a:gd name="connsiteY38" fmla="*/ 172493 h 221611"/>
              <a:gd name="connsiteX39" fmla="*/ 188914 w 283376"/>
              <a:gd name="connsiteY39" fmla="*/ 172502 h 221611"/>
              <a:gd name="connsiteX40" fmla="*/ 188914 w 283376"/>
              <a:gd name="connsiteY40" fmla="*/ 195361 h 221611"/>
              <a:gd name="connsiteX41" fmla="*/ 192692 w 283376"/>
              <a:gd name="connsiteY41" fmla="*/ 199111 h 221611"/>
              <a:gd name="connsiteX42" fmla="*/ 194959 w 283376"/>
              <a:gd name="connsiteY42" fmla="*/ 199111 h 221611"/>
              <a:gd name="connsiteX43" fmla="*/ 200249 w 283376"/>
              <a:gd name="connsiteY43" fmla="*/ 204361 h 221611"/>
              <a:gd name="connsiteX44" fmla="*/ 200247 w 283376"/>
              <a:gd name="connsiteY44" fmla="*/ 206615 h 221611"/>
              <a:gd name="connsiteX45" fmla="*/ 192690 w 283376"/>
              <a:gd name="connsiteY45" fmla="*/ 214111 h 221611"/>
              <a:gd name="connsiteX46" fmla="*/ 185750 w 283376"/>
              <a:gd name="connsiteY46" fmla="*/ 214111 h 221611"/>
              <a:gd name="connsiteX47" fmla="*/ 181972 w 283376"/>
              <a:gd name="connsiteY47" fmla="*/ 217861 h 221611"/>
              <a:gd name="connsiteX48" fmla="*/ 185750 w 283376"/>
              <a:gd name="connsiteY48" fmla="*/ 221611 h 221611"/>
              <a:gd name="connsiteX49" fmla="*/ 192692 w 283376"/>
              <a:gd name="connsiteY49" fmla="*/ 221611 h 221611"/>
              <a:gd name="connsiteX50" fmla="*/ 207806 w 283376"/>
              <a:gd name="connsiteY50" fmla="*/ 206620 h 221611"/>
              <a:gd name="connsiteX51" fmla="*/ 207808 w 283376"/>
              <a:gd name="connsiteY51" fmla="*/ 204366 h 221611"/>
              <a:gd name="connsiteX52" fmla="*/ 196472 w 283376"/>
              <a:gd name="connsiteY52" fmla="*/ 191697 h 221611"/>
              <a:gd name="connsiteX53" fmla="*/ 196472 w 283376"/>
              <a:gd name="connsiteY53" fmla="*/ 172500 h 221611"/>
              <a:gd name="connsiteX54" fmla="*/ 196474 w 283376"/>
              <a:gd name="connsiteY54" fmla="*/ 172500 h 221611"/>
              <a:gd name="connsiteX55" fmla="*/ 196474 w 283376"/>
              <a:gd name="connsiteY55" fmla="*/ 149262 h 221611"/>
              <a:gd name="connsiteX56" fmla="*/ 225958 w 283376"/>
              <a:gd name="connsiteY56" fmla="*/ 120000 h 221611"/>
              <a:gd name="connsiteX57" fmla="*/ 243788 w 283376"/>
              <a:gd name="connsiteY57" fmla="*/ 120000 h 221611"/>
              <a:gd name="connsiteX58" fmla="*/ 283377 w 283376"/>
              <a:gd name="connsiteY58" fmla="*/ 80709 h 221611"/>
              <a:gd name="connsiteX59" fmla="*/ 283377 w 283376"/>
              <a:gd name="connsiteY59" fmla="*/ 79719 h 221611"/>
              <a:gd name="connsiteX60" fmla="*/ 263509 w 283376"/>
              <a:gd name="connsiteY60" fmla="*/ 60000 h 221611"/>
              <a:gd name="connsiteX61" fmla="*/ 163784 w 283376"/>
              <a:gd name="connsiteY61" fmla="*/ 166265 h 221611"/>
              <a:gd name="connsiteX62" fmla="*/ 162467 w 283376"/>
              <a:gd name="connsiteY62" fmla="*/ 169111 h 221611"/>
              <a:gd name="connsiteX63" fmla="*/ 162467 w 283376"/>
              <a:gd name="connsiteY63" fmla="*/ 195361 h 221611"/>
              <a:gd name="connsiteX64" fmla="*/ 166246 w 283376"/>
              <a:gd name="connsiteY64" fmla="*/ 199111 h 221611"/>
              <a:gd name="connsiteX65" fmla="*/ 168513 w 283376"/>
              <a:gd name="connsiteY65" fmla="*/ 199111 h 221611"/>
              <a:gd name="connsiteX66" fmla="*/ 173800 w 283376"/>
              <a:gd name="connsiteY66" fmla="*/ 204363 h 221611"/>
              <a:gd name="connsiteX67" fmla="*/ 173800 w 283376"/>
              <a:gd name="connsiteY67" fmla="*/ 204364 h 221611"/>
              <a:gd name="connsiteX68" fmla="*/ 173800 w 283376"/>
              <a:gd name="connsiteY68" fmla="*/ 206614 h 221611"/>
              <a:gd name="connsiteX69" fmla="*/ 166243 w 283376"/>
              <a:gd name="connsiteY69" fmla="*/ 214110 h 221611"/>
              <a:gd name="connsiteX70" fmla="*/ 155523 w 283376"/>
              <a:gd name="connsiteY70" fmla="*/ 214110 h 221611"/>
              <a:gd name="connsiteX71" fmla="*/ 148354 w 283376"/>
              <a:gd name="connsiteY71" fmla="*/ 208982 h 221611"/>
              <a:gd name="connsiteX72" fmla="*/ 143574 w 283376"/>
              <a:gd name="connsiteY72" fmla="*/ 194753 h 221611"/>
              <a:gd name="connsiteX73" fmla="*/ 143574 w 283376"/>
              <a:gd name="connsiteY73" fmla="*/ 169111 h 221611"/>
              <a:gd name="connsiteX74" fmla="*/ 139796 w 283376"/>
              <a:gd name="connsiteY74" fmla="*/ 165361 h 221611"/>
              <a:gd name="connsiteX75" fmla="*/ 64229 w 283376"/>
              <a:gd name="connsiteY75" fmla="*/ 165361 h 221611"/>
              <a:gd name="connsiteX76" fmla="*/ 61556 w 283376"/>
              <a:gd name="connsiteY76" fmla="*/ 166460 h 221611"/>
              <a:gd name="connsiteX77" fmla="*/ 50221 w 283376"/>
              <a:gd name="connsiteY77" fmla="*/ 177710 h 221611"/>
              <a:gd name="connsiteX78" fmla="*/ 49114 w 283376"/>
              <a:gd name="connsiteY78" fmla="*/ 180362 h 221611"/>
              <a:gd name="connsiteX79" fmla="*/ 49114 w 283376"/>
              <a:gd name="connsiteY79" fmla="*/ 195362 h 221611"/>
              <a:gd name="connsiteX80" fmla="*/ 52892 w 283376"/>
              <a:gd name="connsiteY80" fmla="*/ 199112 h 221611"/>
              <a:gd name="connsiteX81" fmla="*/ 55159 w 283376"/>
              <a:gd name="connsiteY81" fmla="*/ 199112 h 221611"/>
              <a:gd name="connsiteX82" fmla="*/ 60449 w 283376"/>
              <a:gd name="connsiteY82" fmla="*/ 204362 h 221611"/>
              <a:gd name="connsiteX83" fmla="*/ 60449 w 283376"/>
              <a:gd name="connsiteY83" fmla="*/ 206616 h 221611"/>
              <a:gd name="connsiteX84" fmla="*/ 52892 w 283376"/>
              <a:gd name="connsiteY84" fmla="*/ 214112 h 221611"/>
              <a:gd name="connsiteX85" fmla="*/ 42171 w 283376"/>
              <a:gd name="connsiteY85" fmla="*/ 214112 h 221611"/>
              <a:gd name="connsiteX86" fmla="*/ 35003 w 283376"/>
              <a:gd name="connsiteY86" fmla="*/ 208983 h 221611"/>
              <a:gd name="connsiteX87" fmla="*/ 30223 w 283376"/>
              <a:gd name="connsiteY87" fmla="*/ 194754 h 221611"/>
              <a:gd name="connsiteX88" fmla="*/ 30223 w 283376"/>
              <a:gd name="connsiteY88" fmla="*/ 172518 h 221611"/>
              <a:gd name="connsiteX89" fmla="*/ 30227 w 283376"/>
              <a:gd name="connsiteY89" fmla="*/ 172500 h 221611"/>
              <a:gd name="connsiteX90" fmla="*/ 30227 w 283376"/>
              <a:gd name="connsiteY90" fmla="*/ 113408 h 221611"/>
              <a:gd name="connsiteX91" fmla="*/ 29119 w 283376"/>
              <a:gd name="connsiteY91" fmla="*/ 110756 h 221611"/>
              <a:gd name="connsiteX92" fmla="*/ 9770 w 283376"/>
              <a:gd name="connsiteY92" fmla="*/ 91553 h 221611"/>
              <a:gd name="connsiteX93" fmla="*/ 9767 w 283376"/>
              <a:gd name="connsiteY93" fmla="*/ 80953 h 221611"/>
              <a:gd name="connsiteX94" fmla="*/ 9772 w 283376"/>
              <a:gd name="connsiteY94" fmla="*/ 80947 h 221611"/>
              <a:gd name="connsiteX95" fmla="*/ 20456 w 283376"/>
              <a:gd name="connsiteY95" fmla="*/ 80947 h 221611"/>
              <a:gd name="connsiteX96" fmla="*/ 39804 w 283376"/>
              <a:gd name="connsiteY96" fmla="*/ 100151 h 221611"/>
              <a:gd name="connsiteX97" fmla="*/ 42477 w 283376"/>
              <a:gd name="connsiteY97" fmla="*/ 101250 h 221611"/>
              <a:gd name="connsiteX98" fmla="*/ 113351 w 283376"/>
              <a:gd name="connsiteY98" fmla="*/ 101250 h 221611"/>
              <a:gd name="connsiteX99" fmla="*/ 141397 w 283376"/>
              <a:gd name="connsiteY99" fmla="*/ 89720 h 221611"/>
              <a:gd name="connsiteX100" fmla="*/ 144398 w 283376"/>
              <a:gd name="connsiteY100" fmla="*/ 86741 h 221611"/>
              <a:gd name="connsiteX101" fmla="*/ 192209 w 283376"/>
              <a:gd name="connsiteY101" fmla="*/ 134195 h 221611"/>
              <a:gd name="connsiteX102" fmla="*/ 189255 w 283376"/>
              <a:gd name="connsiteY102" fmla="*/ 144563 h 221611"/>
              <a:gd name="connsiteX103" fmla="*/ 196165 w 283376"/>
              <a:gd name="connsiteY103" fmla="*/ 127514 h 221611"/>
              <a:gd name="connsiteX104" fmla="*/ 149741 w 283376"/>
              <a:gd name="connsiteY104" fmla="*/ 81438 h 221611"/>
              <a:gd name="connsiteX105" fmla="*/ 155733 w 283376"/>
              <a:gd name="connsiteY105" fmla="*/ 75491 h 221611"/>
              <a:gd name="connsiteX106" fmla="*/ 201928 w 283376"/>
              <a:gd name="connsiteY106" fmla="*/ 121340 h 221611"/>
              <a:gd name="connsiteX107" fmla="*/ 196164 w 283376"/>
              <a:gd name="connsiteY107" fmla="*/ 127514 h 221611"/>
              <a:gd name="connsiteX108" fmla="*/ 275820 w 283376"/>
              <a:gd name="connsiteY108" fmla="*/ 80709 h 221611"/>
              <a:gd name="connsiteX109" fmla="*/ 243788 w 283376"/>
              <a:gd name="connsiteY109" fmla="*/ 112500 h 221611"/>
              <a:gd name="connsiteX110" fmla="*/ 225958 w 283376"/>
              <a:gd name="connsiteY110" fmla="*/ 112500 h 221611"/>
              <a:gd name="connsiteX111" fmla="*/ 208234 w 283376"/>
              <a:gd name="connsiteY111" fmla="*/ 116994 h 221611"/>
              <a:gd name="connsiteX112" fmla="*/ 161075 w 283376"/>
              <a:gd name="connsiteY112" fmla="*/ 70186 h 221611"/>
              <a:gd name="connsiteX113" fmla="*/ 164975 w 283376"/>
              <a:gd name="connsiteY113" fmla="*/ 66316 h 221611"/>
              <a:gd name="connsiteX114" fmla="*/ 184261 w 283376"/>
              <a:gd name="connsiteY114" fmla="*/ 47753 h 221611"/>
              <a:gd name="connsiteX115" fmla="*/ 197032 w 283376"/>
              <a:gd name="connsiteY115" fmla="*/ 36800 h 221611"/>
              <a:gd name="connsiteX116" fmla="*/ 196499 w 283376"/>
              <a:gd name="connsiteY116" fmla="*/ 40828 h 221611"/>
              <a:gd name="connsiteX117" fmla="*/ 199777 w 283376"/>
              <a:gd name="connsiteY117" fmla="*/ 45015 h 221611"/>
              <a:gd name="connsiteX118" fmla="*/ 203997 w 283376"/>
              <a:gd name="connsiteY118" fmla="*/ 41761 h 221611"/>
              <a:gd name="connsiteX119" fmla="*/ 204007 w 283376"/>
              <a:gd name="connsiteY119" fmla="*/ 41667 h 221611"/>
              <a:gd name="connsiteX120" fmla="*/ 217256 w 283376"/>
              <a:gd name="connsiteY120" fmla="*/ 7497 h 221611"/>
              <a:gd name="connsiteX121" fmla="*/ 230504 w 283376"/>
              <a:gd name="connsiteY121" fmla="*/ 41667 h 221611"/>
              <a:gd name="connsiteX122" fmla="*/ 234253 w 283376"/>
              <a:gd name="connsiteY122" fmla="*/ 44997 h 221611"/>
              <a:gd name="connsiteX123" fmla="*/ 234681 w 283376"/>
              <a:gd name="connsiteY123" fmla="*/ 44974 h 221611"/>
              <a:gd name="connsiteX124" fmla="*/ 238012 w 283376"/>
              <a:gd name="connsiteY124" fmla="*/ 40828 h 221611"/>
              <a:gd name="connsiteX125" fmla="*/ 237394 w 283376"/>
              <a:gd name="connsiteY125" fmla="*/ 36255 h 221611"/>
              <a:gd name="connsiteX126" fmla="*/ 253058 w 283376"/>
              <a:gd name="connsiteY126" fmla="*/ 63923 h 221611"/>
              <a:gd name="connsiteX127" fmla="*/ 253228 w 283376"/>
              <a:gd name="connsiteY127" fmla="*/ 67497 h 221611"/>
              <a:gd name="connsiteX128" fmla="*/ 263509 w 283376"/>
              <a:gd name="connsiteY128" fmla="*/ 67497 h 221611"/>
              <a:gd name="connsiteX129" fmla="*/ 275820 w 283376"/>
              <a:gd name="connsiteY129" fmla="*/ 79716 h 22161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</a:cxnLst>
            <a:rect l="l" t="t" r="r" b="b"/>
            <a:pathLst>
              <a:path w="283376" h="221611">
                <a:moveTo>
                  <a:pt x="263509" y="60000"/>
                </a:moveTo>
                <a:lnTo>
                  <a:pt x="260284" y="60000"/>
                </a:lnTo>
                <a:cubicBezTo>
                  <a:pt x="258300" y="45414"/>
                  <a:pt x="248979" y="32831"/>
                  <a:pt x="235544" y="26600"/>
                </a:cubicBezTo>
                <a:cubicBezTo>
                  <a:pt x="232761" y="14608"/>
                  <a:pt x="227322" y="0"/>
                  <a:pt x="217256" y="0"/>
                </a:cubicBezTo>
                <a:cubicBezTo>
                  <a:pt x="206988" y="0"/>
                  <a:pt x="201531" y="15201"/>
                  <a:pt x="198801" y="27318"/>
                </a:cubicBezTo>
                <a:cubicBezTo>
                  <a:pt x="191263" y="31078"/>
                  <a:pt x="184510" y="36221"/>
                  <a:pt x="178901" y="42475"/>
                </a:cubicBezTo>
                <a:lnTo>
                  <a:pt x="159673" y="60974"/>
                </a:lnTo>
                <a:lnTo>
                  <a:pt x="136054" y="84417"/>
                </a:lnTo>
                <a:cubicBezTo>
                  <a:pt x="130046" y="90413"/>
                  <a:pt x="121870" y="93773"/>
                  <a:pt x="113351" y="93750"/>
                </a:cubicBezTo>
                <a:lnTo>
                  <a:pt x="44041" y="93750"/>
                </a:lnTo>
                <a:lnTo>
                  <a:pt x="25801" y="75645"/>
                </a:lnTo>
                <a:cubicBezTo>
                  <a:pt x="19821" y="69976"/>
                  <a:pt x="10407" y="69976"/>
                  <a:pt x="4428" y="75645"/>
                </a:cubicBezTo>
                <a:cubicBezTo>
                  <a:pt x="-1474" y="81498"/>
                  <a:pt x="-1476" y="90992"/>
                  <a:pt x="4422" y="96849"/>
                </a:cubicBezTo>
                <a:cubicBezTo>
                  <a:pt x="4424" y="96851"/>
                  <a:pt x="4426" y="96854"/>
                  <a:pt x="4428" y="96855"/>
                </a:cubicBezTo>
                <a:lnTo>
                  <a:pt x="22670" y="114961"/>
                </a:lnTo>
                <a:lnTo>
                  <a:pt x="22670" y="154092"/>
                </a:lnTo>
                <a:lnTo>
                  <a:pt x="22666" y="154111"/>
                </a:lnTo>
                <a:lnTo>
                  <a:pt x="22666" y="195361"/>
                </a:lnTo>
                <a:cubicBezTo>
                  <a:pt x="22666" y="195764"/>
                  <a:pt x="22731" y="196165"/>
                  <a:pt x="22860" y="196547"/>
                </a:cubicBezTo>
                <a:lnTo>
                  <a:pt x="27834" y="211353"/>
                </a:lnTo>
                <a:cubicBezTo>
                  <a:pt x="29884" y="217483"/>
                  <a:pt x="35663" y="221618"/>
                  <a:pt x="42171" y="221611"/>
                </a:cubicBezTo>
                <a:lnTo>
                  <a:pt x="52891" y="221611"/>
                </a:lnTo>
                <a:cubicBezTo>
                  <a:pt x="61231" y="221602"/>
                  <a:pt x="67991" y="214897"/>
                  <a:pt x="68005" y="206620"/>
                </a:cubicBezTo>
                <a:lnTo>
                  <a:pt x="68005" y="204366"/>
                </a:lnTo>
                <a:cubicBezTo>
                  <a:pt x="68006" y="197903"/>
                  <a:pt x="63136" y="192460"/>
                  <a:pt x="56670" y="191697"/>
                </a:cubicBezTo>
                <a:lnTo>
                  <a:pt x="56670" y="181914"/>
                </a:lnTo>
                <a:lnTo>
                  <a:pt x="65793" y="172861"/>
                </a:lnTo>
                <a:lnTo>
                  <a:pt x="136017" y="172861"/>
                </a:lnTo>
                <a:lnTo>
                  <a:pt x="136017" y="195361"/>
                </a:lnTo>
                <a:cubicBezTo>
                  <a:pt x="136017" y="195764"/>
                  <a:pt x="136082" y="196165"/>
                  <a:pt x="136211" y="196547"/>
                </a:cubicBezTo>
                <a:lnTo>
                  <a:pt x="141185" y="211353"/>
                </a:lnTo>
                <a:cubicBezTo>
                  <a:pt x="143236" y="217483"/>
                  <a:pt x="149015" y="221618"/>
                  <a:pt x="155523" y="221611"/>
                </a:cubicBezTo>
                <a:lnTo>
                  <a:pt x="166244" y="221611"/>
                </a:lnTo>
                <a:cubicBezTo>
                  <a:pt x="174584" y="221599"/>
                  <a:pt x="181342" y="214894"/>
                  <a:pt x="181357" y="206616"/>
                </a:cubicBezTo>
                <a:lnTo>
                  <a:pt x="181357" y="204366"/>
                </a:lnTo>
                <a:cubicBezTo>
                  <a:pt x="181359" y="197902"/>
                  <a:pt x="176490" y="192459"/>
                  <a:pt x="170022" y="191695"/>
                </a:cubicBezTo>
                <a:lnTo>
                  <a:pt x="170022" y="170836"/>
                </a:lnTo>
                <a:lnTo>
                  <a:pt x="188916" y="154737"/>
                </a:lnTo>
                <a:lnTo>
                  <a:pt x="188916" y="172493"/>
                </a:lnTo>
                <a:lnTo>
                  <a:pt x="188914" y="172502"/>
                </a:lnTo>
                <a:lnTo>
                  <a:pt x="188914" y="195361"/>
                </a:lnTo>
                <a:cubicBezTo>
                  <a:pt x="188914" y="197432"/>
                  <a:pt x="190605" y="199111"/>
                  <a:pt x="192692" y="199111"/>
                </a:cubicBezTo>
                <a:lnTo>
                  <a:pt x="194959" y="199111"/>
                </a:lnTo>
                <a:cubicBezTo>
                  <a:pt x="197881" y="199111"/>
                  <a:pt x="200249" y="201461"/>
                  <a:pt x="200249" y="204361"/>
                </a:cubicBezTo>
                <a:lnTo>
                  <a:pt x="200247" y="206615"/>
                </a:lnTo>
                <a:cubicBezTo>
                  <a:pt x="200239" y="210753"/>
                  <a:pt x="196860" y="214105"/>
                  <a:pt x="192690" y="214111"/>
                </a:cubicBezTo>
                <a:lnTo>
                  <a:pt x="185750" y="214111"/>
                </a:lnTo>
                <a:cubicBezTo>
                  <a:pt x="183663" y="214111"/>
                  <a:pt x="181972" y="215790"/>
                  <a:pt x="181972" y="217861"/>
                </a:cubicBezTo>
                <a:cubicBezTo>
                  <a:pt x="181972" y="219932"/>
                  <a:pt x="183663" y="221611"/>
                  <a:pt x="185750" y="221611"/>
                </a:cubicBezTo>
                <a:lnTo>
                  <a:pt x="192692" y="221611"/>
                </a:lnTo>
                <a:cubicBezTo>
                  <a:pt x="201031" y="221600"/>
                  <a:pt x="207789" y="214896"/>
                  <a:pt x="207806" y="206620"/>
                </a:cubicBezTo>
                <a:lnTo>
                  <a:pt x="207808" y="204366"/>
                </a:lnTo>
                <a:cubicBezTo>
                  <a:pt x="207807" y="197904"/>
                  <a:pt x="202938" y="192462"/>
                  <a:pt x="196472" y="191697"/>
                </a:cubicBezTo>
                <a:lnTo>
                  <a:pt x="196472" y="172500"/>
                </a:lnTo>
                <a:lnTo>
                  <a:pt x="196474" y="172500"/>
                </a:lnTo>
                <a:lnTo>
                  <a:pt x="196474" y="149262"/>
                </a:lnTo>
                <a:cubicBezTo>
                  <a:pt x="196493" y="133109"/>
                  <a:pt x="209682" y="120018"/>
                  <a:pt x="225958" y="120000"/>
                </a:cubicBezTo>
                <a:lnTo>
                  <a:pt x="243788" y="120000"/>
                </a:lnTo>
                <a:cubicBezTo>
                  <a:pt x="265642" y="119976"/>
                  <a:pt x="283352" y="102399"/>
                  <a:pt x="283377" y="80709"/>
                </a:cubicBezTo>
                <a:lnTo>
                  <a:pt x="283377" y="79719"/>
                </a:lnTo>
                <a:cubicBezTo>
                  <a:pt x="283364" y="68834"/>
                  <a:pt x="274476" y="60012"/>
                  <a:pt x="263509" y="60000"/>
                </a:cubicBezTo>
                <a:close/>
                <a:moveTo>
                  <a:pt x="163784" y="166265"/>
                </a:moveTo>
                <a:cubicBezTo>
                  <a:pt x="162949" y="166978"/>
                  <a:pt x="162468" y="168017"/>
                  <a:pt x="162467" y="169111"/>
                </a:cubicBezTo>
                <a:lnTo>
                  <a:pt x="162467" y="195361"/>
                </a:lnTo>
                <a:cubicBezTo>
                  <a:pt x="162467" y="197432"/>
                  <a:pt x="164159" y="199111"/>
                  <a:pt x="166246" y="199111"/>
                </a:cubicBezTo>
                <a:lnTo>
                  <a:pt x="168513" y="199111"/>
                </a:lnTo>
                <a:cubicBezTo>
                  <a:pt x="171434" y="199112"/>
                  <a:pt x="173801" y="201464"/>
                  <a:pt x="173800" y="204363"/>
                </a:cubicBezTo>
                <a:cubicBezTo>
                  <a:pt x="173800" y="204363"/>
                  <a:pt x="173800" y="204364"/>
                  <a:pt x="173800" y="204364"/>
                </a:cubicBezTo>
                <a:lnTo>
                  <a:pt x="173800" y="206614"/>
                </a:lnTo>
                <a:cubicBezTo>
                  <a:pt x="173793" y="210753"/>
                  <a:pt x="170413" y="214105"/>
                  <a:pt x="166243" y="214110"/>
                </a:cubicBezTo>
                <a:lnTo>
                  <a:pt x="155523" y="214110"/>
                </a:lnTo>
                <a:cubicBezTo>
                  <a:pt x="152269" y="214114"/>
                  <a:pt x="149379" y="212047"/>
                  <a:pt x="148354" y="208982"/>
                </a:cubicBezTo>
                <a:lnTo>
                  <a:pt x="143574" y="194753"/>
                </a:lnTo>
                <a:lnTo>
                  <a:pt x="143574" y="169111"/>
                </a:lnTo>
                <a:cubicBezTo>
                  <a:pt x="143574" y="167040"/>
                  <a:pt x="141882" y="165361"/>
                  <a:pt x="139796" y="165361"/>
                </a:cubicBezTo>
                <a:lnTo>
                  <a:pt x="64229" y="165361"/>
                </a:lnTo>
                <a:cubicBezTo>
                  <a:pt x="63227" y="165366"/>
                  <a:pt x="62268" y="165761"/>
                  <a:pt x="61556" y="166460"/>
                </a:cubicBezTo>
                <a:lnTo>
                  <a:pt x="50221" y="177710"/>
                </a:lnTo>
                <a:cubicBezTo>
                  <a:pt x="49513" y="178413"/>
                  <a:pt x="49114" y="179367"/>
                  <a:pt x="49114" y="180362"/>
                </a:cubicBezTo>
                <a:lnTo>
                  <a:pt x="49114" y="195362"/>
                </a:lnTo>
                <a:cubicBezTo>
                  <a:pt x="49114" y="197433"/>
                  <a:pt x="50806" y="199112"/>
                  <a:pt x="52892" y="199112"/>
                </a:cubicBezTo>
                <a:lnTo>
                  <a:pt x="55159" y="199112"/>
                </a:lnTo>
                <a:cubicBezTo>
                  <a:pt x="58081" y="199112"/>
                  <a:pt x="60449" y="201462"/>
                  <a:pt x="60449" y="204362"/>
                </a:cubicBezTo>
                <a:lnTo>
                  <a:pt x="60449" y="206616"/>
                </a:lnTo>
                <a:cubicBezTo>
                  <a:pt x="60443" y="210755"/>
                  <a:pt x="57063" y="214107"/>
                  <a:pt x="52892" y="214112"/>
                </a:cubicBezTo>
                <a:lnTo>
                  <a:pt x="42171" y="214112"/>
                </a:lnTo>
                <a:cubicBezTo>
                  <a:pt x="38917" y="214116"/>
                  <a:pt x="36028" y="212048"/>
                  <a:pt x="35003" y="208983"/>
                </a:cubicBezTo>
                <a:lnTo>
                  <a:pt x="30223" y="194754"/>
                </a:lnTo>
                <a:lnTo>
                  <a:pt x="30223" y="172518"/>
                </a:lnTo>
                <a:lnTo>
                  <a:pt x="30227" y="172500"/>
                </a:lnTo>
                <a:lnTo>
                  <a:pt x="30227" y="113408"/>
                </a:lnTo>
                <a:cubicBezTo>
                  <a:pt x="30221" y="112415"/>
                  <a:pt x="29823" y="111462"/>
                  <a:pt x="29119" y="110756"/>
                </a:cubicBezTo>
                <a:lnTo>
                  <a:pt x="9770" y="91553"/>
                </a:lnTo>
                <a:cubicBezTo>
                  <a:pt x="6820" y="88627"/>
                  <a:pt x="6818" y="83881"/>
                  <a:pt x="9767" y="80953"/>
                </a:cubicBezTo>
                <a:cubicBezTo>
                  <a:pt x="9769" y="80951"/>
                  <a:pt x="9770" y="80949"/>
                  <a:pt x="9772" y="80947"/>
                </a:cubicBezTo>
                <a:cubicBezTo>
                  <a:pt x="12761" y="78113"/>
                  <a:pt x="17467" y="78113"/>
                  <a:pt x="20456" y="80947"/>
                </a:cubicBezTo>
                <a:lnTo>
                  <a:pt x="39804" y="100151"/>
                </a:lnTo>
                <a:cubicBezTo>
                  <a:pt x="40516" y="100850"/>
                  <a:pt x="41475" y="101245"/>
                  <a:pt x="42477" y="101250"/>
                </a:cubicBezTo>
                <a:lnTo>
                  <a:pt x="113351" y="101250"/>
                </a:lnTo>
                <a:cubicBezTo>
                  <a:pt x="123876" y="101279"/>
                  <a:pt x="133975" y="97127"/>
                  <a:pt x="141397" y="89720"/>
                </a:cubicBezTo>
                <a:lnTo>
                  <a:pt x="144398" y="86741"/>
                </a:lnTo>
                <a:lnTo>
                  <a:pt x="192209" y="134195"/>
                </a:lnTo>
                <a:cubicBezTo>
                  <a:pt x="190712" y="137486"/>
                  <a:pt x="189716" y="140981"/>
                  <a:pt x="189255" y="144563"/>
                </a:cubicBezTo>
                <a:close/>
                <a:moveTo>
                  <a:pt x="196165" y="127514"/>
                </a:moveTo>
                <a:lnTo>
                  <a:pt x="149741" y="81438"/>
                </a:lnTo>
                <a:lnTo>
                  <a:pt x="155733" y="75491"/>
                </a:lnTo>
                <a:lnTo>
                  <a:pt x="201928" y="121340"/>
                </a:lnTo>
                <a:cubicBezTo>
                  <a:pt x="199777" y="123174"/>
                  <a:pt x="197843" y="125245"/>
                  <a:pt x="196164" y="127514"/>
                </a:cubicBezTo>
                <a:close/>
                <a:moveTo>
                  <a:pt x="275820" y="80709"/>
                </a:moveTo>
                <a:cubicBezTo>
                  <a:pt x="275799" y="98259"/>
                  <a:pt x="261470" y="112480"/>
                  <a:pt x="243788" y="112500"/>
                </a:cubicBezTo>
                <a:lnTo>
                  <a:pt x="225958" y="112500"/>
                </a:lnTo>
                <a:cubicBezTo>
                  <a:pt x="219763" y="112494"/>
                  <a:pt x="213667" y="114039"/>
                  <a:pt x="208234" y="116994"/>
                </a:cubicBezTo>
                <a:lnTo>
                  <a:pt x="161075" y="70186"/>
                </a:lnTo>
                <a:lnTo>
                  <a:pt x="164975" y="66316"/>
                </a:lnTo>
                <a:lnTo>
                  <a:pt x="184261" y="47753"/>
                </a:lnTo>
                <a:cubicBezTo>
                  <a:pt x="188051" y="43597"/>
                  <a:pt x="192340" y="39919"/>
                  <a:pt x="197032" y="36800"/>
                </a:cubicBezTo>
                <a:cubicBezTo>
                  <a:pt x="196778" y="38518"/>
                  <a:pt x="196601" y="39924"/>
                  <a:pt x="196499" y="40828"/>
                </a:cubicBezTo>
                <a:cubicBezTo>
                  <a:pt x="196239" y="42883"/>
                  <a:pt x="197707" y="44758"/>
                  <a:pt x="199777" y="45015"/>
                </a:cubicBezTo>
                <a:cubicBezTo>
                  <a:pt x="201848" y="45273"/>
                  <a:pt x="203737" y="43816"/>
                  <a:pt x="203997" y="41761"/>
                </a:cubicBezTo>
                <a:cubicBezTo>
                  <a:pt x="204000" y="41730"/>
                  <a:pt x="204004" y="41698"/>
                  <a:pt x="204007" y="41667"/>
                </a:cubicBezTo>
                <a:cubicBezTo>
                  <a:pt x="205638" y="27342"/>
                  <a:pt x="211148" y="7497"/>
                  <a:pt x="217256" y="7497"/>
                </a:cubicBezTo>
                <a:cubicBezTo>
                  <a:pt x="223363" y="7497"/>
                  <a:pt x="228873" y="27342"/>
                  <a:pt x="230504" y="41667"/>
                </a:cubicBezTo>
                <a:cubicBezTo>
                  <a:pt x="230718" y="43562"/>
                  <a:pt x="232332" y="44994"/>
                  <a:pt x="234253" y="44997"/>
                </a:cubicBezTo>
                <a:cubicBezTo>
                  <a:pt x="234396" y="44998"/>
                  <a:pt x="234539" y="44990"/>
                  <a:pt x="234681" y="44974"/>
                </a:cubicBezTo>
                <a:cubicBezTo>
                  <a:pt x="236754" y="44742"/>
                  <a:pt x="238246" y="42886"/>
                  <a:pt x="238012" y="40828"/>
                </a:cubicBezTo>
                <a:cubicBezTo>
                  <a:pt x="237899" y="39834"/>
                  <a:pt x="237692" y="38215"/>
                  <a:pt x="237394" y="36255"/>
                </a:cubicBezTo>
                <a:cubicBezTo>
                  <a:pt x="246685" y="42541"/>
                  <a:pt x="252481" y="52778"/>
                  <a:pt x="253058" y="63923"/>
                </a:cubicBezTo>
                <a:lnTo>
                  <a:pt x="253228" y="67497"/>
                </a:lnTo>
                <a:lnTo>
                  <a:pt x="263509" y="67497"/>
                </a:lnTo>
                <a:cubicBezTo>
                  <a:pt x="270305" y="67505"/>
                  <a:pt x="275813" y="72971"/>
                  <a:pt x="275820" y="7971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70" name="Freeform: Shape 369">
            <a:extLst>
              <a:ext uri="{FF2B5EF4-FFF2-40B4-BE49-F238E27FC236}">
                <a16:creationId xmlns:a16="http://schemas.microsoft.com/office/drawing/2014/main" id="{7000219C-99BB-4DB1-B51A-7383A883328B}"/>
              </a:ext>
            </a:extLst>
          </xdr:cNvPr>
          <xdr:cNvSpPr/>
        </xdr:nvSpPr>
        <xdr:spPr>
          <a:xfrm>
            <a:off x="13123311" y="8624389"/>
            <a:ext cx="25836" cy="45000"/>
          </a:xfrm>
          <a:custGeom>
            <a:avLst/>
            <a:gdLst>
              <a:gd name="connsiteX0" fmla="*/ 14501 w 25836"/>
              <a:gd name="connsiteY0" fmla="*/ 15086 h 45000"/>
              <a:gd name="connsiteX1" fmla="*/ 14501 w 25836"/>
              <a:gd name="connsiteY1" fmla="*/ 3750 h 45000"/>
              <a:gd name="connsiteX2" fmla="*/ 10723 w 25836"/>
              <a:gd name="connsiteY2" fmla="*/ 0 h 45000"/>
              <a:gd name="connsiteX3" fmla="*/ 6944 w 25836"/>
              <a:gd name="connsiteY3" fmla="*/ 3750 h 45000"/>
              <a:gd name="connsiteX4" fmla="*/ 6944 w 25836"/>
              <a:gd name="connsiteY4" fmla="*/ 18750 h 45000"/>
              <a:gd name="connsiteX5" fmla="*/ 10723 w 25836"/>
              <a:gd name="connsiteY5" fmla="*/ 22500 h 45000"/>
              <a:gd name="connsiteX6" fmla="*/ 12990 w 25836"/>
              <a:gd name="connsiteY6" fmla="*/ 22500 h 45000"/>
              <a:gd name="connsiteX7" fmla="*/ 18279 w 25836"/>
              <a:gd name="connsiteY7" fmla="*/ 27750 h 45000"/>
              <a:gd name="connsiteX8" fmla="*/ 18277 w 25836"/>
              <a:gd name="connsiteY8" fmla="*/ 30004 h 45000"/>
              <a:gd name="connsiteX9" fmla="*/ 10721 w 25836"/>
              <a:gd name="connsiteY9" fmla="*/ 37500 h 45000"/>
              <a:gd name="connsiteX10" fmla="*/ 3778 w 25836"/>
              <a:gd name="connsiteY10" fmla="*/ 37500 h 45000"/>
              <a:gd name="connsiteX11" fmla="*/ 0 w 25836"/>
              <a:gd name="connsiteY11" fmla="*/ 41250 h 45000"/>
              <a:gd name="connsiteX12" fmla="*/ 3778 w 25836"/>
              <a:gd name="connsiteY12" fmla="*/ 45000 h 45000"/>
              <a:gd name="connsiteX13" fmla="*/ 10721 w 25836"/>
              <a:gd name="connsiteY13" fmla="*/ 45000 h 45000"/>
              <a:gd name="connsiteX14" fmla="*/ 25834 w 25836"/>
              <a:gd name="connsiteY14" fmla="*/ 30009 h 45000"/>
              <a:gd name="connsiteX15" fmla="*/ 25836 w 25836"/>
              <a:gd name="connsiteY15" fmla="*/ 27759 h 45000"/>
              <a:gd name="connsiteX16" fmla="*/ 14501 w 25836"/>
              <a:gd name="connsiteY16" fmla="*/ 15088 h 4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25836" h="45000">
                <a:moveTo>
                  <a:pt x="14501" y="15086"/>
                </a:moveTo>
                <a:lnTo>
                  <a:pt x="14501" y="3750"/>
                </a:lnTo>
                <a:cubicBezTo>
                  <a:pt x="14501" y="1679"/>
                  <a:pt x="12809" y="0"/>
                  <a:pt x="10723" y="0"/>
                </a:cubicBezTo>
                <a:cubicBezTo>
                  <a:pt x="8636" y="0"/>
                  <a:pt x="6944" y="1679"/>
                  <a:pt x="6944" y="3750"/>
                </a:cubicBezTo>
                <a:lnTo>
                  <a:pt x="6944" y="18750"/>
                </a:lnTo>
                <a:cubicBezTo>
                  <a:pt x="6944" y="20821"/>
                  <a:pt x="8636" y="22500"/>
                  <a:pt x="10723" y="22500"/>
                </a:cubicBezTo>
                <a:lnTo>
                  <a:pt x="12990" y="22500"/>
                </a:lnTo>
                <a:cubicBezTo>
                  <a:pt x="15911" y="22500"/>
                  <a:pt x="18279" y="24851"/>
                  <a:pt x="18279" y="27750"/>
                </a:cubicBezTo>
                <a:lnTo>
                  <a:pt x="18277" y="30004"/>
                </a:lnTo>
                <a:cubicBezTo>
                  <a:pt x="18271" y="34143"/>
                  <a:pt x="14891" y="37496"/>
                  <a:pt x="10721" y="37500"/>
                </a:cubicBezTo>
                <a:lnTo>
                  <a:pt x="3778" y="37500"/>
                </a:lnTo>
                <a:cubicBezTo>
                  <a:pt x="1692" y="37500"/>
                  <a:pt x="0" y="39179"/>
                  <a:pt x="0" y="41250"/>
                </a:cubicBezTo>
                <a:cubicBezTo>
                  <a:pt x="0" y="43321"/>
                  <a:pt x="1692" y="45000"/>
                  <a:pt x="3778" y="45000"/>
                </a:cubicBezTo>
                <a:lnTo>
                  <a:pt x="10721" y="45000"/>
                </a:lnTo>
                <a:cubicBezTo>
                  <a:pt x="19061" y="44992"/>
                  <a:pt x="25821" y="38287"/>
                  <a:pt x="25834" y="30009"/>
                </a:cubicBezTo>
                <a:lnTo>
                  <a:pt x="25836" y="27759"/>
                </a:lnTo>
                <a:cubicBezTo>
                  <a:pt x="25838" y="21295"/>
                  <a:pt x="20968" y="15851"/>
                  <a:pt x="14501" y="1508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71" name="Freeform: Shape 370">
            <a:extLst>
              <a:ext uri="{FF2B5EF4-FFF2-40B4-BE49-F238E27FC236}">
                <a16:creationId xmlns:a16="http://schemas.microsoft.com/office/drawing/2014/main" id="{D3D43AAB-C1CB-4543-9A2A-3BA725F32846}"/>
              </a:ext>
            </a:extLst>
          </xdr:cNvPr>
          <xdr:cNvSpPr/>
        </xdr:nvSpPr>
        <xdr:spPr>
          <a:xfrm>
            <a:off x="13288943" y="8504389"/>
            <a:ext cx="11335" cy="11250"/>
          </a:xfrm>
          <a:custGeom>
            <a:avLst/>
            <a:gdLst>
              <a:gd name="connsiteX0" fmla="*/ 11335 w 11335"/>
              <a:gd name="connsiteY0" fmla="*/ 5625 h 11250"/>
              <a:gd name="connsiteX1" fmla="*/ 5668 w 11335"/>
              <a:gd name="connsiteY1" fmla="*/ 11250 h 11250"/>
              <a:gd name="connsiteX2" fmla="*/ 0 w 11335"/>
              <a:gd name="connsiteY2" fmla="*/ 5625 h 11250"/>
              <a:gd name="connsiteX3" fmla="*/ 5668 w 11335"/>
              <a:gd name="connsiteY3" fmla="*/ 0 h 11250"/>
              <a:gd name="connsiteX4" fmla="*/ 11335 w 11335"/>
              <a:gd name="connsiteY4" fmla="*/ 5625 h 1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335" h="11250">
                <a:moveTo>
                  <a:pt x="11335" y="5625"/>
                </a:moveTo>
                <a:cubicBezTo>
                  <a:pt x="11335" y="8732"/>
                  <a:pt x="8798" y="11250"/>
                  <a:pt x="5668" y="11250"/>
                </a:cubicBezTo>
                <a:cubicBezTo>
                  <a:pt x="2537" y="11250"/>
                  <a:pt x="0" y="8732"/>
                  <a:pt x="0" y="5625"/>
                </a:cubicBezTo>
                <a:cubicBezTo>
                  <a:pt x="0" y="2518"/>
                  <a:pt x="2537" y="0"/>
                  <a:pt x="5668" y="0"/>
                </a:cubicBezTo>
                <a:cubicBezTo>
                  <a:pt x="8798" y="0"/>
                  <a:pt x="11335" y="2518"/>
                  <a:pt x="11335" y="56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10</xdr:col>
      <xdr:colOff>150211</xdr:colOff>
      <xdr:row>13</xdr:row>
      <xdr:rowOff>133741</xdr:rowOff>
    </xdr:from>
    <xdr:to>
      <xdr:col>10</xdr:col>
      <xdr:colOff>442769</xdr:colOff>
      <xdr:row>13</xdr:row>
      <xdr:rowOff>396262</xdr:rowOff>
    </xdr:to>
    <xdr:grpSp>
      <xdr:nvGrpSpPr>
        <xdr:cNvPr id="372" name="rabbit" descr="Rabbit outline">
          <a:extLst>
            <a:ext uri="{FF2B5EF4-FFF2-40B4-BE49-F238E27FC236}">
              <a16:creationId xmlns:a16="http://schemas.microsoft.com/office/drawing/2014/main" id="{6BF4F4AE-457D-4DB8-BD05-9C7A54061EA5}"/>
            </a:ext>
          </a:extLst>
        </xdr:cNvPr>
        <xdr:cNvGrpSpPr>
          <a:grpSpLocks noChangeAspect="1"/>
        </xdr:cNvGrpSpPr>
      </xdr:nvGrpSpPr>
      <xdr:grpSpPr>
        <a:xfrm>
          <a:off x="9160861" y="6172591"/>
          <a:ext cx="292558" cy="262521"/>
          <a:chOff x="12409344" y="8429379"/>
          <a:chExt cx="292558" cy="262521"/>
        </a:xfrm>
        <a:solidFill>
          <a:srgbClr val="1F4E78"/>
        </a:solidFill>
      </xdr:grpSpPr>
      <xdr:sp macro="" textlink="">
        <xdr:nvSpPr>
          <xdr:cNvPr id="373" name="Freeform: Shape 372">
            <a:extLst>
              <a:ext uri="{FF2B5EF4-FFF2-40B4-BE49-F238E27FC236}">
                <a16:creationId xmlns:a16="http://schemas.microsoft.com/office/drawing/2014/main" id="{7879405B-ADF0-44F7-BFEF-FDD960317BBD}"/>
              </a:ext>
            </a:extLst>
          </xdr:cNvPr>
          <xdr:cNvSpPr/>
        </xdr:nvSpPr>
        <xdr:spPr>
          <a:xfrm>
            <a:off x="12568875" y="8429379"/>
            <a:ext cx="133027" cy="262509"/>
          </a:xfrm>
          <a:custGeom>
            <a:avLst/>
            <a:gdLst>
              <a:gd name="connsiteX0" fmla="*/ 45386 w 133027"/>
              <a:gd name="connsiteY0" fmla="*/ 190356 h 262509"/>
              <a:gd name="connsiteX1" fmla="*/ 43425 w 133027"/>
              <a:gd name="connsiteY1" fmla="*/ 194391 h 262509"/>
              <a:gd name="connsiteX2" fmla="*/ 52539 w 133027"/>
              <a:gd name="connsiteY2" fmla="*/ 237040 h 262509"/>
              <a:gd name="connsiteX3" fmla="*/ 56238 w 133027"/>
              <a:gd name="connsiteY3" fmla="*/ 240010 h 262509"/>
              <a:gd name="connsiteX4" fmla="*/ 57141 w 133027"/>
              <a:gd name="connsiteY4" fmla="*/ 240010 h 262509"/>
              <a:gd name="connsiteX5" fmla="*/ 64875 w 133027"/>
              <a:gd name="connsiteY5" fmla="*/ 247221 h 262509"/>
              <a:gd name="connsiteX6" fmla="*/ 57615 w 133027"/>
              <a:gd name="connsiteY6" fmla="*/ 255004 h 262509"/>
              <a:gd name="connsiteX7" fmla="*/ 57318 w 133027"/>
              <a:gd name="connsiteY7" fmla="*/ 255010 h 262509"/>
              <a:gd name="connsiteX8" fmla="*/ 47045 w 133027"/>
              <a:gd name="connsiteY8" fmla="*/ 255010 h 262509"/>
              <a:gd name="connsiteX9" fmla="*/ 39655 w 133027"/>
              <a:gd name="connsiteY9" fmla="*/ 249066 h 262509"/>
              <a:gd name="connsiteX10" fmla="*/ 30757 w 133027"/>
              <a:gd name="connsiteY10" fmla="*/ 207441 h 262509"/>
              <a:gd name="connsiteX11" fmla="*/ 26277 w 133027"/>
              <a:gd name="connsiteY11" fmla="*/ 204549 h 262509"/>
              <a:gd name="connsiteX12" fmla="*/ 26275 w 133027"/>
              <a:gd name="connsiteY12" fmla="*/ 204550 h 262509"/>
              <a:gd name="connsiteX13" fmla="*/ 24855 w 133027"/>
              <a:gd name="connsiteY13" fmla="*/ 205183 h 262509"/>
              <a:gd name="connsiteX14" fmla="*/ 9817 w 133027"/>
              <a:gd name="connsiteY14" fmla="*/ 215935 h 262509"/>
              <a:gd name="connsiteX15" fmla="*/ 2041 w 133027"/>
              <a:gd name="connsiteY15" fmla="*/ 220727 h 262509"/>
              <a:gd name="connsiteX16" fmla="*/ 322 w 133027"/>
              <a:gd name="connsiteY16" fmla="*/ 225628 h 262509"/>
              <a:gd name="connsiteX17" fmla="*/ 5329 w 133027"/>
              <a:gd name="connsiteY17" fmla="*/ 227481 h 262509"/>
              <a:gd name="connsiteX18" fmla="*/ 5570 w 133027"/>
              <a:gd name="connsiteY18" fmla="*/ 227361 h 262509"/>
              <a:gd name="connsiteX19" fmla="*/ 14173 w 133027"/>
              <a:gd name="connsiteY19" fmla="*/ 222062 h 262509"/>
              <a:gd name="connsiteX20" fmla="*/ 24583 w 133027"/>
              <a:gd name="connsiteY20" fmla="*/ 214611 h 262509"/>
              <a:gd name="connsiteX21" fmla="*/ 32279 w 133027"/>
              <a:gd name="connsiteY21" fmla="*/ 250611 h 262509"/>
              <a:gd name="connsiteX22" fmla="*/ 47045 w 133027"/>
              <a:gd name="connsiteY22" fmla="*/ 262510 h 262509"/>
              <a:gd name="connsiteX23" fmla="*/ 57035 w 133027"/>
              <a:gd name="connsiteY23" fmla="*/ 262510 h 262509"/>
              <a:gd name="connsiteX24" fmla="*/ 72432 w 133027"/>
              <a:gd name="connsiteY24" fmla="*/ 247427 h 262509"/>
              <a:gd name="connsiteX25" fmla="*/ 59317 w 133027"/>
              <a:gd name="connsiteY25" fmla="*/ 232641 h 262509"/>
              <a:gd name="connsiteX26" fmla="*/ 51409 w 133027"/>
              <a:gd name="connsiteY26" fmla="*/ 195628 h 262509"/>
              <a:gd name="connsiteX27" fmla="*/ 74684 w 133027"/>
              <a:gd name="connsiteY27" fmla="*/ 187510 h 262509"/>
              <a:gd name="connsiteX28" fmla="*/ 112630 w 133027"/>
              <a:gd name="connsiteY28" fmla="*/ 182897 h 262509"/>
              <a:gd name="connsiteX29" fmla="*/ 131174 w 133027"/>
              <a:gd name="connsiteY29" fmla="*/ 165816 h 262509"/>
              <a:gd name="connsiteX30" fmla="*/ 131525 w 133027"/>
              <a:gd name="connsiteY30" fmla="*/ 164758 h 262509"/>
              <a:gd name="connsiteX31" fmla="*/ 129330 w 133027"/>
              <a:gd name="connsiteY31" fmla="*/ 142862 h 262509"/>
              <a:gd name="connsiteX32" fmla="*/ 110060 w 133027"/>
              <a:gd name="connsiteY32" fmla="*/ 110203 h 262509"/>
              <a:gd name="connsiteX33" fmla="*/ 80589 w 133027"/>
              <a:gd name="connsiteY33" fmla="*/ 87872 h 262509"/>
              <a:gd name="connsiteX34" fmla="*/ 74869 w 133027"/>
              <a:gd name="connsiteY34" fmla="*/ 49768 h 262509"/>
              <a:gd name="connsiteX35" fmla="*/ 24821 w 133027"/>
              <a:gd name="connsiteY35" fmla="*/ 321 h 262509"/>
              <a:gd name="connsiteX36" fmla="*/ 21775 w 133027"/>
              <a:gd name="connsiteY36" fmla="*/ 321 h 262509"/>
              <a:gd name="connsiteX37" fmla="*/ 14189 w 133027"/>
              <a:gd name="connsiteY37" fmla="*/ 14571 h 262509"/>
              <a:gd name="connsiteX38" fmla="*/ 16584 w 133027"/>
              <a:gd name="connsiteY38" fmla="*/ 19318 h 262509"/>
              <a:gd name="connsiteX39" fmla="*/ 21367 w 133027"/>
              <a:gd name="connsiteY39" fmla="*/ 16941 h 262509"/>
              <a:gd name="connsiteX40" fmla="*/ 24647 w 133027"/>
              <a:gd name="connsiteY40" fmla="*/ 8541 h 262509"/>
              <a:gd name="connsiteX41" fmla="*/ 67720 w 133027"/>
              <a:gd name="connsiteY41" fmla="*/ 52112 h 262509"/>
              <a:gd name="connsiteX42" fmla="*/ 72851 w 133027"/>
              <a:gd name="connsiteY42" fmla="*/ 90362 h 262509"/>
              <a:gd name="connsiteX43" fmla="*/ 75832 w 133027"/>
              <a:gd name="connsiteY43" fmla="*/ 94393 h 262509"/>
              <a:gd name="connsiteX44" fmla="*/ 103584 w 133027"/>
              <a:gd name="connsiteY44" fmla="*/ 113995 h 262509"/>
              <a:gd name="connsiteX45" fmla="*/ 122876 w 133027"/>
              <a:gd name="connsiteY45" fmla="*/ 146653 h 262509"/>
              <a:gd name="connsiteX46" fmla="*/ 124418 w 133027"/>
              <a:gd name="connsiteY46" fmla="*/ 162295 h 262509"/>
              <a:gd name="connsiteX47" fmla="*/ 124040 w 133027"/>
              <a:gd name="connsiteY47" fmla="*/ 163472 h 262509"/>
              <a:gd name="connsiteX48" fmla="*/ 110854 w 133027"/>
              <a:gd name="connsiteY48" fmla="*/ 175588 h 262509"/>
              <a:gd name="connsiteX49" fmla="*/ 74684 w 133027"/>
              <a:gd name="connsiteY49" fmla="*/ 180010 h 262509"/>
              <a:gd name="connsiteX50" fmla="*/ 45386 w 133027"/>
              <a:gd name="connsiteY50" fmla="*/ 190356 h 2625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</a:cxnLst>
            <a:rect l="l" t="t" r="r" b="b"/>
            <a:pathLst>
              <a:path w="133027" h="262509">
                <a:moveTo>
                  <a:pt x="45386" y="190356"/>
                </a:moveTo>
                <a:cubicBezTo>
                  <a:pt x="43894" y="191111"/>
                  <a:pt x="43092" y="192762"/>
                  <a:pt x="43425" y="194391"/>
                </a:cubicBezTo>
                <a:lnTo>
                  <a:pt x="52539" y="237040"/>
                </a:lnTo>
                <a:cubicBezTo>
                  <a:pt x="52910" y="238773"/>
                  <a:pt x="54452" y="240011"/>
                  <a:pt x="56238" y="240010"/>
                </a:cubicBezTo>
                <a:lnTo>
                  <a:pt x="57141" y="240010"/>
                </a:lnTo>
                <a:cubicBezTo>
                  <a:pt x="61247" y="239974"/>
                  <a:pt x="64655" y="243151"/>
                  <a:pt x="64875" y="247221"/>
                </a:cubicBezTo>
                <a:cubicBezTo>
                  <a:pt x="65036" y="251360"/>
                  <a:pt x="61785" y="254845"/>
                  <a:pt x="57615" y="255004"/>
                </a:cubicBezTo>
                <a:cubicBezTo>
                  <a:pt x="57516" y="255008"/>
                  <a:pt x="57417" y="255010"/>
                  <a:pt x="57318" y="255010"/>
                </a:cubicBezTo>
                <a:lnTo>
                  <a:pt x="47045" y="255010"/>
                </a:lnTo>
                <a:cubicBezTo>
                  <a:pt x="43482" y="254995"/>
                  <a:pt x="40408" y="252523"/>
                  <a:pt x="39655" y="249066"/>
                </a:cubicBezTo>
                <a:lnTo>
                  <a:pt x="30757" y="207441"/>
                </a:lnTo>
                <a:cubicBezTo>
                  <a:pt x="30324" y="205415"/>
                  <a:pt x="28319" y="204120"/>
                  <a:pt x="26277" y="204549"/>
                </a:cubicBezTo>
                <a:cubicBezTo>
                  <a:pt x="26277" y="204549"/>
                  <a:pt x="26276" y="204550"/>
                  <a:pt x="26275" y="204550"/>
                </a:cubicBezTo>
                <a:cubicBezTo>
                  <a:pt x="25762" y="204660"/>
                  <a:pt x="25278" y="204876"/>
                  <a:pt x="24855" y="205183"/>
                </a:cubicBezTo>
                <a:lnTo>
                  <a:pt x="9817" y="215935"/>
                </a:lnTo>
                <a:cubicBezTo>
                  <a:pt x="6945" y="217881"/>
                  <a:pt x="4399" y="219448"/>
                  <a:pt x="2041" y="220727"/>
                </a:cubicBezTo>
                <a:cubicBezTo>
                  <a:pt x="267" y="221665"/>
                  <a:pt x="-482" y="223800"/>
                  <a:pt x="322" y="225628"/>
                </a:cubicBezTo>
                <a:cubicBezTo>
                  <a:pt x="1189" y="227512"/>
                  <a:pt x="3431" y="228342"/>
                  <a:pt x="5329" y="227481"/>
                </a:cubicBezTo>
                <a:cubicBezTo>
                  <a:pt x="5411" y="227444"/>
                  <a:pt x="5491" y="227404"/>
                  <a:pt x="5570" y="227361"/>
                </a:cubicBezTo>
                <a:cubicBezTo>
                  <a:pt x="8526" y="225739"/>
                  <a:pt x="11397" y="223971"/>
                  <a:pt x="14173" y="222062"/>
                </a:cubicBezTo>
                <a:lnTo>
                  <a:pt x="24583" y="214611"/>
                </a:lnTo>
                <a:lnTo>
                  <a:pt x="32279" y="250611"/>
                </a:lnTo>
                <a:cubicBezTo>
                  <a:pt x="33754" y="257539"/>
                  <a:pt x="39910" y="262500"/>
                  <a:pt x="47045" y="262510"/>
                </a:cubicBezTo>
                <a:lnTo>
                  <a:pt x="57035" y="262510"/>
                </a:lnTo>
                <a:cubicBezTo>
                  <a:pt x="65464" y="262518"/>
                  <a:pt x="72330" y="255792"/>
                  <a:pt x="72432" y="247427"/>
                </a:cubicBezTo>
                <a:cubicBezTo>
                  <a:pt x="72379" y="239945"/>
                  <a:pt x="66788" y="233641"/>
                  <a:pt x="59317" y="232641"/>
                </a:cubicBezTo>
                <a:lnTo>
                  <a:pt x="51409" y="195628"/>
                </a:lnTo>
                <a:cubicBezTo>
                  <a:pt x="57420" y="192576"/>
                  <a:pt x="68068" y="187510"/>
                  <a:pt x="74684" y="187510"/>
                </a:cubicBezTo>
                <a:cubicBezTo>
                  <a:pt x="87474" y="187516"/>
                  <a:pt x="100218" y="185967"/>
                  <a:pt x="112630" y="182897"/>
                </a:cubicBezTo>
                <a:cubicBezTo>
                  <a:pt x="121363" y="180755"/>
                  <a:pt x="128370" y="174300"/>
                  <a:pt x="131174" y="165816"/>
                </a:cubicBezTo>
                <a:lnTo>
                  <a:pt x="131525" y="164758"/>
                </a:lnTo>
                <a:cubicBezTo>
                  <a:pt x="134126" y="157501"/>
                  <a:pt x="133321" y="149469"/>
                  <a:pt x="129330" y="142862"/>
                </a:cubicBezTo>
                <a:lnTo>
                  <a:pt x="110060" y="110203"/>
                </a:lnTo>
                <a:cubicBezTo>
                  <a:pt x="103507" y="99264"/>
                  <a:pt x="92948" y="91263"/>
                  <a:pt x="80589" y="87872"/>
                </a:cubicBezTo>
                <a:cubicBezTo>
                  <a:pt x="80947" y="74936"/>
                  <a:pt x="79011" y="62039"/>
                  <a:pt x="74869" y="49768"/>
                </a:cubicBezTo>
                <a:cubicBezTo>
                  <a:pt x="63496" y="17473"/>
                  <a:pt x="26396" y="1018"/>
                  <a:pt x="24821" y="321"/>
                </a:cubicBezTo>
                <a:cubicBezTo>
                  <a:pt x="23851" y="-107"/>
                  <a:pt x="22745" y="-107"/>
                  <a:pt x="21775" y="321"/>
                </a:cubicBezTo>
                <a:cubicBezTo>
                  <a:pt x="20710" y="790"/>
                  <a:pt x="18492" y="1768"/>
                  <a:pt x="14189" y="14571"/>
                </a:cubicBezTo>
                <a:cubicBezTo>
                  <a:pt x="13529" y="16539"/>
                  <a:pt x="14602" y="18664"/>
                  <a:pt x="16584" y="19318"/>
                </a:cubicBezTo>
                <a:cubicBezTo>
                  <a:pt x="18567" y="19973"/>
                  <a:pt x="20708" y="18909"/>
                  <a:pt x="21367" y="16941"/>
                </a:cubicBezTo>
                <a:cubicBezTo>
                  <a:pt x="22284" y="14076"/>
                  <a:pt x="23379" y="11271"/>
                  <a:pt x="24647" y="8541"/>
                </a:cubicBezTo>
                <a:cubicBezTo>
                  <a:pt x="33292" y="12947"/>
                  <a:pt x="59170" y="27857"/>
                  <a:pt x="67720" y="52112"/>
                </a:cubicBezTo>
                <a:cubicBezTo>
                  <a:pt x="71946" y="64404"/>
                  <a:pt x="73689" y="77401"/>
                  <a:pt x="72851" y="90362"/>
                </a:cubicBezTo>
                <a:cubicBezTo>
                  <a:pt x="72665" y="92263"/>
                  <a:pt x="73949" y="93999"/>
                  <a:pt x="75832" y="94393"/>
                </a:cubicBezTo>
                <a:cubicBezTo>
                  <a:pt x="87444" y="96774"/>
                  <a:pt x="97513" y="103887"/>
                  <a:pt x="103584" y="113995"/>
                </a:cubicBezTo>
                <a:lnTo>
                  <a:pt x="122876" y="146653"/>
                </a:lnTo>
                <a:cubicBezTo>
                  <a:pt x="125759" y="151364"/>
                  <a:pt x="126326" y="157119"/>
                  <a:pt x="124418" y="162295"/>
                </a:cubicBezTo>
                <a:lnTo>
                  <a:pt x="124040" y="163472"/>
                </a:lnTo>
                <a:cubicBezTo>
                  <a:pt x="122042" y="169497"/>
                  <a:pt x="117059" y="174075"/>
                  <a:pt x="110854" y="175588"/>
                </a:cubicBezTo>
                <a:cubicBezTo>
                  <a:pt x="99024" y="178524"/>
                  <a:pt x="86877" y="180009"/>
                  <a:pt x="74684" y="180010"/>
                </a:cubicBezTo>
                <a:cubicBezTo>
                  <a:pt x="66269" y="180010"/>
                  <a:pt x="55161" y="185260"/>
                  <a:pt x="45386" y="19035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74" name="Freeform: Shape 373">
            <a:extLst>
              <a:ext uri="{FF2B5EF4-FFF2-40B4-BE49-F238E27FC236}">
                <a16:creationId xmlns:a16="http://schemas.microsoft.com/office/drawing/2014/main" id="{7B94C610-7AAA-4785-B183-54CB2B47EB26}"/>
              </a:ext>
            </a:extLst>
          </xdr:cNvPr>
          <xdr:cNvSpPr/>
        </xdr:nvSpPr>
        <xdr:spPr>
          <a:xfrm>
            <a:off x="12409344" y="8444369"/>
            <a:ext cx="225143" cy="247531"/>
          </a:xfrm>
          <a:custGeom>
            <a:avLst/>
            <a:gdLst>
              <a:gd name="connsiteX0" fmla="*/ 35334 w 225143"/>
              <a:gd name="connsiteY0" fmla="*/ 182986 h 247531"/>
              <a:gd name="connsiteX1" fmla="*/ 33532 w 225143"/>
              <a:gd name="connsiteY1" fmla="*/ 167986 h 247531"/>
              <a:gd name="connsiteX2" fmla="*/ 29967 w 225143"/>
              <a:gd name="connsiteY2" fmla="*/ 164024 h 247531"/>
              <a:gd name="connsiteX3" fmla="*/ 25975 w 225143"/>
              <a:gd name="connsiteY3" fmla="*/ 167562 h 247531"/>
              <a:gd name="connsiteX4" fmla="*/ 26969 w 225143"/>
              <a:gd name="connsiteY4" fmla="*/ 179214 h 247531"/>
              <a:gd name="connsiteX5" fmla="*/ 8268 w 225143"/>
              <a:gd name="connsiteY5" fmla="*/ 146984 h 247531"/>
              <a:gd name="connsiteX6" fmla="*/ 33932 w 225143"/>
              <a:gd name="connsiteY6" fmla="*/ 127520 h 247531"/>
              <a:gd name="connsiteX7" fmla="*/ 39543 w 225143"/>
              <a:gd name="connsiteY7" fmla="*/ 128450 h 247531"/>
              <a:gd name="connsiteX8" fmla="*/ 44077 w 225143"/>
              <a:gd name="connsiteY8" fmla="*/ 126605 h 247531"/>
              <a:gd name="connsiteX9" fmla="*/ 152893 w 225143"/>
              <a:gd name="connsiteY9" fmla="*/ 84327 h 247531"/>
              <a:gd name="connsiteX10" fmla="*/ 156517 w 225143"/>
              <a:gd name="connsiteY10" fmla="*/ 89412 h 247531"/>
              <a:gd name="connsiteX11" fmla="*/ 161791 w 225143"/>
              <a:gd name="connsiteY11" fmla="*/ 90264 h 247531"/>
              <a:gd name="connsiteX12" fmla="*/ 162649 w 225143"/>
              <a:gd name="connsiteY12" fmla="*/ 85029 h 247531"/>
              <a:gd name="connsiteX13" fmla="*/ 151692 w 225143"/>
              <a:gd name="connsiteY13" fmla="*/ 68994 h 247531"/>
              <a:gd name="connsiteX14" fmla="*/ 146931 w 225143"/>
              <a:gd name="connsiteY14" fmla="*/ 8307 h 247531"/>
              <a:gd name="connsiteX15" fmla="*/ 197312 w 225143"/>
              <a:gd name="connsiteY15" fmla="*/ 42774 h 247531"/>
              <a:gd name="connsiteX16" fmla="*/ 209708 w 225143"/>
              <a:gd name="connsiteY16" fmla="*/ 75676 h 247531"/>
              <a:gd name="connsiteX17" fmla="*/ 213430 w 225143"/>
              <a:gd name="connsiteY17" fmla="*/ 78766 h 247531"/>
              <a:gd name="connsiteX18" fmla="*/ 221236 w 225143"/>
              <a:gd name="connsiteY18" fmla="*/ 78766 h 247531"/>
              <a:gd name="connsiteX19" fmla="*/ 225135 w 225143"/>
              <a:gd name="connsiteY19" fmla="*/ 75267 h 247531"/>
              <a:gd name="connsiteX20" fmla="*/ 221619 w 225143"/>
              <a:gd name="connsiteY20" fmla="*/ 71274 h 247531"/>
              <a:gd name="connsiteX21" fmla="*/ 221357 w 225143"/>
              <a:gd name="connsiteY21" fmla="*/ 71266 h 247531"/>
              <a:gd name="connsiteX22" fmla="*/ 216539 w 225143"/>
              <a:gd name="connsiteY22" fmla="*/ 71266 h 247531"/>
              <a:gd name="connsiteX23" fmla="*/ 203859 w 225143"/>
              <a:gd name="connsiteY23" fmla="*/ 39016 h 247531"/>
              <a:gd name="connsiteX24" fmla="*/ 145049 w 225143"/>
              <a:gd name="connsiteY24" fmla="*/ 80 h 247531"/>
              <a:gd name="connsiteX25" fmla="*/ 140682 w 225143"/>
              <a:gd name="connsiteY25" fmla="*/ 2596 h 247531"/>
              <a:gd name="connsiteX26" fmla="*/ 145129 w 225143"/>
              <a:gd name="connsiteY26" fmla="*/ 72699 h 247531"/>
              <a:gd name="connsiteX27" fmla="*/ 146066 w 225143"/>
              <a:gd name="connsiteY27" fmla="*/ 74322 h 247531"/>
              <a:gd name="connsiteX28" fmla="*/ 146024 w 225143"/>
              <a:gd name="connsiteY28" fmla="*/ 74379 h 247531"/>
              <a:gd name="connsiteX29" fmla="*/ 38818 w 225143"/>
              <a:gd name="connsiteY29" fmla="*/ 120515 h 247531"/>
              <a:gd name="connsiteX30" fmla="*/ 33932 w 225143"/>
              <a:gd name="connsiteY30" fmla="*/ 120020 h 247531"/>
              <a:gd name="connsiteX31" fmla="*/ 0 w 225143"/>
              <a:gd name="connsiteY31" fmla="*/ 153917 h 247531"/>
              <a:gd name="connsiteX32" fmla="*/ 28506 w 225143"/>
              <a:gd name="connsiteY32" fmla="*/ 187145 h 247531"/>
              <a:gd name="connsiteX33" fmla="*/ 28506 w 225143"/>
              <a:gd name="connsiteY33" fmla="*/ 187145 h 247531"/>
              <a:gd name="connsiteX34" fmla="*/ 29100 w 225143"/>
              <a:gd name="connsiteY34" fmla="*/ 189792 h 247531"/>
              <a:gd name="connsiteX35" fmla="*/ 29315 w 225143"/>
              <a:gd name="connsiteY35" fmla="*/ 190599 h 247531"/>
              <a:gd name="connsiteX36" fmla="*/ 70027 w 225143"/>
              <a:gd name="connsiteY36" fmla="*/ 246920 h 247531"/>
              <a:gd name="connsiteX37" fmla="*/ 72097 w 225143"/>
              <a:gd name="connsiteY37" fmla="*/ 247531 h 247531"/>
              <a:gd name="connsiteX38" fmla="*/ 150834 w 225143"/>
              <a:gd name="connsiteY38" fmla="*/ 247531 h 247531"/>
              <a:gd name="connsiteX39" fmla="*/ 166193 w 225143"/>
              <a:gd name="connsiteY39" fmla="*/ 232561 h 247531"/>
              <a:gd name="connsiteX40" fmla="*/ 151429 w 225143"/>
              <a:gd name="connsiteY40" fmla="*/ 217531 h 247531"/>
              <a:gd name="connsiteX41" fmla="*/ 151080 w 225143"/>
              <a:gd name="connsiteY41" fmla="*/ 217531 h 247531"/>
              <a:gd name="connsiteX42" fmla="*/ 132789 w 225143"/>
              <a:gd name="connsiteY42" fmla="*/ 217531 h 247531"/>
              <a:gd name="connsiteX43" fmla="*/ 143528 w 225143"/>
              <a:gd name="connsiteY43" fmla="*/ 149417 h 247531"/>
              <a:gd name="connsiteX44" fmla="*/ 103843 w 225143"/>
              <a:gd name="connsiteY44" fmla="*/ 129395 h 247531"/>
              <a:gd name="connsiteX45" fmla="*/ 91042 w 225143"/>
              <a:gd name="connsiteY45" fmla="*/ 131052 h 247531"/>
              <a:gd name="connsiteX46" fmla="*/ 88510 w 225143"/>
              <a:gd name="connsiteY46" fmla="*/ 135732 h 247531"/>
              <a:gd name="connsiteX47" fmla="*/ 93226 w 225143"/>
              <a:gd name="connsiteY47" fmla="*/ 138245 h 247531"/>
              <a:gd name="connsiteX48" fmla="*/ 103843 w 225143"/>
              <a:gd name="connsiteY48" fmla="*/ 136895 h 247531"/>
              <a:gd name="connsiteX49" fmla="*/ 145312 w 225143"/>
              <a:gd name="connsiteY49" fmla="*/ 178237 h 247531"/>
              <a:gd name="connsiteX50" fmla="*/ 115605 w 225143"/>
              <a:gd name="connsiteY50" fmla="*/ 217681 h 247531"/>
              <a:gd name="connsiteX51" fmla="*/ 113017 w 225143"/>
              <a:gd name="connsiteY51" fmla="*/ 222147 h 247531"/>
              <a:gd name="connsiteX52" fmla="*/ 116795 w 225143"/>
              <a:gd name="connsiteY52" fmla="*/ 225024 h 247531"/>
              <a:gd name="connsiteX53" fmla="*/ 150921 w 225143"/>
              <a:gd name="connsiteY53" fmla="*/ 225024 h 247531"/>
              <a:gd name="connsiteX54" fmla="*/ 158617 w 225143"/>
              <a:gd name="connsiteY54" fmla="*/ 232524 h 247531"/>
              <a:gd name="connsiteX55" fmla="*/ 151390 w 225143"/>
              <a:gd name="connsiteY55" fmla="*/ 240024 h 247531"/>
              <a:gd name="connsiteX56" fmla="*/ 151061 w 225143"/>
              <a:gd name="connsiteY56" fmla="*/ 240024 h 247531"/>
              <a:gd name="connsiteX57" fmla="*/ 73238 w 225143"/>
              <a:gd name="connsiteY57" fmla="*/ 240024 h 247531"/>
              <a:gd name="connsiteX58" fmla="*/ 36437 w 225143"/>
              <a:gd name="connsiteY58" fmla="*/ 188007 h 247531"/>
              <a:gd name="connsiteX59" fmla="*/ 36006 w 225143"/>
              <a:gd name="connsiteY59" fmla="*/ 186095 h 24753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</a:cxnLst>
            <a:rect l="l" t="t" r="r" b="b"/>
            <a:pathLst>
              <a:path w="225143" h="247531">
                <a:moveTo>
                  <a:pt x="35334" y="182986"/>
                </a:moveTo>
                <a:cubicBezTo>
                  <a:pt x="34211" y="178062"/>
                  <a:pt x="33607" y="173035"/>
                  <a:pt x="33532" y="167986"/>
                </a:cubicBezTo>
                <a:cubicBezTo>
                  <a:pt x="33650" y="165915"/>
                  <a:pt x="32054" y="164141"/>
                  <a:pt x="29967" y="164024"/>
                </a:cubicBezTo>
                <a:cubicBezTo>
                  <a:pt x="27880" y="163907"/>
                  <a:pt x="26093" y="165491"/>
                  <a:pt x="25975" y="167562"/>
                </a:cubicBezTo>
                <a:cubicBezTo>
                  <a:pt x="25947" y="171468"/>
                  <a:pt x="26280" y="175368"/>
                  <a:pt x="26969" y="179214"/>
                </a:cubicBezTo>
                <a:cubicBezTo>
                  <a:pt x="12837" y="175439"/>
                  <a:pt x="4465" y="161009"/>
                  <a:pt x="8268" y="146984"/>
                </a:cubicBezTo>
                <a:cubicBezTo>
                  <a:pt x="11389" y="135473"/>
                  <a:pt x="21922" y="127485"/>
                  <a:pt x="33932" y="127520"/>
                </a:cubicBezTo>
                <a:cubicBezTo>
                  <a:pt x="35841" y="127528"/>
                  <a:pt x="37735" y="127843"/>
                  <a:pt x="39543" y="128450"/>
                </a:cubicBezTo>
                <a:cubicBezTo>
                  <a:pt x="41306" y="129023"/>
                  <a:pt x="43227" y="128241"/>
                  <a:pt x="44077" y="126605"/>
                </a:cubicBezTo>
                <a:cubicBezTo>
                  <a:pt x="64584" y="87477"/>
                  <a:pt x="111072" y="69415"/>
                  <a:pt x="152893" y="84327"/>
                </a:cubicBezTo>
                <a:cubicBezTo>
                  <a:pt x="154869" y="87144"/>
                  <a:pt x="156381" y="89229"/>
                  <a:pt x="156517" y="89412"/>
                </a:cubicBezTo>
                <a:cubicBezTo>
                  <a:pt x="157736" y="91093"/>
                  <a:pt x="160098" y="91474"/>
                  <a:pt x="161791" y="90264"/>
                </a:cubicBezTo>
                <a:cubicBezTo>
                  <a:pt x="163485" y="89053"/>
                  <a:pt x="163869" y="86709"/>
                  <a:pt x="162649" y="85029"/>
                </a:cubicBezTo>
                <a:cubicBezTo>
                  <a:pt x="162577" y="84927"/>
                  <a:pt x="155470" y="75147"/>
                  <a:pt x="151692" y="68994"/>
                </a:cubicBezTo>
                <a:cubicBezTo>
                  <a:pt x="138917" y="46756"/>
                  <a:pt x="144479" y="18039"/>
                  <a:pt x="146931" y="8307"/>
                </a:cubicBezTo>
                <a:cubicBezTo>
                  <a:pt x="156649" y="11019"/>
                  <a:pt x="184476" y="20484"/>
                  <a:pt x="197312" y="42774"/>
                </a:cubicBezTo>
                <a:cubicBezTo>
                  <a:pt x="203335" y="52945"/>
                  <a:pt x="207530" y="64078"/>
                  <a:pt x="209708" y="75676"/>
                </a:cubicBezTo>
                <a:cubicBezTo>
                  <a:pt x="210031" y="77465"/>
                  <a:pt x="211599" y="78767"/>
                  <a:pt x="213430" y="78766"/>
                </a:cubicBezTo>
                <a:lnTo>
                  <a:pt x="221236" y="78766"/>
                </a:lnTo>
                <a:cubicBezTo>
                  <a:pt x="223259" y="78793"/>
                  <a:pt x="224959" y="77267"/>
                  <a:pt x="225135" y="75267"/>
                </a:cubicBezTo>
                <a:cubicBezTo>
                  <a:pt x="225275" y="73201"/>
                  <a:pt x="223701" y="71413"/>
                  <a:pt x="221619" y="71274"/>
                </a:cubicBezTo>
                <a:cubicBezTo>
                  <a:pt x="221531" y="71269"/>
                  <a:pt x="221444" y="71266"/>
                  <a:pt x="221357" y="71266"/>
                </a:cubicBezTo>
                <a:lnTo>
                  <a:pt x="216539" y="71266"/>
                </a:lnTo>
                <a:cubicBezTo>
                  <a:pt x="214046" y="59922"/>
                  <a:pt x="209766" y="49038"/>
                  <a:pt x="203859" y="39016"/>
                </a:cubicBezTo>
                <a:cubicBezTo>
                  <a:pt x="186589" y="9016"/>
                  <a:pt x="146735" y="429"/>
                  <a:pt x="145049" y="80"/>
                </a:cubicBezTo>
                <a:cubicBezTo>
                  <a:pt x="143160" y="-312"/>
                  <a:pt x="141276" y="773"/>
                  <a:pt x="140682" y="2596"/>
                </a:cubicBezTo>
                <a:cubicBezTo>
                  <a:pt x="140149" y="4220"/>
                  <a:pt x="127896" y="42766"/>
                  <a:pt x="145129" y="72699"/>
                </a:cubicBezTo>
                <a:cubicBezTo>
                  <a:pt x="145155" y="72744"/>
                  <a:pt x="145533" y="73422"/>
                  <a:pt x="146066" y="74322"/>
                </a:cubicBezTo>
                <a:cubicBezTo>
                  <a:pt x="146092" y="74364"/>
                  <a:pt x="146066" y="74390"/>
                  <a:pt x="146024" y="74379"/>
                </a:cubicBezTo>
                <a:cubicBezTo>
                  <a:pt x="103907" y="64151"/>
                  <a:pt x="60082" y="83011"/>
                  <a:pt x="38818" y="120515"/>
                </a:cubicBezTo>
                <a:cubicBezTo>
                  <a:pt x="37210" y="120189"/>
                  <a:pt x="35573" y="120023"/>
                  <a:pt x="33932" y="120020"/>
                </a:cubicBezTo>
                <a:cubicBezTo>
                  <a:pt x="15131" y="120081"/>
                  <a:pt x="-61" y="135257"/>
                  <a:pt x="0" y="153917"/>
                </a:cubicBezTo>
                <a:cubicBezTo>
                  <a:pt x="54" y="170415"/>
                  <a:pt x="12105" y="184462"/>
                  <a:pt x="28506" y="187145"/>
                </a:cubicBezTo>
                <a:lnTo>
                  <a:pt x="28506" y="187145"/>
                </a:lnTo>
                <a:cubicBezTo>
                  <a:pt x="28703" y="188030"/>
                  <a:pt x="28884" y="188915"/>
                  <a:pt x="29100" y="189792"/>
                </a:cubicBezTo>
                <a:lnTo>
                  <a:pt x="29315" y="190599"/>
                </a:lnTo>
                <a:cubicBezTo>
                  <a:pt x="35311" y="213765"/>
                  <a:pt x="49837" y="233860"/>
                  <a:pt x="70027" y="246920"/>
                </a:cubicBezTo>
                <a:cubicBezTo>
                  <a:pt x="70643" y="247317"/>
                  <a:pt x="71362" y="247530"/>
                  <a:pt x="72097" y="247531"/>
                </a:cubicBezTo>
                <a:lnTo>
                  <a:pt x="150834" y="247531"/>
                </a:lnTo>
                <a:cubicBezTo>
                  <a:pt x="159229" y="247579"/>
                  <a:pt x="166090" y="240893"/>
                  <a:pt x="166193" y="232561"/>
                </a:cubicBezTo>
                <a:cubicBezTo>
                  <a:pt x="166298" y="224364"/>
                  <a:pt x="159688" y="217635"/>
                  <a:pt x="151429" y="217531"/>
                </a:cubicBezTo>
                <a:cubicBezTo>
                  <a:pt x="151313" y="217530"/>
                  <a:pt x="151196" y="217530"/>
                  <a:pt x="151080" y="217531"/>
                </a:cubicBezTo>
                <a:lnTo>
                  <a:pt x="132789" y="217531"/>
                </a:lnTo>
                <a:cubicBezTo>
                  <a:pt x="154705" y="201665"/>
                  <a:pt x="159514" y="171169"/>
                  <a:pt x="143528" y="149417"/>
                </a:cubicBezTo>
                <a:cubicBezTo>
                  <a:pt x="134281" y="136835"/>
                  <a:pt x="119534" y="129394"/>
                  <a:pt x="103843" y="129395"/>
                </a:cubicBezTo>
                <a:cubicBezTo>
                  <a:pt x="99517" y="129313"/>
                  <a:pt x="95202" y="129871"/>
                  <a:pt x="91042" y="131052"/>
                </a:cubicBezTo>
                <a:cubicBezTo>
                  <a:pt x="89041" y="131651"/>
                  <a:pt x="87907" y="133746"/>
                  <a:pt x="88510" y="135732"/>
                </a:cubicBezTo>
                <a:cubicBezTo>
                  <a:pt x="89113" y="137718"/>
                  <a:pt x="91225" y="138843"/>
                  <a:pt x="93226" y="138245"/>
                </a:cubicBezTo>
                <a:cubicBezTo>
                  <a:pt x="96676" y="137269"/>
                  <a:pt x="100256" y="136814"/>
                  <a:pt x="103843" y="136895"/>
                </a:cubicBezTo>
                <a:cubicBezTo>
                  <a:pt x="126797" y="136946"/>
                  <a:pt x="145363" y="155455"/>
                  <a:pt x="145312" y="178237"/>
                </a:cubicBezTo>
                <a:cubicBezTo>
                  <a:pt x="145270" y="196453"/>
                  <a:pt x="133196" y="212485"/>
                  <a:pt x="115605" y="217681"/>
                </a:cubicBezTo>
                <a:cubicBezTo>
                  <a:pt x="113685" y="218253"/>
                  <a:pt x="112549" y="220213"/>
                  <a:pt x="113017" y="222147"/>
                </a:cubicBezTo>
                <a:cubicBezTo>
                  <a:pt x="113462" y="223853"/>
                  <a:pt x="115020" y="225039"/>
                  <a:pt x="116795" y="225024"/>
                </a:cubicBezTo>
                <a:lnTo>
                  <a:pt x="150921" y="225024"/>
                </a:lnTo>
                <a:cubicBezTo>
                  <a:pt x="155129" y="224997"/>
                  <a:pt x="158568" y="228348"/>
                  <a:pt x="158617" y="232524"/>
                </a:cubicBezTo>
                <a:cubicBezTo>
                  <a:pt x="158708" y="236576"/>
                  <a:pt x="155472" y="239934"/>
                  <a:pt x="151390" y="240024"/>
                </a:cubicBezTo>
                <a:cubicBezTo>
                  <a:pt x="151280" y="240026"/>
                  <a:pt x="151170" y="240026"/>
                  <a:pt x="151061" y="240024"/>
                </a:cubicBezTo>
                <a:lnTo>
                  <a:pt x="73238" y="240024"/>
                </a:lnTo>
                <a:cubicBezTo>
                  <a:pt x="54873" y="227838"/>
                  <a:pt x="41750" y="209289"/>
                  <a:pt x="36437" y="188007"/>
                </a:cubicBezTo>
                <a:cubicBezTo>
                  <a:pt x="36278" y="187340"/>
                  <a:pt x="36146" y="186729"/>
                  <a:pt x="36006" y="18609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75" name="Freeform: Shape 374">
            <a:extLst>
              <a:ext uri="{FF2B5EF4-FFF2-40B4-BE49-F238E27FC236}">
                <a16:creationId xmlns:a16="http://schemas.microsoft.com/office/drawing/2014/main" id="{EA31C5D9-1852-4121-AEB1-2DC6F6D8ACA6}"/>
              </a:ext>
            </a:extLst>
          </xdr:cNvPr>
          <xdr:cNvSpPr/>
        </xdr:nvSpPr>
        <xdr:spPr>
          <a:xfrm>
            <a:off x="12651075" y="8553124"/>
            <a:ext cx="15114" cy="15000"/>
          </a:xfrm>
          <a:custGeom>
            <a:avLst/>
            <a:gdLst>
              <a:gd name="connsiteX0" fmla="*/ 15075 w 15114"/>
              <a:gd name="connsiteY0" fmla="*/ 8264 h 15000"/>
              <a:gd name="connsiteX1" fmla="*/ 8327 w 15114"/>
              <a:gd name="connsiteY1" fmla="*/ 40 h 15000"/>
              <a:gd name="connsiteX2" fmla="*/ 40 w 15114"/>
              <a:gd name="connsiteY2" fmla="*/ 6737 h 15000"/>
              <a:gd name="connsiteX3" fmla="*/ 6788 w 15114"/>
              <a:gd name="connsiteY3" fmla="*/ 14962 h 15000"/>
              <a:gd name="connsiteX4" fmla="*/ 8327 w 15114"/>
              <a:gd name="connsiteY4" fmla="*/ 14962 h 15000"/>
              <a:gd name="connsiteX5" fmla="*/ 15075 w 15114"/>
              <a:gd name="connsiteY5" fmla="*/ 8264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5114" h="15000">
                <a:moveTo>
                  <a:pt x="15075" y="8264"/>
                </a:moveTo>
                <a:cubicBezTo>
                  <a:pt x="15500" y="4144"/>
                  <a:pt x="12478" y="461"/>
                  <a:pt x="8327" y="40"/>
                </a:cubicBezTo>
                <a:cubicBezTo>
                  <a:pt x="4175" y="-382"/>
                  <a:pt x="465" y="2617"/>
                  <a:pt x="40" y="6737"/>
                </a:cubicBezTo>
                <a:cubicBezTo>
                  <a:pt x="-385" y="10858"/>
                  <a:pt x="2636" y="14540"/>
                  <a:pt x="6788" y="14962"/>
                </a:cubicBezTo>
                <a:cubicBezTo>
                  <a:pt x="7300" y="15014"/>
                  <a:pt x="7815" y="15014"/>
                  <a:pt x="8327" y="14962"/>
                </a:cubicBezTo>
                <a:cubicBezTo>
                  <a:pt x="11891" y="14599"/>
                  <a:pt x="14710" y="11802"/>
                  <a:pt x="15075" y="826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2</xdr:col>
      <xdr:colOff>189606</xdr:colOff>
      <xdr:row>12</xdr:row>
      <xdr:rowOff>127789</xdr:rowOff>
    </xdr:from>
    <xdr:to>
      <xdr:col>2</xdr:col>
      <xdr:colOff>379196</xdr:colOff>
      <xdr:row>12</xdr:row>
      <xdr:rowOff>435289</xdr:rowOff>
    </xdr:to>
    <xdr:sp macro="" textlink="">
      <xdr:nvSpPr>
        <xdr:cNvPr id="392" name="bitcoin" descr="Bitcoin outline">
          <a:extLst>
            <a:ext uri="{FF2B5EF4-FFF2-40B4-BE49-F238E27FC236}">
              <a16:creationId xmlns:a16="http://schemas.microsoft.com/office/drawing/2014/main" id="{AA42258B-38ED-4B6E-BD22-83A1301ADF03}"/>
            </a:ext>
          </a:extLst>
        </xdr:cNvPr>
        <xdr:cNvSpPr>
          <a:spLocks noChangeAspect="1"/>
        </xdr:cNvSpPr>
      </xdr:nvSpPr>
      <xdr:spPr>
        <a:xfrm>
          <a:off x="1551681" y="5137939"/>
          <a:ext cx="189590" cy="307500"/>
        </a:xfrm>
        <a:custGeom>
          <a:avLst/>
          <a:gdLst>
            <a:gd name="connsiteX0" fmla="*/ 126443 w 189590"/>
            <a:gd name="connsiteY0" fmla="*/ 139005 h 307500"/>
            <a:gd name="connsiteX1" fmla="*/ 148255 w 189590"/>
            <a:gd name="connsiteY1" fmla="*/ 62545 h 307500"/>
            <a:gd name="connsiteX2" fmla="*/ 106191 w 189590"/>
            <a:gd name="connsiteY2" fmla="*/ 34309 h 307500"/>
            <a:gd name="connsiteX3" fmla="*/ 106191 w 189590"/>
            <a:gd name="connsiteY3" fmla="*/ 0 h 307500"/>
            <a:gd name="connsiteX4" fmla="*/ 98606 w 189590"/>
            <a:gd name="connsiteY4" fmla="*/ 0 h 307500"/>
            <a:gd name="connsiteX5" fmla="*/ 98606 w 189590"/>
            <a:gd name="connsiteY5" fmla="*/ 33750 h 307500"/>
            <a:gd name="connsiteX6" fmla="*/ 60680 w 189590"/>
            <a:gd name="connsiteY6" fmla="*/ 33750 h 307500"/>
            <a:gd name="connsiteX7" fmla="*/ 60680 w 189590"/>
            <a:gd name="connsiteY7" fmla="*/ 0 h 307500"/>
            <a:gd name="connsiteX8" fmla="*/ 53095 w 189590"/>
            <a:gd name="connsiteY8" fmla="*/ 0 h 307500"/>
            <a:gd name="connsiteX9" fmla="*/ 53095 w 189590"/>
            <a:gd name="connsiteY9" fmla="*/ 33750 h 307500"/>
            <a:gd name="connsiteX10" fmla="*/ 0 w 189590"/>
            <a:gd name="connsiteY10" fmla="*/ 33750 h 307500"/>
            <a:gd name="connsiteX11" fmla="*/ 0 w 189590"/>
            <a:gd name="connsiteY11" fmla="*/ 41250 h 307500"/>
            <a:gd name="connsiteX12" fmla="*/ 22755 w 189590"/>
            <a:gd name="connsiteY12" fmla="*/ 41250 h 307500"/>
            <a:gd name="connsiteX13" fmla="*/ 22755 w 189590"/>
            <a:gd name="connsiteY13" fmla="*/ 266250 h 307500"/>
            <a:gd name="connsiteX14" fmla="*/ 0 w 189590"/>
            <a:gd name="connsiteY14" fmla="*/ 266250 h 307500"/>
            <a:gd name="connsiteX15" fmla="*/ 0 w 189590"/>
            <a:gd name="connsiteY15" fmla="*/ 273750 h 307500"/>
            <a:gd name="connsiteX16" fmla="*/ 53095 w 189590"/>
            <a:gd name="connsiteY16" fmla="*/ 273750 h 307500"/>
            <a:gd name="connsiteX17" fmla="*/ 53095 w 189590"/>
            <a:gd name="connsiteY17" fmla="*/ 307500 h 307500"/>
            <a:gd name="connsiteX18" fmla="*/ 60680 w 189590"/>
            <a:gd name="connsiteY18" fmla="*/ 307500 h 307500"/>
            <a:gd name="connsiteX19" fmla="*/ 60680 w 189590"/>
            <a:gd name="connsiteY19" fmla="*/ 273750 h 307500"/>
            <a:gd name="connsiteX20" fmla="*/ 98606 w 189590"/>
            <a:gd name="connsiteY20" fmla="*/ 273750 h 307500"/>
            <a:gd name="connsiteX21" fmla="*/ 98606 w 189590"/>
            <a:gd name="connsiteY21" fmla="*/ 307500 h 307500"/>
            <a:gd name="connsiteX22" fmla="*/ 106191 w 189590"/>
            <a:gd name="connsiteY22" fmla="*/ 307500 h 307500"/>
            <a:gd name="connsiteX23" fmla="*/ 106191 w 189590"/>
            <a:gd name="connsiteY23" fmla="*/ 273750 h 307500"/>
            <a:gd name="connsiteX24" fmla="*/ 121361 w 189590"/>
            <a:gd name="connsiteY24" fmla="*/ 273750 h 307500"/>
            <a:gd name="connsiteX25" fmla="*/ 189590 w 189590"/>
            <a:gd name="connsiteY25" fmla="*/ 206282 h 307500"/>
            <a:gd name="connsiteX26" fmla="*/ 126443 w 189590"/>
            <a:gd name="connsiteY26" fmla="*/ 139005 h 307500"/>
            <a:gd name="connsiteX27" fmla="*/ 98606 w 189590"/>
            <a:gd name="connsiteY27" fmla="*/ 41250 h 307500"/>
            <a:gd name="connsiteX28" fmla="*/ 147908 w 189590"/>
            <a:gd name="connsiteY28" fmla="*/ 90000 h 307500"/>
            <a:gd name="connsiteX29" fmla="*/ 98606 w 189590"/>
            <a:gd name="connsiteY29" fmla="*/ 138750 h 307500"/>
            <a:gd name="connsiteX30" fmla="*/ 30340 w 189590"/>
            <a:gd name="connsiteY30" fmla="*/ 138750 h 307500"/>
            <a:gd name="connsiteX31" fmla="*/ 30340 w 189590"/>
            <a:gd name="connsiteY31" fmla="*/ 41250 h 307500"/>
            <a:gd name="connsiteX32" fmla="*/ 121361 w 189590"/>
            <a:gd name="connsiteY32" fmla="*/ 266250 h 307500"/>
            <a:gd name="connsiteX33" fmla="*/ 30340 w 189590"/>
            <a:gd name="connsiteY33" fmla="*/ 266250 h 307500"/>
            <a:gd name="connsiteX34" fmla="*/ 30340 w 189590"/>
            <a:gd name="connsiteY34" fmla="*/ 146250 h 307500"/>
            <a:gd name="connsiteX35" fmla="*/ 121361 w 189590"/>
            <a:gd name="connsiteY35" fmla="*/ 146250 h 307500"/>
            <a:gd name="connsiteX36" fmla="*/ 182041 w 189590"/>
            <a:gd name="connsiteY36" fmla="*/ 206250 h 307500"/>
            <a:gd name="connsiteX37" fmla="*/ 121361 w 189590"/>
            <a:gd name="connsiteY37" fmla="*/ 266250 h 307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</a:cxnLst>
          <a:rect l="l" t="t" r="r" b="b"/>
          <a:pathLst>
            <a:path w="189590" h="307500">
              <a:moveTo>
                <a:pt x="126443" y="139005"/>
              </a:moveTo>
              <a:cubicBezTo>
                <a:pt x="153819" y="123847"/>
                <a:pt x="163585" y="89615"/>
                <a:pt x="148255" y="62545"/>
              </a:cubicBezTo>
              <a:cubicBezTo>
                <a:pt x="139512" y="47109"/>
                <a:pt x="123926" y="36646"/>
                <a:pt x="106191" y="34309"/>
              </a:cubicBezTo>
              <a:lnTo>
                <a:pt x="106191" y="0"/>
              </a:lnTo>
              <a:lnTo>
                <a:pt x="98606" y="0"/>
              </a:lnTo>
              <a:lnTo>
                <a:pt x="98606" y="33750"/>
              </a:lnTo>
              <a:lnTo>
                <a:pt x="60680" y="33750"/>
              </a:lnTo>
              <a:lnTo>
                <a:pt x="60680" y="0"/>
              </a:lnTo>
              <a:lnTo>
                <a:pt x="53095" y="0"/>
              </a:lnTo>
              <a:lnTo>
                <a:pt x="53095" y="33750"/>
              </a:lnTo>
              <a:lnTo>
                <a:pt x="0" y="33750"/>
              </a:lnTo>
              <a:lnTo>
                <a:pt x="0" y="41250"/>
              </a:lnTo>
              <a:lnTo>
                <a:pt x="22755" y="41250"/>
              </a:lnTo>
              <a:lnTo>
                <a:pt x="22755" y="266250"/>
              </a:lnTo>
              <a:lnTo>
                <a:pt x="0" y="266250"/>
              </a:lnTo>
              <a:lnTo>
                <a:pt x="0" y="273750"/>
              </a:lnTo>
              <a:lnTo>
                <a:pt x="53095" y="273750"/>
              </a:lnTo>
              <a:lnTo>
                <a:pt x="53095" y="307500"/>
              </a:lnTo>
              <a:lnTo>
                <a:pt x="60680" y="307500"/>
              </a:lnTo>
              <a:lnTo>
                <a:pt x="60680" y="273750"/>
              </a:lnTo>
              <a:lnTo>
                <a:pt x="98606" y="273750"/>
              </a:lnTo>
              <a:lnTo>
                <a:pt x="98606" y="307500"/>
              </a:lnTo>
              <a:lnTo>
                <a:pt x="106191" y="307500"/>
              </a:lnTo>
              <a:lnTo>
                <a:pt x="106191" y="273750"/>
              </a:lnTo>
              <a:lnTo>
                <a:pt x="121361" y="273750"/>
              </a:lnTo>
              <a:cubicBezTo>
                <a:pt x="159044" y="273749"/>
                <a:pt x="189591" y="243543"/>
                <a:pt x="189590" y="206282"/>
              </a:cubicBezTo>
              <a:cubicBezTo>
                <a:pt x="189590" y="170972"/>
                <a:pt x="162054" y="141636"/>
                <a:pt x="126443" y="139005"/>
              </a:cubicBezTo>
              <a:close/>
              <a:moveTo>
                <a:pt x="98606" y="41250"/>
              </a:moveTo>
              <a:cubicBezTo>
                <a:pt x="125835" y="41250"/>
                <a:pt x="147908" y="63076"/>
                <a:pt x="147908" y="90000"/>
              </a:cubicBezTo>
              <a:cubicBezTo>
                <a:pt x="147908" y="116924"/>
                <a:pt x="125835" y="138750"/>
                <a:pt x="98606" y="138750"/>
              </a:cubicBezTo>
              <a:lnTo>
                <a:pt x="30340" y="138750"/>
              </a:lnTo>
              <a:lnTo>
                <a:pt x="30340" y="41250"/>
              </a:lnTo>
              <a:close/>
              <a:moveTo>
                <a:pt x="121361" y="266250"/>
              </a:moveTo>
              <a:lnTo>
                <a:pt x="30340" y="266250"/>
              </a:lnTo>
              <a:lnTo>
                <a:pt x="30340" y="146250"/>
              </a:lnTo>
              <a:lnTo>
                <a:pt x="121361" y="146250"/>
              </a:lnTo>
              <a:cubicBezTo>
                <a:pt x="154874" y="146250"/>
                <a:pt x="182041" y="173113"/>
                <a:pt x="182041" y="206250"/>
              </a:cubicBezTo>
              <a:cubicBezTo>
                <a:pt x="182041" y="239387"/>
                <a:pt x="154874" y="266250"/>
                <a:pt x="121361" y="266250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2</xdr:col>
      <xdr:colOff>138058</xdr:colOff>
      <xdr:row>5</xdr:row>
      <xdr:rowOff>145380</xdr:rowOff>
    </xdr:from>
    <xdr:to>
      <xdr:col>2</xdr:col>
      <xdr:colOff>430745</xdr:colOff>
      <xdr:row>5</xdr:row>
      <xdr:rowOff>439331</xdr:rowOff>
    </xdr:to>
    <xdr:grpSp>
      <xdr:nvGrpSpPr>
        <xdr:cNvPr id="394" name="artist" descr="Artist female outline">
          <a:extLst>
            <a:ext uri="{FF2B5EF4-FFF2-40B4-BE49-F238E27FC236}">
              <a16:creationId xmlns:a16="http://schemas.microsoft.com/office/drawing/2014/main" id="{40F408FD-D568-4BE7-8AA4-FE0D3C501001}"/>
            </a:ext>
          </a:extLst>
        </xdr:cNvPr>
        <xdr:cNvGrpSpPr>
          <a:grpSpLocks noChangeAspect="1"/>
        </xdr:cNvGrpSpPr>
      </xdr:nvGrpSpPr>
      <xdr:grpSpPr>
        <a:xfrm>
          <a:off x="1566808" y="1155030"/>
          <a:ext cx="292687" cy="293951"/>
          <a:chOff x="11141633" y="9668066"/>
          <a:chExt cx="292687" cy="293951"/>
        </a:xfrm>
        <a:solidFill>
          <a:srgbClr val="1F4E78"/>
        </a:solidFill>
      </xdr:grpSpPr>
      <xdr:sp macro="" textlink="">
        <xdr:nvSpPr>
          <xdr:cNvPr id="395" name="Freeform: Shape 394">
            <a:extLst>
              <a:ext uri="{FF2B5EF4-FFF2-40B4-BE49-F238E27FC236}">
                <a16:creationId xmlns:a16="http://schemas.microsoft.com/office/drawing/2014/main" id="{0659BB55-1B0E-42B2-B2EA-6FB33F02CF54}"/>
              </a:ext>
            </a:extLst>
          </xdr:cNvPr>
          <xdr:cNvSpPr/>
        </xdr:nvSpPr>
        <xdr:spPr>
          <a:xfrm>
            <a:off x="11198282" y="9668066"/>
            <a:ext cx="190628" cy="196452"/>
          </a:xfrm>
          <a:custGeom>
            <a:avLst/>
            <a:gdLst>
              <a:gd name="connsiteX0" fmla="*/ 130527 w 190628"/>
              <a:gd name="connsiteY0" fmla="*/ 159442 h 196452"/>
              <a:gd name="connsiteX1" fmla="*/ 177670 w 190628"/>
              <a:gd name="connsiteY1" fmla="*/ 184310 h 196452"/>
              <a:gd name="connsiteX2" fmla="*/ 179619 w 190628"/>
              <a:gd name="connsiteY2" fmla="*/ 186116 h 196452"/>
              <a:gd name="connsiteX3" fmla="*/ 190629 w 190628"/>
              <a:gd name="connsiteY3" fmla="*/ 188176 h 196452"/>
              <a:gd name="connsiteX4" fmla="*/ 182563 w 190628"/>
              <a:gd name="connsiteY4" fmla="*/ 178593 h 196452"/>
              <a:gd name="connsiteX5" fmla="*/ 143419 w 190628"/>
              <a:gd name="connsiteY5" fmla="*/ 156403 h 196452"/>
              <a:gd name="connsiteX6" fmla="*/ 162271 w 190628"/>
              <a:gd name="connsiteY6" fmla="*/ 147972 h 196452"/>
              <a:gd name="connsiteX7" fmla="*/ 163039 w 190628"/>
              <a:gd name="connsiteY7" fmla="*/ 142728 h 196452"/>
              <a:gd name="connsiteX8" fmla="*/ 162994 w 190628"/>
              <a:gd name="connsiteY8" fmla="*/ 142670 h 196452"/>
              <a:gd name="connsiteX9" fmla="*/ 155397 w 190628"/>
              <a:gd name="connsiteY9" fmla="*/ 124965 h 196452"/>
              <a:gd name="connsiteX10" fmla="*/ 155976 w 190628"/>
              <a:gd name="connsiteY10" fmla="*/ 114819 h 196452"/>
              <a:gd name="connsiteX11" fmla="*/ 151586 w 190628"/>
              <a:gd name="connsiteY11" fmla="*/ 75223 h 196452"/>
              <a:gd name="connsiteX12" fmla="*/ 161233 w 190628"/>
              <a:gd name="connsiteY12" fmla="*/ 77915 h 196452"/>
              <a:gd name="connsiteX13" fmla="*/ 171142 w 190628"/>
              <a:gd name="connsiteY13" fmla="*/ 70549 h 196452"/>
              <a:gd name="connsiteX14" fmla="*/ 105464 w 190628"/>
              <a:gd name="connsiteY14" fmla="*/ 13035 h 196452"/>
              <a:gd name="connsiteX15" fmla="*/ 101685 w 190628"/>
              <a:gd name="connsiteY15" fmla="*/ 11048 h 196452"/>
              <a:gd name="connsiteX16" fmla="*/ 109242 w 190628"/>
              <a:gd name="connsiteY16" fmla="*/ 7298 h 196452"/>
              <a:gd name="connsiteX17" fmla="*/ 111590 w 190628"/>
              <a:gd name="connsiteY17" fmla="*/ 2534 h 196452"/>
              <a:gd name="connsiteX18" fmla="*/ 107013 w 190628"/>
              <a:gd name="connsiteY18" fmla="*/ 135 h 196452"/>
              <a:gd name="connsiteX19" fmla="*/ 93789 w 190628"/>
              <a:gd name="connsiteY19" fmla="*/ 7635 h 196452"/>
              <a:gd name="connsiteX20" fmla="*/ 71214 w 190628"/>
              <a:gd name="connsiteY20" fmla="*/ 4078 h 196452"/>
              <a:gd name="connsiteX21" fmla="*/ 36294 w 190628"/>
              <a:gd name="connsiteY21" fmla="*/ 7035 h 196452"/>
              <a:gd name="connsiteX22" fmla="*/ 34393 w 190628"/>
              <a:gd name="connsiteY22" fmla="*/ 6998 h 196452"/>
              <a:gd name="connsiteX23" fmla="*/ 25894 w 190628"/>
              <a:gd name="connsiteY23" fmla="*/ 6782 h 196452"/>
              <a:gd name="connsiteX24" fmla="*/ 7606 w 190628"/>
              <a:gd name="connsiteY24" fmla="*/ 14235 h 196452"/>
              <a:gd name="connsiteX25" fmla="*/ 19244 w 190628"/>
              <a:gd name="connsiteY25" fmla="*/ 41160 h 196452"/>
              <a:gd name="connsiteX26" fmla="*/ 18601 w 190628"/>
              <a:gd name="connsiteY26" fmla="*/ 43748 h 196452"/>
              <a:gd name="connsiteX27" fmla="*/ 19612 w 190628"/>
              <a:gd name="connsiteY27" fmla="*/ 47201 h 196452"/>
              <a:gd name="connsiteX28" fmla="*/ 7329 w 190628"/>
              <a:gd name="connsiteY28" fmla="*/ 109685 h 196452"/>
              <a:gd name="connsiteX29" fmla="*/ 8392 w 190628"/>
              <a:gd name="connsiteY29" fmla="*/ 124963 h 196452"/>
              <a:gd name="connsiteX30" fmla="*/ 794 w 190628"/>
              <a:gd name="connsiteY30" fmla="*/ 142670 h 196452"/>
              <a:gd name="connsiteX31" fmla="*/ 1459 w 190628"/>
              <a:gd name="connsiteY31" fmla="*/ 147928 h 196452"/>
              <a:gd name="connsiteX32" fmla="*/ 1518 w 190628"/>
              <a:gd name="connsiteY32" fmla="*/ 147972 h 196452"/>
              <a:gd name="connsiteX33" fmla="*/ 20372 w 190628"/>
              <a:gd name="connsiteY33" fmla="*/ 156404 h 196452"/>
              <a:gd name="connsiteX34" fmla="*/ 3877 w 190628"/>
              <a:gd name="connsiteY34" fmla="*/ 163923 h 196452"/>
              <a:gd name="connsiteX35" fmla="*/ 6534 w 190628"/>
              <a:gd name="connsiteY35" fmla="*/ 170992 h 196452"/>
              <a:gd name="connsiteX36" fmla="*/ 36430 w 190628"/>
              <a:gd name="connsiteY36" fmla="*/ 158259 h 196452"/>
              <a:gd name="connsiteX37" fmla="*/ 36400 w 190628"/>
              <a:gd name="connsiteY37" fmla="*/ 158178 h 196452"/>
              <a:gd name="connsiteX38" fmla="*/ 36910 w 190628"/>
              <a:gd name="connsiteY38" fmla="*/ 157971 h 196452"/>
              <a:gd name="connsiteX39" fmla="*/ 79394 w 190628"/>
              <a:gd name="connsiteY39" fmla="*/ 195504 h 196452"/>
              <a:gd name="connsiteX40" fmla="*/ 84419 w 190628"/>
              <a:gd name="connsiteY40" fmla="*/ 195503 h 196452"/>
              <a:gd name="connsiteX41" fmla="*/ 126851 w 190628"/>
              <a:gd name="connsiteY41" fmla="*/ 157970 h 196452"/>
              <a:gd name="connsiteX42" fmla="*/ 46048 w 190628"/>
              <a:gd name="connsiteY42" fmla="*/ 154248 h 196452"/>
              <a:gd name="connsiteX43" fmla="*/ 55424 w 190628"/>
              <a:gd name="connsiteY43" fmla="*/ 140373 h 196452"/>
              <a:gd name="connsiteX44" fmla="*/ 55424 w 190628"/>
              <a:gd name="connsiteY44" fmla="*/ 133721 h 196452"/>
              <a:gd name="connsiteX45" fmla="*/ 108343 w 190628"/>
              <a:gd name="connsiteY45" fmla="*/ 133667 h 196452"/>
              <a:gd name="connsiteX46" fmla="*/ 108343 w 190628"/>
              <a:gd name="connsiteY46" fmla="*/ 140372 h 196452"/>
              <a:gd name="connsiteX47" fmla="*/ 117713 w 190628"/>
              <a:gd name="connsiteY47" fmla="*/ 154247 h 196452"/>
              <a:gd name="connsiteX48" fmla="*/ 119073 w 190628"/>
              <a:gd name="connsiteY48" fmla="*/ 154802 h 196452"/>
              <a:gd name="connsiteX49" fmla="*/ 81902 w 190628"/>
              <a:gd name="connsiteY49" fmla="*/ 187680 h 196452"/>
              <a:gd name="connsiteX50" fmla="*/ 44686 w 190628"/>
              <a:gd name="connsiteY50" fmla="*/ 154801 h 196452"/>
              <a:gd name="connsiteX51" fmla="*/ 124506 w 190628"/>
              <a:gd name="connsiteY51" fmla="*/ 68123 h 196452"/>
              <a:gd name="connsiteX52" fmla="*/ 131020 w 190628"/>
              <a:gd name="connsiteY52" fmla="*/ 71723 h 196452"/>
              <a:gd name="connsiteX53" fmla="*/ 131020 w 190628"/>
              <a:gd name="connsiteY53" fmla="*/ 83952 h 196452"/>
              <a:gd name="connsiteX54" fmla="*/ 81887 w 190628"/>
              <a:gd name="connsiteY54" fmla="*/ 132700 h 196452"/>
              <a:gd name="connsiteX55" fmla="*/ 33333 w 190628"/>
              <a:gd name="connsiteY55" fmla="*/ 91302 h 196452"/>
              <a:gd name="connsiteX56" fmla="*/ 83831 w 190628"/>
              <a:gd name="connsiteY56" fmla="*/ 52444 h 196452"/>
              <a:gd name="connsiteX57" fmla="*/ 124506 w 190628"/>
              <a:gd name="connsiteY57" fmla="*/ 68123 h 196452"/>
              <a:gd name="connsiteX58" fmla="*/ 120585 w 190628"/>
              <a:gd name="connsiteY58" fmla="*/ 147308 h 196452"/>
              <a:gd name="connsiteX59" fmla="*/ 115900 w 190628"/>
              <a:gd name="connsiteY59" fmla="*/ 140370 h 196452"/>
              <a:gd name="connsiteX60" fmla="*/ 115900 w 190628"/>
              <a:gd name="connsiteY60" fmla="*/ 128850 h 196452"/>
              <a:gd name="connsiteX61" fmla="*/ 138578 w 190628"/>
              <a:gd name="connsiteY61" fmla="*/ 83952 h 196452"/>
              <a:gd name="connsiteX62" fmla="*/ 138578 w 190628"/>
              <a:gd name="connsiteY62" fmla="*/ 75899 h 196452"/>
              <a:gd name="connsiteX63" fmla="*/ 145215 w 190628"/>
              <a:gd name="connsiteY63" fmla="*/ 79567 h 196452"/>
              <a:gd name="connsiteX64" fmla="*/ 148459 w 190628"/>
              <a:gd name="connsiteY64" fmla="*/ 114085 h 196452"/>
              <a:gd name="connsiteX65" fmla="*/ 147858 w 190628"/>
              <a:gd name="connsiteY65" fmla="*/ 125432 h 196452"/>
              <a:gd name="connsiteX66" fmla="*/ 154610 w 190628"/>
              <a:gd name="connsiteY66" fmla="*/ 143931 h 196452"/>
              <a:gd name="connsiteX67" fmla="*/ 120585 w 190628"/>
              <a:gd name="connsiteY67" fmla="*/ 147308 h 196452"/>
              <a:gd name="connsiteX68" fmla="*/ 98142 w 190628"/>
              <a:gd name="connsiteY68" fmla="*/ 17670 h 196452"/>
              <a:gd name="connsiteX69" fmla="*/ 99462 w 190628"/>
              <a:gd name="connsiteY69" fmla="*/ 18357 h 196452"/>
              <a:gd name="connsiteX70" fmla="*/ 101745 w 190628"/>
              <a:gd name="connsiteY70" fmla="*/ 19562 h 196452"/>
              <a:gd name="connsiteX71" fmla="*/ 163846 w 190628"/>
              <a:gd name="connsiteY71" fmla="*/ 68466 h 196452"/>
              <a:gd name="connsiteX72" fmla="*/ 161235 w 190628"/>
              <a:gd name="connsiteY72" fmla="*/ 70413 h 196452"/>
              <a:gd name="connsiteX73" fmla="*/ 154907 w 190628"/>
              <a:gd name="connsiteY73" fmla="*/ 68486 h 196452"/>
              <a:gd name="connsiteX74" fmla="*/ 145267 w 190628"/>
              <a:gd name="connsiteY74" fmla="*/ 71010 h 196452"/>
              <a:gd name="connsiteX75" fmla="*/ 128171 w 190628"/>
              <a:gd name="connsiteY75" fmla="*/ 61562 h 196452"/>
              <a:gd name="connsiteX76" fmla="*/ 45566 w 190628"/>
              <a:gd name="connsiteY76" fmla="*/ 40355 h 196452"/>
              <a:gd name="connsiteX77" fmla="*/ 41208 w 190628"/>
              <a:gd name="connsiteY77" fmla="*/ 40411 h 196452"/>
              <a:gd name="connsiteX78" fmla="*/ 26789 w 190628"/>
              <a:gd name="connsiteY78" fmla="*/ 40743 h 196452"/>
              <a:gd name="connsiteX79" fmla="*/ 21737 w 190628"/>
              <a:gd name="connsiteY79" fmla="*/ 34079 h 196452"/>
              <a:gd name="connsiteX80" fmla="*/ 14282 w 190628"/>
              <a:gd name="connsiteY80" fmla="*/ 25954 h 196452"/>
              <a:gd name="connsiteX81" fmla="*/ 14249 w 190628"/>
              <a:gd name="connsiteY81" fmla="*/ 17809 h 196452"/>
              <a:gd name="connsiteX82" fmla="*/ 25894 w 190628"/>
              <a:gd name="connsiteY82" fmla="*/ 14281 h 196452"/>
              <a:gd name="connsiteX83" fmla="*/ 34090 w 190628"/>
              <a:gd name="connsiteY83" fmla="*/ 14490 h 196452"/>
              <a:gd name="connsiteX84" fmla="*/ 36294 w 190628"/>
              <a:gd name="connsiteY84" fmla="*/ 14534 h 196452"/>
              <a:gd name="connsiteX85" fmla="*/ 52476 w 190628"/>
              <a:gd name="connsiteY85" fmla="*/ 13136 h 196452"/>
              <a:gd name="connsiteX86" fmla="*/ 71214 w 190628"/>
              <a:gd name="connsiteY86" fmla="*/ 11577 h 196452"/>
              <a:gd name="connsiteX87" fmla="*/ 91348 w 190628"/>
              <a:gd name="connsiteY87" fmla="*/ 14732 h 196452"/>
              <a:gd name="connsiteX88" fmla="*/ 14837 w 190628"/>
              <a:gd name="connsiteY88" fmla="*/ 108854 h 196452"/>
              <a:gd name="connsiteX89" fmla="*/ 30487 w 190628"/>
              <a:gd name="connsiteY89" fmla="*/ 48162 h 196452"/>
              <a:gd name="connsiteX90" fmla="*/ 41384 w 190628"/>
              <a:gd name="connsiteY90" fmla="*/ 47910 h 196452"/>
              <a:gd name="connsiteX91" fmla="*/ 45566 w 190628"/>
              <a:gd name="connsiteY91" fmla="*/ 47858 h 196452"/>
              <a:gd name="connsiteX92" fmla="*/ 75522 w 190628"/>
              <a:gd name="connsiteY92" fmla="*/ 50639 h 196452"/>
              <a:gd name="connsiteX93" fmla="*/ 27691 w 190628"/>
              <a:gd name="connsiteY93" fmla="*/ 85673 h 196452"/>
              <a:gd name="connsiteX94" fmla="*/ 25492 w 190628"/>
              <a:gd name="connsiteY94" fmla="*/ 89450 h 196452"/>
              <a:gd name="connsiteX95" fmla="*/ 47867 w 190628"/>
              <a:gd name="connsiteY95" fmla="*/ 129023 h 196452"/>
              <a:gd name="connsiteX96" fmla="*/ 47867 w 190628"/>
              <a:gd name="connsiteY96" fmla="*/ 140373 h 196452"/>
              <a:gd name="connsiteX97" fmla="*/ 43177 w 190628"/>
              <a:gd name="connsiteY97" fmla="*/ 147310 h 196452"/>
              <a:gd name="connsiteX98" fmla="*/ 41606 w 190628"/>
              <a:gd name="connsiteY98" fmla="*/ 147951 h 196452"/>
              <a:gd name="connsiteX99" fmla="*/ 9179 w 190628"/>
              <a:gd name="connsiteY99" fmla="*/ 143932 h 196452"/>
              <a:gd name="connsiteX100" fmla="*/ 15933 w 190628"/>
              <a:gd name="connsiteY100" fmla="*/ 125430 h 196452"/>
              <a:gd name="connsiteX101" fmla="*/ 14837 w 190628"/>
              <a:gd name="connsiteY101" fmla="*/ 108854 h 19645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</a:cxnLst>
            <a:rect l="l" t="t" r="r" b="b"/>
            <a:pathLst>
              <a:path w="190628" h="196452">
                <a:moveTo>
                  <a:pt x="130527" y="159442"/>
                </a:moveTo>
                <a:cubicBezTo>
                  <a:pt x="151808" y="167294"/>
                  <a:pt x="166897" y="175232"/>
                  <a:pt x="177670" y="184310"/>
                </a:cubicBezTo>
                <a:cubicBezTo>
                  <a:pt x="178357" y="184889"/>
                  <a:pt x="178997" y="185498"/>
                  <a:pt x="179619" y="186116"/>
                </a:cubicBezTo>
                <a:cubicBezTo>
                  <a:pt x="183326" y="186591"/>
                  <a:pt x="187002" y="187280"/>
                  <a:pt x="190629" y="188176"/>
                </a:cubicBezTo>
                <a:cubicBezTo>
                  <a:pt x="188508" y="184551"/>
                  <a:pt x="185780" y="181310"/>
                  <a:pt x="182563" y="178593"/>
                </a:cubicBezTo>
                <a:cubicBezTo>
                  <a:pt x="170750" y="169231"/>
                  <a:pt x="157545" y="161745"/>
                  <a:pt x="143419" y="156403"/>
                </a:cubicBezTo>
                <a:cubicBezTo>
                  <a:pt x="150178" y="154785"/>
                  <a:pt x="156572" y="151926"/>
                  <a:pt x="162271" y="147972"/>
                </a:cubicBezTo>
                <a:cubicBezTo>
                  <a:pt x="163942" y="146735"/>
                  <a:pt x="164286" y="144387"/>
                  <a:pt x="163039" y="142728"/>
                </a:cubicBezTo>
                <a:cubicBezTo>
                  <a:pt x="163024" y="142709"/>
                  <a:pt x="163009" y="142689"/>
                  <a:pt x="162994" y="142670"/>
                </a:cubicBezTo>
                <a:cubicBezTo>
                  <a:pt x="158724" y="137662"/>
                  <a:pt x="156076" y="131492"/>
                  <a:pt x="155397" y="124965"/>
                </a:cubicBezTo>
                <a:cubicBezTo>
                  <a:pt x="155348" y="121574"/>
                  <a:pt x="155541" y="118184"/>
                  <a:pt x="155976" y="114819"/>
                </a:cubicBezTo>
                <a:cubicBezTo>
                  <a:pt x="157048" y="104002"/>
                  <a:pt x="158484" y="89417"/>
                  <a:pt x="151586" y="75223"/>
                </a:cubicBezTo>
                <a:cubicBezTo>
                  <a:pt x="154552" y="76841"/>
                  <a:pt x="157852" y="77762"/>
                  <a:pt x="161233" y="77915"/>
                </a:cubicBezTo>
                <a:cubicBezTo>
                  <a:pt x="165820" y="77924"/>
                  <a:pt x="169860" y="74921"/>
                  <a:pt x="171142" y="70549"/>
                </a:cubicBezTo>
                <a:cubicBezTo>
                  <a:pt x="175092" y="57909"/>
                  <a:pt x="135463" y="29873"/>
                  <a:pt x="105464" y="13035"/>
                </a:cubicBezTo>
                <a:cubicBezTo>
                  <a:pt x="104179" y="12323"/>
                  <a:pt x="102894" y="11685"/>
                  <a:pt x="101685" y="11048"/>
                </a:cubicBezTo>
                <a:cubicBezTo>
                  <a:pt x="104044" y="9502"/>
                  <a:pt x="106581" y="8243"/>
                  <a:pt x="109242" y="7298"/>
                </a:cubicBezTo>
                <a:cubicBezTo>
                  <a:pt x="111216" y="6626"/>
                  <a:pt x="112267" y="4493"/>
                  <a:pt x="111590" y="2534"/>
                </a:cubicBezTo>
                <a:cubicBezTo>
                  <a:pt x="110942" y="660"/>
                  <a:pt x="108937" y="-391"/>
                  <a:pt x="107013" y="135"/>
                </a:cubicBezTo>
                <a:cubicBezTo>
                  <a:pt x="102151" y="1749"/>
                  <a:pt x="97658" y="4298"/>
                  <a:pt x="93789" y="7635"/>
                </a:cubicBezTo>
                <a:cubicBezTo>
                  <a:pt x="86516" y="5208"/>
                  <a:pt x="78886" y="4006"/>
                  <a:pt x="71214" y="4078"/>
                </a:cubicBezTo>
                <a:cubicBezTo>
                  <a:pt x="58103" y="4078"/>
                  <a:pt x="46421" y="7035"/>
                  <a:pt x="36294" y="7035"/>
                </a:cubicBezTo>
                <a:cubicBezTo>
                  <a:pt x="35653" y="7035"/>
                  <a:pt x="35021" y="7023"/>
                  <a:pt x="34393" y="6998"/>
                </a:cubicBezTo>
                <a:cubicBezTo>
                  <a:pt x="31211" y="6870"/>
                  <a:pt x="28394" y="6782"/>
                  <a:pt x="25894" y="6782"/>
                </a:cubicBezTo>
                <a:cubicBezTo>
                  <a:pt x="15866" y="6782"/>
                  <a:pt x="10901" y="8202"/>
                  <a:pt x="7606" y="14235"/>
                </a:cubicBezTo>
                <a:cubicBezTo>
                  <a:pt x="2392" y="23498"/>
                  <a:pt x="9307" y="37710"/>
                  <a:pt x="19244" y="41160"/>
                </a:cubicBezTo>
                <a:lnTo>
                  <a:pt x="18601" y="43748"/>
                </a:lnTo>
                <a:cubicBezTo>
                  <a:pt x="18312" y="44995"/>
                  <a:pt x="18695" y="46302"/>
                  <a:pt x="19612" y="47201"/>
                </a:cubicBezTo>
                <a:cubicBezTo>
                  <a:pt x="2247" y="63901"/>
                  <a:pt x="5234" y="91038"/>
                  <a:pt x="7329" y="109685"/>
                </a:cubicBezTo>
                <a:cubicBezTo>
                  <a:pt x="8064" y="114744"/>
                  <a:pt x="8419" y="119851"/>
                  <a:pt x="8392" y="124963"/>
                </a:cubicBezTo>
                <a:cubicBezTo>
                  <a:pt x="7714" y="131490"/>
                  <a:pt x="5065" y="137661"/>
                  <a:pt x="794" y="142670"/>
                </a:cubicBezTo>
                <a:cubicBezTo>
                  <a:pt x="-485" y="144304"/>
                  <a:pt x="-188" y="146658"/>
                  <a:pt x="1459" y="147928"/>
                </a:cubicBezTo>
                <a:cubicBezTo>
                  <a:pt x="1479" y="147943"/>
                  <a:pt x="1498" y="147957"/>
                  <a:pt x="1518" y="147972"/>
                </a:cubicBezTo>
                <a:cubicBezTo>
                  <a:pt x="7217" y="151926"/>
                  <a:pt x="13612" y="154787"/>
                  <a:pt x="20372" y="156404"/>
                </a:cubicBezTo>
                <a:cubicBezTo>
                  <a:pt x="14378" y="158869"/>
                  <a:pt x="8857" y="161363"/>
                  <a:pt x="3877" y="163923"/>
                </a:cubicBezTo>
                <a:lnTo>
                  <a:pt x="6534" y="170992"/>
                </a:lnTo>
                <a:cubicBezTo>
                  <a:pt x="16196" y="166079"/>
                  <a:pt x="26185" y="161825"/>
                  <a:pt x="36430" y="158259"/>
                </a:cubicBezTo>
                <a:lnTo>
                  <a:pt x="36400" y="158178"/>
                </a:lnTo>
                <a:lnTo>
                  <a:pt x="36910" y="157971"/>
                </a:lnTo>
                <a:lnTo>
                  <a:pt x="79394" y="195504"/>
                </a:lnTo>
                <a:cubicBezTo>
                  <a:pt x="80827" y="196770"/>
                  <a:pt x="82987" y="196769"/>
                  <a:pt x="84419" y="195503"/>
                </a:cubicBezTo>
                <a:lnTo>
                  <a:pt x="126851" y="157970"/>
                </a:lnTo>
                <a:close/>
                <a:moveTo>
                  <a:pt x="46048" y="154248"/>
                </a:moveTo>
                <a:cubicBezTo>
                  <a:pt x="51686" y="151897"/>
                  <a:pt x="55372" y="146441"/>
                  <a:pt x="55424" y="140373"/>
                </a:cubicBezTo>
                <a:lnTo>
                  <a:pt x="55424" y="133721"/>
                </a:lnTo>
                <a:cubicBezTo>
                  <a:pt x="71989" y="142381"/>
                  <a:pt x="91795" y="142361"/>
                  <a:pt x="108343" y="133667"/>
                </a:cubicBezTo>
                <a:lnTo>
                  <a:pt x="108343" y="140372"/>
                </a:lnTo>
                <a:cubicBezTo>
                  <a:pt x="108328" y="146459"/>
                  <a:pt x="112034" y="151947"/>
                  <a:pt x="117713" y="154247"/>
                </a:cubicBezTo>
                <a:lnTo>
                  <a:pt x="119073" y="154802"/>
                </a:lnTo>
                <a:lnTo>
                  <a:pt x="81902" y="187680"/>
                </a:lnTo>
                <a:lnTo>
                  <a:pt x="44686" y="154801"/>
                </a:lnTo>
                <a:close/>
                <a:moveTo>
                  <a:pt x="124506" y="68123"/>
                </a:moveTo>
                <a:lnTo>
                  <a:pt x="131020" y="71723"/>
                </a:lnTo>
                <a:lnTo>
                  <a:pt x="131020" y="83952"/>
                </a:lnTo>
                <a:cubicBezTo>
                  <a:pt x="131016" y="110879"/>
                  <a:pt x="109018" y="132705"/>
                  <a:pt x="81887" y="132700"/>
                </a:cubicBezTo>
                <a:cubicBezTo>
                  <a:pt x="57622" y="132696"/>
                  <a:pt x="36995" y="115109"/>
                  <a:pt x="33333" y="91302"/>
                </a:cubicBezTo>
                <a:cubicBezTo>
                  <a:pt x="41350" y="87347"/>
                  <a:pt x="66386" y="73872"/>
                  <a:pt x="83831" y="52444"/>
                </a:cubicBezTo>
                <a:cubicBezTo>
                  <a:pt x="98037" y="55835"/>
                  <a:pt x="111719" y="61108"/>
                  <a:pt x="124506" y="68123"/>
                </a:cubicBezTo>
                <a:close/>
                <a:moveTo>
                  <a:pt x="120585" y="147308"/>
                </a:moveTo>
                <a:cubicBezTo>
                  <a:pt x="117745" y="146159"/>
                  <a:pt x="115891" y="143415"/>
                  <a:pt x="115900" y="140370"/>
                </a:cubicBezTo>
                <a:lnTo>
                  <a:pt x="115900" y="128850"/>
                </a:lnTo>
                <a:cubicBezTo>
                  <a:pt x="130160" y="118262"/>
                  <a:pt x="138562" y="101627"/>
                  <a:pt x="138578" y="83952"/>
                </a:cubicBezTo>
                <a:lnTo>
                  <a:pt x="138578" y="75899"/>
                </a:lnTo>
                <a:lnTo>
                  <a:pt x="145215" y="79567"/>
                </a:lnTo>
                <a:cubicBezTo>
                  <a:pt x="150610" y="91530"/>
                  <a:pt x="149463" y="103940"/>
                  <a:pt x="148459" y="114085"/>
                </a:cubicBezTo>
                <a:cubicBezTo>
                  <a:pt x="147970" y="117847"/>
                  <a:pt x="147769" y="121640"/>
                  <a:pt x="147858" y="125432"/>
                </a:cubicBezTo>
                <a:cubicBezTo>
                  <a:pt x="148419" y="132083"/>
                  <a:pt x="150749" y="138467"/>
                  <a:pt x="154610" y="143931"/>
                </a:cubicBezTo>
                <a:cubicBezTo>
                  <a:pt x="148488" y="147403"/>
                  <a:pt x="134212" y="153601"/>
                  <a:pt x="120585" y="147308"/>
                </a:cubicBezTo>
                <a:close/>
                <a:moveTo>
                  <a:pt x="98142" y="17670"/>
                </a:moveTo>
                <a:lnTo>
                  <a:pt x="99462" y="18357"/>
                </a:lnTo>
                <a:cubicBezTo>
                  <a:pt x="100221" y="18749"/>
                  <a:pt x="101001" y="19150"/>
                  <a:pt x="101745" y="19562"/>
                </a:cubicBezTo>
                <a:cubicBezTo>
                  <a:pt x="139528" y="40767"/>
                  <a:pt x="163132" y="62127"/>
                  <a:pt x="163846" y="68466"/>
                </a:cubicBezTo>
                <a:cubicBezTo>
                  <a:pt x="162979" y="70413"/>
                  <a:pt x="162019" y="70413"/>
                  <a:pt x="161235" y="70413"/>
                </a:cubicBezTo>
                <a:cubicBezTo>
                  <a:pt x="159007" y="70250"/>
                  <a:pt x="156844" y="69591"/>
                  <a:pt x="154907" y="68486"/>
                </a:cubicBezTo>
                <a:cubicBezTo>
                  <a:pt x="151511" y="66805"/>
                  <a:pt x="147386" y="67885"/>
                  <a:pt x="145267" y="71010"/>
                </a:cubicBezTo>
                <a:lnTo>
                  <a:pt x="128171" y="61562"/>
                </a:lnTo>
                <a:cubicBezTo>
                  <a:pt x="102888" y="47670"/>
                  <a:pt x="74466" y="40374"/>
                  <a:pt x="45566" y="40355"/>
                </a:cubicBezTo>
                <a:cubicBezTo>
                  <a:pt x="44109" y="40355"/>
                  <a:pt x="42649" y="40374"/>
                  <a:pt x="41208" y="40411"/>
                </a:cubicBezTo>
                <a:lnTo>
                  <a:pt x="26789" y="40743"/>
                </a:lnTo>
                <a:cubicBezTo>
                  <a:pt x="26619" y="37712"/>
                  <a:pt x="24624" y="35082"/>
                  <a:pt x="21737" y="34079"/>
                </a:cubicBezTo>
                <a:cubicBezTo>
                  <a:pt x="18235" y="32501"/>
                  <a:pt x="15539" y="29562"/>
                  <a:pt x="14282" y="25954"/>
                </a:cubicBezTo>
                <a:cubicBezTo>
                  <a:pt x="13097" y="23369"/>
                  <a:pt x="13085" y="20404"/>
                  <a:pt x="14249" y="17809"/>
                </a:cubicBezTo>
                <a:cubicBezTo>
                  <a:pt x="15368" y="15761"/>
                  <a:pt x="16176" y="14281"/>
                  <a:pt x="25894" y="14281"/>
                </a:cubicBezTo>
                <a:cubicBezTo>
                  <a:pt x="28497" y="14281"/>
                  <a:pt x="31498" y="14387"/>
                  <a:pt x="34090" y="14490"/>
                </a:cubicBezTo>
                <a:cubicBezTo>
                  <a:pt x="34818" y="14519"/>
                  <a:pt x="35551" y="14534"/>
                  <a:pt x="36294" y="14534"/>
                </a:cubicBezTo>
                <a:cubicBezTo>
                  <a:pt x="41712" y="14407"/>
                  <a:pt x="47117" y="13940"/>
                  <a:pt x="52476" y="13136"/>
                </a:cubicBezTo>
                <a:cubicBezTo>
                  <a:pt x="58681" y="12216"/>
                  <a:pt x="64941" y="11695"/>
                  <a:pt x="71214" y="11577"/>
                </a:cubicBezTo>
                <a:cubicBezTo>
                  <a:pt x="78056" y="11507"/>
                  <a:pt x="84861" y="12573"/>
                  <a:pt x="91348" y="14732"/>
                </a:cubicBezTo>
                <a:close/>
                <a:moveTo>
                  <a:pt x="14837" y="108854"/>
                </a:moveTo>
                <a:cubicBezTo>
                  <a:pt x="12584" y="88776"/>
                  <a:pt x="9510" y="61301"/>
                  <a:pt x="30487" y="48162"/>
                </a:cubicBezTo>
                <a:lnTo>
                  <a:pt x="41384" y="47910"/>
                </a:lnTo>
                <a:cubicBezTo>
                  <a:pt x="42778" y="47875"/>
                  <a:pt x="44172" y="47857"/>
                  <a:pt x="45566" y="47858"/>
                </a:cubicBezTo>
                <a:cubicBezTo>
                  <a:pt x="55617" y="47865"/>
                  <a:pt x="65645" y="48796"/>
                  <a:pt x="75522" y="50639"/>
                </a:cubicBezTo>
                <a:cubicBezTo>
                  <a:pt x="61905" y="65159"/>
                  <a:pt x="45686" y="77039"/>
                  <a:pt x="27691" y="85673"/>
                </a:cubicBezTo>
                <a:cubicBezTo>
                  <a:pt x="26219" y="86334"/>
                  <a:pt x="25334" y="87854"/>
                  <a:pt x="25492" y="89450"/>
                </a:cubicBezTo>
                <a:cubicBezTo>
                  <a:pt x="26986" y="105185"/>
                  <a:pt x="35114" y="119559"/>
                  <a:pt x="47867" y="129023"/>
                </a:cubicBezTo>
                <a:lnTo>
                  <a:pt x="47867" y="140373"/>
                </a:lnTo>
                <a:cubicBezTo>
                  <a:pt x="47873" y="143417"/>
                  <a:pt x="46018" y="146161"/>
                  <a:pt x="43177" y="147310"/>
                </a:cubicBezTo>
                <a:lnTo>
                  <a:pt x="41606" y="147951"/>
                </a:lnTo>
                <a:cubicBezTo>
                  <a:pt x="28435" y="153207"/>
                  <a:pt x="15093" y="147284"/>
                  <a:pt x="9179" y="143932"/>
                </a:cubicBezTo>
                <a:cubicBezTo>
                  <a:pt x="13041" y="138467"/>
                  <a:pt x="15372" y="132082"/>
                  <a:pt x="15933" y="125430"/>
                </a:cubicBezTo>
                <a:cubicBezTo>
                  <a:pt x="16003" y="119885"/>
                  <a:pt x="15636" y="114343"/>
                  <a:pt x="14837" y="10885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96" name="Freeform: Shape 395">
            <a:extLst>
              <a:ext uri="{FF2B5EF4-FFF2-40B4-BE49-F238E27FC236}">
                <a16:creationId xmlns:a16="http://schemas.microsoft.com/office/drawing/2014/main" id="{CE2E2F3E-9866-4CFE-84E9-C7B65A3870B8}"/>
              </a:ext>
            </a:extLst>
          </xdr:cNvPr>
          <xdr:cNvSpPr/>
        </xdr:nvSpPr>
        <xdr:spPr>
          <a:xfrm>
            <a:off x="11166837" y="9859322"/>
            <a:ext cx="144525" cy="95187"/>
          </a:xfrm>
          <a:custGeom>
            <a:avLst/>
            <a:gdLst>
              <a:gd name="connsiteX0" fmla="*/ 7557 w 144525"/>
              <a:gd name="connsiteY0" fmla="*/ 72483 h 95187"/>
              <a:gd name="connsiteX1" fmla="*/ 7557 w 144525"/>
              <a:gd name="connsiteY1" fmla="*/ 12774 h 95187"/>
              <a:gd name="connsiteX2" fmla="*/ 7730 w 144525"/>
              <a:gd name="connsiteY2" fmla="*/ 10566 h 95187"/>
              <a:gd name="connsiteX3" fmla="*/ 2999 w 144525"/>
              <a:gd name="connsiteY3" fmla="*/ 0 h 95187"/>
              <a:gd name="connsiteX4" fmla="*/ 0 w 144525"/>
              <a:gd name="connsiteY4" fmla="*/ 12695 h 95187"/>
              <a:gd name="connsiteX5" fmla="*/ 0 w 144525"/>
              <a:gd name="connsiteY5" fmla="*/ 76574 h 95187"/>
              <a:gd name="connsiteX6" fmla="*/ 1682 w 144525"/>
              <a:gd name="connsiteY6" fmla="*/ 77687 h 95187"/>
              <a:gd name="connsiteX7" fmla="*/ 114568 w 144525"/>
              <a:gd name="connsiteY7" fmla="*/ 95188 h 95187"/>
              <a:gd name="connsiteX8" fmla="*/ 144525 w 144525"/>
              <a:gd name="connsiteY8" fmla="*/ 94377 h 95187"/>
              <a:gd name="connsiteX9" fmla="*/ 136301 w 144525"/>
              <a:gd name="connsiteY9" fmla="*/ 87441 h 95187"/>
              <a:gd name="connsiteX10" fmla="*/ 7557 w 144525"/>
              <a:gd name="connsiteY10" fmla="*/ 72483 h 951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144525" h="95187">
                <a:moveTo>
                  <a:pt x="7557" y="72483"/>
                </a:moveTo>
                <a:lnTo>
                  <a:pt x="7557" y="12774"/>
                </a:lnTo>
                <a:cubicBezTo>
                  <a:pt x="7572" y="12032"/>
                  <a:pt x="7647" y="11299"/>
                  <a:pt x="7730" y="10566"/>
                </a:cubicBezTo>
                <a:lnTo>
                  <a:pt x="2999" y="0"/>
                </a:lnTo>
                <a:cubicBezTo>
                  <a:pt x="1141" y="3986"/>
                  <a:pt x="121" y="8305"/>
                  <a:pt x="0" y="12695"/>
                </a:cubicBezTo>
                <a:lnTo>
                  <a:pt x="0" y="76574"/>
                </a:lnTo>
                <a:lnTo>
                  <a:pt x="1682" y="77687"/>
                </a:lnTo>
                <a:cubicBezTo>
                  <a:pt x="19324" y="89361"/>
                  <a:pt x="67147" y="95192"/>
                  <a:pt x="114568" y="95188"/>
                </a:cubicBezTo>
                <a:cubicBezTo>
                  <a:pt x="124678" y="95188"/>
                  <a:pt x="134749" y="94907"/>
                  <a:pt x="144525" y="94377"/>
                </a:cubicBezTo>
                <a:cubicBezTo>
                  <a:pt x="141599" y="92290"/>
                  <a:pt x="138848" y="89971"/>
                  <a:pt x="136301" y="87441"/>
                </a:cubicBezTo>
                <a:cubicBezTo>
                  <a:pt x="85617" y="89358"/>
                  <a:pt x="28256" y="84372"/>
                  <a:pt x="7557" y="7248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97" name="Freeform: Shape 396">
            <a:extLst>
              <a:ext uri="{FF2B5EF4-FFF2-40B4-BE49-F238E27FC236}">
                <a16:creationId xmlns:a16="http://schemas.microsoft.com/office/drawing/2014/main" id="{4C990FB6-ECC9-4D79-BED9-E29E68E66EFD}"/>
              </a:ext>
            </a:extLst>
          </xdr:cNvPr>
          <xdr:cNvSpPr/>
        </xdr:nvSpPr>
        <xdr:spPr>
          <a:xfrm>
            <a:off x="11141633" y="9752059"/>
            <a:ext cx="85641" cy="179940"/>
          </a:xfrm>
          <a:custGeom>
            <a:avLst/>
            <a:gdLst>
              <a:gd name="connsiteX0" fmla="*/ 66585 w 85641"/>
              <a:gd name="connsiteY0" fmla="*/ 174517 h 179940"/>
              <a:gd name="connsiteX1" fmla="*/ 75086 w 85641"/>
              <a:gd name="connsiteY1" fmla="*/ 179941 h 179940"/>
              <a:gd name="connsiteX2" fmla="*/ 79230 w 85641"/>
              <a:gd name="connsiteY2" fmla="*/ 179142 h 179940"/>
              <a:gd name="connsiteX3" fmla="*/ 85063 w 85641"/>
              <a:gd name="connsiteY3" fmla="*/ 166706 h 179940"/>
              <a:gd name="connsiteX4" fmla="*/ 50147 w 85641"/>
              <a:gd name="connsiteY4" fmla="*/ 73788 h 179940"/>
              <a:gd name="connsiteX5" fmla="*/ 35782 w 85641"/>
              <a:gd name="connsiteY5" fmla="*/ 44845 h 179940"/>
              <a:gd name="connsiteX6" fmla="*/ 37345 w 85641"/>
              <a:gd name="connsiteY6" fmla="*/ 28088 h 179940"/>
              <a:gd name="connsiteX7" fmla="*/ 22342 w 85641"/>
              <a:gd name="connsiteY7" fmla="*/ 16912 h 179940"/>
              <a:gd name="connsiteX8" fmla="*/ 12893 w 85641"/>
              <a:gd name="connsiteY8" fmla="*/ 0 h 179940"/>
              <a:gd name="connsiteX9" fmla="*/ 3313 w 85641"/>
              <a:gd name="connsiteY9" fmla="*/ 41916 h 179940"/>
              <a:gd name="connsiteX10" fmla="*/ 15476 w 85641"/>
              <a:gd name="connsiteY10" fmla="*/ 52545 h 179940"/>
              <a:gd name="connsiteX11" fmla="*/ 25857 w 85641"/>
              <a:gd name="connsiteY11" fmla="*/ 83650 h 179940"/>
              <a:gd name="connsiteX12" fmla="*/ 78027 w 85641"/>
              <a:gd name="connsiteY12" fmla="*/ 169434 h 179940"/>
              <a:gd name="connsiteX13" fmla="*/ 76462 w 85641"/>
              <a:gd name="connsiteY13" fmla="*/ 172164 h 179940"/>
              <a:gd name="connsiteX14" fmla="*/ 73470 w 85641"/>
              <a:gd name="connsiteY14" fmla="*/ 171426 h 179940"/>
              <a:gd name="connsiteX15" fmla="*/ 37821 w 85641"/>
              <a:gd name="connsiteY15" fmla="*/ 91933 h 179940"/>
              <a:gd name="connsiteX16" fmla="*/ 47434 w 85641"/>
              <a:gd name="connsiteY16" fmla="*/ 88026 h 179940"/>
              <a:gd name="connsiteX17" fmla="*/ 43136 w 85641"/>
              <a:gd name="connsiteY17" fmla="*/ 76588 h 179940"/>
              <a:gd name="connsiteX18" fmla="*/ 44793 w 85641"/>
              <a:gd name="connsiteY18" fmla="*/ 80996 h 179940"/>
              <a:gd name="connsiteX19" fmla="*/ 34748 w 85641"/>
              <a:gd name="connsiteY19" fmla="*/ 85080 h 179940"/>
              <a:gd name="connsiteX20" fmla="*/ 32897 w 85641"/>
              <a:gd name="connsiteY20" fmla="*/ 80951 h 179940"/>
              <a:gd name="connsiteX21" fmla="*/ 32248 w 85641"/>
              <a:gd name="connsiteY21" fmla="*/ 79005 h 179940"/>
              <a:gd name="connsiteX22" fmla="*/ 42305 w 85641"/>
              <a:gd name="connsiteY22" fmla="*/ 74917 h 179940"/>
              <a:gd name="connsiteX23" fmla="*/ 10305 w 85641"/>
              <a:gd name="connsiteY23" fmla="*/ 39074 h 179940"/>
              <a:gd name="connsiteX24" fmla="*/ 9394 w 85641"/>
              <a:gd name="connsiteY24" fmla="*/ 15098 h 179940"/>
              <a:gd name="connsiteX25" fmla="*/ 18648 w 85641"/>
              <a:gd name="connsiteY25" fmla="*/ 23457 h 179940"/>
              <a:gd name="connsiteX26" fmla="*/ 23551 w 85641"/>
              <a:gd name="connsiteY26" fmla="*/ 25908 h 179940"/>
              <a:gd name="connsiteX27" fmla="*/ 30352 w 85641"/>
              <a:gd name="connsiteY27" fmla="*/ 30931 h 179940"/>
              <a:gd name="connsiteX28" fmla="*/ 24436 w 85641"/>
              <a:gd name="connsiteY28" fmla="*/ 44949 h 179940"/>
              <a:gd name="connsiteX29" fmla="*/ 20400 w 85641"/>
              <a:gd name="connsiteY29" fmla="*/ 45739 h 179940"/>
              <a:gd name="connsiteX30" fmla="*/ 10305 w 85641"/>
              <a:gd name="connsiteY30" fmla="*/ 39074 h 179940"/>
              <a:gd name="connsiteX31" fmla="*/ 27300 w 85641"/>
              <a:gd name="connsiteY31" fmla="*/ 51890 h 179940"/>
              <a:gd name="connsiteX32" fmla="*/ 30119 w 85641"/>
              <a:gd name="connsiteY32" fmla="*/ 50397 h 179940"/>
              <a:gd name="connsiteX33" fmla="*/ 38954 w 85641"/>
              <a:gd name="connsiteY33" fmla="*/ 68174 h 179940"/>
              <a:gd name="connsiteX34" fmla="*/ 29870 w 85641"/>
              <a:gd name="connsiteY34" fmla="*/ 71868 h 179940"/>
              <a:gd name="connsiteX35" fmla="*/ 23564 w 85641"/>
              <a:gd name="connsiteY35" fmla="*/ 52937 h 179940"/>
              <a:gd name="connsiteX36" fmla="*/ 27300 w 85641"/>
              <a:gd name="connsiteY36" fmla="*/ 51890 h 17994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</a:cxnLst>
            <a:rect l="l" t="t" r="r" b="b"/>
            <a:pathLst>
              <a:path w="85641" h="179940">
                <a:moveTo>
                  <a:pt x="66585" y="174517"/>
                </a:moveTo>
                <a:cubicBezTo>
                  <a:pt x="68097" y="177828"/>
                  <a:pt x="71424" y="179950"/>
                  <a:pt x="75086" y="179941"/>
                </a:cubicBezTo>
                <a:cubicBezTo>
                  <a:pt x="76505" y="179927"/>
                  <a:pt x="77909" y="179656"/>
                  <a:pt x="79230" y="179142"/>
                </a:cubicBezTo>
                <a:cubicBezTo>
                  <a:pt x="84277" y="177282"/>
                  <a:pt x="86878" y="171738"/>
                  <a:pt x="85063" y="166706"/>
                </a:cubicBezTo>
                <a:lnTo>
                  <a:pt x="50147" y="73788"/>
                </a:lnTo>
                <a:lnTo>
                  <a:pt x="35782" y="44845"/>
                </a:lnTo>
                <a:cubicBezTo>
                  <a:pt x="39030" y="39848"/>
                  <a:pt x="39614" y="33591"/>
                  <a:pt x="37345" y="28088"/>
                </a:cubicBezTo>
                <a:cubicBezTo>
                  <a:pt x="34364" y="21179"/>
                  <a:pt x="27815" y="20103"/>
                  <a:pt x="22342" y="16912"/>
                </a:cubicBezTo>
                <a:cubicBezTo>
                  <a:pt x="16063" y="13663"/>
                  <a:pt x="12345" y="7007"/>
                  <a:pt x="12893" y="0"/>
                </a:cubicBezTo>
                <a:cubicBezTo>
                  <a:pt x="-2054" y="8781"/>
                  <a:pt x="-2155" y="28671"/>
                  <a:pt x="3313" y="41916"/>
                </a:cubicBezTo>
                <a:cubicBezTo>
                  <a:pt x="5489" y="47138"/>
                  <a:pt x="9982" y="51064"/>
                  <a:pt x="15476" y="52545"/>
                </a:cubicBezTo>
                <a:lnTo>
                  <a:pt x="25857" y="83650"/>
                </a:lnTo>
                <a:close/>
                <a:moveTo>
                  <a:pt x="78027" y="169434"/>
                </a:moveTo>
                <a:cubicBezTo>
                  <a:pt x="78310" y="170611"/>
                  <a:pt x="77626" y="171804"/>
                  <a:pt x="76462" y="172164"/>
                </a:cubicBezTo>
                <a:cubicBezTo>
                  <a:pt x="74951" y="172732"/>
                  <a:pt x="73957" y="172481"/>
                  <a:pt x="73470" y="171426"/>
                </a:cubicBezTo>
                <a:lnTo>
                  <a:pt x="37821" y="91933"/>
                </a:lnTo>
                <a:lnTo>
                  <a:pt x="47434" y="88026"/>
                </a:lnTo>
                <a:close/>
                <a:moveTo>
                  <a:pt x="43136" y="76588"/>
                </a:moveTo>
                <a:lnTo>
                  <a:pt x="44793" y="80996"/>
                </a:lnTo>
                <a:lnTo>
                  <a:pt x="34748" y="85080"/>
                </a:lnTo>
                <a:lnTo>
                  <a:pt x="32897" y="80951"/>
                </a:lnTo>
                <a:lnTo>
                  <a:pt x="32248" y="79005"/>
                </a:lnTo>
                <a:lnTo>
                  <a:pt x="42305" y="74917"/>
                </a:lnTo>
                <a:close/>
                <a:moveTo>
                  <a:pt x="10305" y="39074"/>
                </a:moveTo>
                <a:cubicBezTo>
                  <a:pt x="7111" y="31450"/>
                  <a:pt x="6788" y="22939"/>
                  <a:pt x="9394" y="15098"/>
                </a:cubicBezTo>
                <a:cubicBezTo>
                  <a:pt x="11728" y="18607"/>
                  <a:pt x="14909" y="21480"/>
                  <a:pt x="18648" y="23457"/>
                </a:cubicBezTo>
                <a:cubicBezTo>
                  <a:pt x="20338" y="24432"/>
                  <a:pt x="22042" y="25215"/>
                  <a:pt x="23551" y="25908"/>
                </a:cubicBezTo>
                <a:cubicBezTo>
                  <a:pt x="27745" y="27835"/>
                  <a:pt x="29423" y="28777"/>
                  <a:pt x="30352" y="30931"/>
                </a:cubicBezTo>
                <a:cubicBezTo>
                  <a:pt x="32574" y="36423"/>
                  <a:pt x="29938" y="42668"/>
                  <a:pt x="24436" y="44949"/>
                </a:cubicBezTo>
                <a:cubicBezTo>
                  <a:pt x="23156" y="45471"/>
                  <a:pt x="21784" y="45740"/>
                  <a:pt x="20400" y="45739"/>
                </a:cubicBezTo>
                <a:cubicBezTo>
                  <a:pt x="15993" y="45729"/>
                  <a:pt x="12018" y="43105"/>
                  <a:pt x="10305" y="39074"/>
                </a:cubicBezTo>
                <a:close/>
                <a:moveTo>
                  <a:pt x="27300" y="51890"/>
                </a:moveTo>
                <a:cubicBezTo>
                  <a:pt x="28282" y="51476"/>
                  <a:pt x="29225" y="50976"/>
                  <a:pt x="30119" y="50397"/>
                </a:cubicBezTo>
                <a:lnTo>
                  <a:pt x="38954" y="68174"/>
                </a:lnTo>
                <a:lnTo>
                  <a:pt x="29870" y="71868"/>
                </a:lnTo>
                <a:lnTo>
                  <a:pt x="23564" y="52937"/>
                </a:lnTo>
                <a:cubicBezTo>
                  <a:pt x="24843" y="52722"/>
                  <a:pt x="26096" y="52371"/>
                  <a:pt x="27300" y="5189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98" name="Freeform: Shape 397">
            <a:extLst>
              <a:ext uri="{FF2B5EF4-FFF2-40B4-BE49-F238E27FC236}">
                <a16:creationId xmlns:a16="http://schemas.microsoft.com/office/drawing/2014/main" id="{BF97E627-63E2-4C27-937B-DE256B85223D}"/>
              </a:ext>
            </a:extLst>
          </xdr:cNvPr>
          <xdr:cNvSpPr/>
        </xdr:nvSpPr>
        <xdr:spPr>
          <a:xfrm>
            <a:off x="11403494" y="9905232"/>
            <a:ext cx="15501" cy="10772"/>
          </a:xfrm>
          <a:custGeom>
            <a:avLst/>
            <a:gdLst>
              <a:gd name="connsiteX0" fmla="*/ 7733 w 15501"/>
              <a:gd name="connsiteY0" fmla="*/ 0 h 10772"/>
              <a:gd name="connsiteX1" fmla="*/ 0 w 15501"/>
              <a:gd name="connsiteY1" fmla="*/ 5386 h 10772"/>
              <a:gd name="connsiteX2" fmla="*/ 7733 w 15501"/>
              <a:gd name="connsiteY2" fmla="*/ 10772 h 10772"/>
              <a:gd name="connsiteX3" fmla="*/ 15501 w 15501"/>
              <a:gd name="connsiteY3" fmla="*/ 5386 h 10772"/>
              <a:gd name="connsiteX4" fmla="*/ 7733 w 15501"/>
              <a:gd name="connsiteY4" fmla="*/ 0 h 107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501" h="10772">
                <a:moveTo>
                  <a:pt x="7733" y="0"/>
                </a:moveTo>
                <a:cubicBezTo>
                  <a:pt x="3548" y="0"/>
                  <a:pt x="0" y="2464"/>
                  <a:pt x="0" y="5386"/>
                </a:cubicBezTo>
                <a:cubicBezTo>
                  <a:pt x="0" y="8308"/>
                  <a:pt x="3405" y="10772"/>
                  <a:pt x="7733" y="10772"/>
                </a:cubicBezTo>
                <a:cubicBezTo>
                  <a:pt x="12096" y="10772"/>
                  <a:pt x="15501" y="8308"/>
                  <a:pt x="15501" y="5386"/>
                </a:cubicBezTo>
                <a:cubicBezTo>
                  <a:pt x="15501" y="2464"/>
                  <a:pt x="11917" y="0"/>
                  <a:pt x="7733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99" name="Freeform: Shape 398">
            <a:extLst>
              <a:ext uri="{FF2B5EF4-FFF2-40B4-BE49-F238E27FC236}">
                <a16:creationId xmlns:a16="http://schemas.microsoft.com/office/drawing/2014/main" id="{9C2F5718-3389-44B0-B42B-83F364D7FED2}"/>
              </a:ext>
            </a:extLst>
          </xdr:cNvPr>
          <xdr:cNvSpPr/>
        </xdr:nvSpPr>
        <xdr:spPr>
          <a:xfrm>
            <a:off x="11395727" y="9922166"/>
            <a:ext cx="15500" cy="10772"/>
          </a:xfrm>
          <a:custGeom>
            <a:avLst/>
            <a:gdLst>
              <a:gd name="connsiteX0" fmla="*/ 7768 w 15500"/>
              <a:gd name="connsiteY0" fmla="*/ 0 h 10772"/>
              <a:gd name="connsiteX1" fmla="*/ 0 w 15500"/>
              <a:gd name="connsiteY1" fmla="*/ 5386 h 10772"/>
              <a:gd name="connsiteX2" fmla="*/ 7768 w 15500"/>
              <a:gd name="connsiteY2" fmla="*/ 10772 h 10772"/>
              <a:gd name="connsiteX3" fmla="*/ 15501 w 15500"/>
              <a:gd name="connsiteY3" fmla="*/ 5386 h 10772"/>
              <a:gd name="connsiteX4" fmla="*/ 7768 w 15500"/>
              <a:gd name="connsiteY4" fmla="*/ 0 h 107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500" h="10772">
                <a:moveTo>
                  <a:pt x="7768" y="0"/>
                </a:moveTo>
                <a:cubicBezTo>
                  <a:pt x="3548" y="0"/>
                  <a:pt x="0" y="2464"/>
                  <a:pt x="0" y="5386"/>
                </a:cubicBezTo>
                <a:cubicBezTo>
                  <a:pt x="0" y="8308"/>
                  <a:pt x="3405" y="10772"/>
                  <a:pt x="7768" y="10772"/>
                </a:cubicBezTo>
                <a:cubicBezTo>
                  <a:pt x="12096" y="10772"/>
                  <a:pt x="15501" y="8308"/>
                  <a:pt x="15501" y="5386"/>
                </a:cubicBezTo>
                <a:cubicBezTo>
                  <a:pt x="15501" y="2464"/>
                  <a:pt x="11989" y="0"/>
                  <a:pt x="7768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00" name="Freeform: Shape 399">
            <a:extLst>
              <a:ext uri="{FF2B5EF4-FFF2-40B4-BE49-F238E27FC236}">
                <a16:creationId xmlns:a16="http://schemas.microsoft.com/office/drawing/2014/main" id="{E6AD263D-0213-4F8B-8E0A-006D4188D220}"/>
              </a:ext>
            </a:extLst>
          </xdr:cNvPr>
          <xdr:cNvSpPr/>
        </xdr:nvSpPr>
        <xdr:spPr>
          <a:xfrm>
            <a:off x="11295061" y="9860768"/>
            <a:ext cx="139259" cy="101248"/>
          </a:xfrm>
          <a:custGeom>
            <a:avLst/>
            <a:gdLst>
              <a:gd name="connsiteX0" fmla="*/ 69629 w 139259"/>
              <a:gd name="connsiteY0" fmla="*/ 0 h 101248"/>
              <a:gd name="connsiteX1" fmla="*/ 34335 w 139259"/>
              <a:gd name="connsiteY1" fmla="*/ 13142 h 101248"/>
              <a:gd name="connsiteX2" fmla="*/ 37896 w 139259"/>
              <a:gd name="connsiteY2" fmla="*/ 29736 h 101248"/>
              <a:gd name="connsiteX3" fmla="*/ 41245 w 139259"/>
              <a:gd name="connsiteY3" fmla="*/ 33060 h 101248"/>
              <a:gd name="connsiteX4" fmla="*/ 28436 w 139259"/>
              <a:gd name="connsiteY4" fmla="*/ 27564 h 101248"/>
              <a:gd name="connsiteX5" fmla="*/ 19452 w 139259"/>
              <a:gd name="connsiteY5" fmla="*/ 25567 h 101248"/>
              <a:gd name="connsiteX6" fmla="*/ 3438 w 139259"/>
              <a:gd name="connsiteY6" fmla="*/ 35917 h 101248"/>
              <a:gd name="connsiteX7" fmla="*/ 0 w 139259"/>
              <a:gd name="connsiteY7" fmla="*/ 50624 h 101248"/>
              <a:gd name="connsiteX8" fmla="*/ 69630 w 139259"/>
              <a:gd name="connsiteY8" fmla="*/ 101249 h 101248"/>
              <a:gd name="connsiteX9" fmla="*/ 139259 w 139259"/>
              <a:gd name="connsiteY9" fmla="*/ 50624 h 101248"/>
              <a:gd name="connsiteX10" fmla="*/ 69629 w 139259"/>
              <a:gd name="connsiteY10" fmla="*/ 0 h 101248"/>
              <a:gd name="connsiteX11" fmla="*/ 69629 w 139259"/>
              <a:gd name="connsiteY11" fmla="*/ 93750 h 101248"/>
              <a:gd name="connsiteX12" fmla="*/ 7556 w 139259"/>
              <a:gd name="connsiteY12" fmla="*/ 50625 h 101248"/>
              <a:gd name="connsiteX13" fmla="*/ 19451 w 139259"/>
              <a:gd name="connsiteY13" fmla="*/ 33067 h 101248"/>
              <a:gd name="connsiteX14" fmla="*/ 25436 w 139259"/>
              <a:gd name="connsiteY14" fmla="*/ 34449 h 101248"/>
              <a:gd name="connsiteX15" fmla="*/ 44803 w 139259"/>
              <a:gd name="connsiteY15" fmla="*/ 42757 h 101248"/>
              <a:gd name="connsiteX16" fmla="*/ 46975 w 139259"/>
              <a:gd name="connsiteY16" fmla="*/ 43216 h 101248"/>
              <a:gd name="connsiteX17" fmla="*/ 52928 w 139259"/>
              <a:gd name="connsiteY17" fmla="*/ 36206 h 101248"/>
              <a:gd name="connsiteX18" fmla="*/ 51007 w 139259"/>
              <a:gd name="connsiteY18" fmla="*/ 32143 h 101248"/>
              <a:gd name="connsiteX19" fmla="*/ 43239 w 139259"/>
              <a:gd name="connsiteY19" fmla="*/ 24433 h 101248"/>
              <a:gd name="connsiteX20" fmla="*/ 69629 w 139259"/>
              <a:gd name="connsiteY20" fmla="*/ 7500 h 101248"/>
              <a:gd name="connsiteX21" fmla="*/ 131702 w 139259"/>
              <a:gd name="connsiteY21" fmla="*/ 50625 h 101248"/>
              <a:gd name="connsiteX22" fmla="*/ 69629 w 139259"/>
              <a:gd name="connsiteY22" fmla="*/ 93750 h 10124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</a:cxnLst>
            <a:rect l="l" t="t" r="r" b="b"/>
            <a:pathLst>
              <a:path w="139259" h="101248">
                <a:moveTo>
                  <a:pt x="69629" y="0"/>
                </a:moveTo>
                <a:cubicBezTo>
                  <a:pt x="49571" y="0"/>
                  <a:pt x="38026" y="4299"/>
                  <a:pt x="34335" y="13142"/>
                </a:cubicBezTo>
                <a:cubicBezTo>
                  <a:pt x="32145" y="18888"/>
                  <a:pt x="33537" y="25374"/>
                  <a:pt x="37896" y="29736"/>
                </a:cubicBezTo>
                <a:lnTo>
                  <a:pt x="41245" y="33060"/>
                </a:lnTo>
                <a:lnTo>
                  <a:pt x="28436" y="27564"/>
                </a:lnTo>
                <a:cubicBezTo>
                  <a:pt x="25610" y="26298"/>
                  <a:pt x="22553" y="25619"/>
                  <a:pt x="19452" y="25567"/>
                </a:cubicBezTo>
                <a:cubicBezTo>
                  <a:pt x="12533" y="25607"/>
                  <a:pt x="6274" y="29653"/>
                  <a:pt x="3438" y="35917"/>
                </a:cubicBezTo>
                <a:cubicBezTo>
                  <a:pt x="1178" y="40496"/>
                  <a:pt x="2" y="45526"/>
                  <a:pt x="0" y="50624"/>
                </a:cubicBezTo>
                <a:cubicBezTo>
                  <a:pt x="0" y="79011"/>
                  <a:pt x="30585" y="101249"/>
                  <a:pt x="69630" y="101249"/>
                </a:cubicBezTo>
                <a:cubicBezTo>
                  <a:pt x="108674" y="101249"/>
                  <a:pt x="139259" y="79011"/>
                  <a:pt x="139259" y="50624"/>
                </a:cubicBezTo>
                <a:cubicBezTo>
                  <a:pt x="139259" y="22710"/>
                  <a:pt x="108023" y="0"/>
                  <a:pt x="69629" y="0"/>
                </a:cubicBezTo>
                <a:close/>
                <a:moveTo>
                  <a:pt x="69629" y="93750"/>
                </a:moveTo>
                <a:cubicBezTo>
                  <a:pt x="35329" y="93750"/>
                  <a:pt x="7556" y="74493"/>
                  <a:pt x="7556" y="50625"/>
                </a:cubicBezTo>
                <a:cubicBezTo>
                  <a:pt x="7556" y="44004"/>
                  <a:pt x="10506" y="33066"/>
                  <a:pt x="19451" y="33067"/>
                </a:cubicBezTo>
                <a:cubicBezTo>
                  <a:pt x="21520" y="33119"/>
                  <a:pt x="23556" y="33588"/>
                  <a:pt x="25436" y="34449"/>
                </a:cubicBezTo>
                <a:lnTo>
                  <a:pt x="44803" y="42757"/>
                </a:lnTo>
                <a:cubicBezTo>
                  <a:pt x="45487" y="43056"/>
                  <a:pt x="46227" y="43213"/>
                  <a:pt x="46975" y="43216"/>
                </a:cubicBezTo>
                <a:cubicBezTo>
                  <a:pt x="50569" y="42912"/>
                  <a:pt x="53235" y="39774"/>
                  <a:pt x="52928" y="36206"/>
                </a:cubicBezTo>
                <a:cubicBezTo>
                  <a:pt x="52796" y="34668"/>
                  <a:pt x="52115" y="33227"/>
                  <a:pt x="51007" y="32143"/>
                </a:cubicBezTo>
                <a:lnTo>
                  <a:pt x="43239" y="24433"/>
                </a:lnTo>
                <a:cubicBezTo>
                  <a:pt x="39976" y="21195"/>
                  <a:pt x="34407" y="7500"/>
                  <a:pt x="69629" y="7500"/>
                </a:cubicBezTo>
                <a:cubicBezTo>
                  <a:pt x="103785" y="7500"/>
                  <a:pt x="131702" y="26757"/>
                  <a:pt x="131702" y="50625"/>
                </a:cubicBezTo>
                <a:cubicBezTo>
                  <a:pt x="131702" y="74493"/>
                  <a:pt x="103929" y="93750"/>
                  <a:pt x="69629" y="937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01" name="Freeform: Shape 400">
            <a:extLst>
              <a:ext uri="{FF2B5EF4-FFF2-40B4-BE49-F238E27FC236}">
                <a16:creationId xmlns:a16="http://schemas.microsoft.com/office/drawing/2014/main" id="{549EE57D-C183-4C25-89F4-702651520919}"/>
              </a:ext>
            </a:extLst>
          </xdr:cNvPr>
          <xdr:cNvSpPr/>
        </xdr:nvSpPr>
        <xdr:spPr>
          <a:xfrm>
            <a:off x="11378665" y="9879041"/>
            <a:ext cx="15500" cy="10772"/>
          </a:xfrm>
          <a:custGeom>
            <a:avLst/>
            <a:gdLst>
              <a:gd name="connsiteX0" fmla="*/ 7732 w 15500"/>
              <a:gd name="connsiteY0" fmla="*/ 0 h 10772"/>
              <a:gd name="connsiteX1" fmla="*/ 0 w 15500"/>
              <a:gd name="connsiteY1" fmla="*/ 5386 h 10772"/>
              <a:gd name="connsiteX2" fmla="*/ 7732 w 15500"/>
              <a:gd name="connsiteY2" fmla="*/ 10772 h 10772"/>
              <a:gd name="connsiteX3" fmla="*/ 15501 w 15500"/>
              <a:gd name="connsiteY3" fmla="*/ 5386 h 10772"/>
              <a:gd name="connsiteX4" fmla="*/ 7732 w 15500"/>
              <a:gd name="connsiteY4" fmla="*/ 0 h 107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500" h="10772">
                <a:moveTo>
                  <a:pt x="7732" y="0"/>
                </a:moveTo>
                <a:cubicBezTo>
                  <a:pt x="3547" y="0"/>
                  <a:pt x="0" y="2464"/>
                  <a:pt x="0" y="5386"/>
                </a:cubicBezTo>
                <a:cubicBezTo>
                  <a:pt x="0" y="8308"/>
                  <a:pt x="3405" y="10772"/>
                  <a:pt x="7732" y="10772"/>
                </a:cubicBezTo>
                <a:cubicBezTo>
                  <a:pt x="12096" y="10772"/>
                  <a:pt x="15501" y="8308"/>
                  <a:pt x="15501" y="5386"/>
                </a:cubicBezTo>
                <a:cubicBezTo>
                  <a:pt x="15501" y="2464"/>
                  <a:pt x="11918" y="0"/>
                  <a:pt x="7732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02" name="Freeform: Shape 401">
            <a:extLst>
              <a:ext uri="{FF2B5EF4-FFF2-40B4-BE49-F238E27FC236}">
                <a16:creationId xmlns:a16="http://schemas.microsoft.com/office/drawing/2014/main" id="{0F7A5A11-B214-44F5-A77B-8344E2FDFC1C}"/>
              </a:ext>
            </a:extLst>
          </xdr:cNvPr>
          <xdr:cNvSpPr/>
        </xdr:nvSpPr>
        <xdr:spPr>
          <a:xfrm>
            <a:off x="11395727" y="9889813"/>
            <a:ext cx="15500" cy="10807"/>
          </a:xfrm>
          <a:custGeom>
            <a:avLst/>
            <a:gdLst>
              <a:gd name="connsiteX0" fmla="*/ 7768 w 15500"/>
              <a:gd name="connsiteY0" fmla="*/ 10808 h 10807"/>
              <a:gd name="connsiteX1" fmla="*/ 15501 w 15500"/>
              <a:gd name="connsiteY1" fmla="*/ 5387 h 10807"/>
              <a:gd name="connsiteX2" fmla="*/ 7768 w 15500"/>
              <a:gd name="connsiteY2" fmla="*/ 0 h 10807"/>
              <a:gd name="connsiteX3" fmla="*/ 0 w 15500"/>
              <a:gd name="connsiteY3" fmla="*/ 5387 h 10807"/>
              <a:gd name="connsiteX4" fmla="*/ 7768 w 15500"/>
              <a:gd name="connsiteY4" fmla="*/ 10808 h 108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500" h="10807">
                <a:moveTo>
                  <a:pt x="7768" y="10808"/>
                </a:moveTo>
                <a:cubicBezTo>
                  <a:pt x="11954" y="10808"/>
                  <a:pt x="15501" y="8308"/>
                  <a:pt x="15501" y="5387"/>
                </a:cubicBezTo>
                <a:cubicBezTo>
                  <a:pt x="15501" y="2465"/>
                  <a:pt x="12096" y="0"/>
                  <a:pt x="7768" y="0"/>
                </a:cubicBezTo>
                <a:cubicBezTo>
                  <a:pt x="3405" y="0"/>
                  <a:pt x="0" y="2429"/>
                  <a:pt x="0" y="5387"/>
                </a:cubicBezTo>
                <a:cubicBezTo>
                  <a:pt x="0" y="8344"/>
                  <a:pt x="3583" y="10808"/>
                  <a:pt x="7768" y="1080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03" name="Freeform: Shape 402">
            <a:extLst>
              <a:ext uri="{FF2B5EF4-FFF2-40B4-BE49-F238E27FC236}">
                <a16:creationId xmlns:a16="http://schemas.microsoft.com/office/drawing/2014/main" id="{F32CC2DD-90BC-4FCE-B82D-DCFAA4D90A39}"/>
              </a:ext>
            </a:extLst>
          </xdr:cNvPr>
          <xdr:cNvSpPr/>
        </xdr:nvSpPr>
        <xdr:spPr>
          <a:xfrm>
            <a:off x="11356923" y="9936036"/>
            <a:ext cx="15535" cy="10772"/>
          </a:xfrm>
          <a:custGeom>
            <a:avLst/>
            <a:gdLst>
              <a:gd name="connsiteX0" fmla="*/ 7768 w 15535"/>
              <a:gd name="connsiteY0" fmla="*/ 0 h 10772"/>
              <a:gd name="connsiteX1" fmla="*/ 0 w 15535"/>
              <a:gd name="connsiteY1" fmla="*/ 5386 h 10772"/>
              <a:gd name="connsiteX2" fmla="*/ 7768 w 15535"/>
              <a:gd name="connsiteY2" fmla="*/ 10773 h 10772"/>
              <a:gd name="connsiteX3" fmla="*/ 15536 w 15535"/>
              <a:gd name="connsiteY3" fmla="*/ 5386 h 10772"/>
              <a:gd name="connsiteX4" fmla="*/ 7768 w 15535"/>
              <a:gd name="connsiteY4" fmla="*/ 0 h 107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535" h="10772">
                <a:moveTo>
                  <a:pt x="7768" y="0"/>
                </a:moveTo>
                <a:cubicBezTo>
                  <a:pt x="3547" y="0"/>
                  <a:pt x="0" y="2464"/>
                  <a:pt x="0" y="5386"/>
                </a:cubicBezTo>
                <a:cubicBezTo>
                  <a:pt x="0" y="8308"/>
                  <a:pt x="3405" y="10773"/>
                  <a:pt x="7768" y="10773"/>
                </a:cubicBezTo>
                <a:cubicBezTo>
                  <a:pt x="12095" y="10773"/>
                  <a:pt x="15536" y="8308"/>
                  <a:pt x="15536" y="5386"/>
                </a:cubicBezTo>
                <a:cubicBezTo>
                  <a:pt x="15536" y="2464"/>
                  <a:pt x="11989" y="0"/>
                  <a:pt x="7768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04" name="Freeform: Shape 403">
            <a:extLst>
              <a:ext uri="{FF2B5EF4-FFF2-40B4-BE49-F238E27FC236}">
                <a16:creationId xmlns:a16="http://schemas.microsoft.com/office/drawing/2014/main" id="{D2F89813-8504-480B-87B1-0F424CEBEB5F}"/>
              </a:ext>
            </a:extLst>
          </xdr:cNvPr>
          <xdr:cNvSpPr/>
        </xdr:nvSpPr>
        <xdr:spPr>
          <a:xfrm>
            <a:off x="11335214" y="9932938"/>
            <a:ext cx="15500" cy="10807"/>
          </a:xfrm>
          <a:custGeom>
            <a:avLst/>
            <a:gdLst>
              <a:gd name="connsiteX0" fmla="*/ 7732 w 15500"/>
              <a:gd name="connsiteY0" fmla="*/ 0 h 10807"/>
              <a:gd name="connsiteX1" fmla="*/ 0 w 15500"/>
              <a:gd name="connsiteY1" fmla="*/ 5387 h 10807"/>
              <a:gd name="connsiteX2" fmla="*/ 7732 w 15500"/>
              <a:gd name="connsiteY2" fmla="*/ 10808 h 10807"/>
              <a:gd name="connsiteX3" fmla="*/ 15501 w 15500"/>
              <a:gd name="connsiteY3" fmla="*/ 5387 h 10807"/>
              <a:gd name="connsiteX4" fmla="*/ 7732 w 15500"/>
              <a:gd name="connsiteY4" fmla="*/ 0 h 108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500" h="10807">
                <a:moveTo>
                  <a:pt x="7732" y="0"/>
                </a:moveTo>
                <a:cubicBezTo>
                  <a:pt x="3547" y="0"/>
                  <a:pt x="0" y="2429"/>
                  <a:pt x="0" y="5387"/>
                </a:cubicBezTo>
                <a:cubicBezTo>
                  <a:pt x="0" y="8344"/>
                  <a:pt x="3405" y="10808"/>
                  <a:pt x="7732" y="10808"/>
                </a:cubicBezTo>
                <a:cubicBezTo>
                  <a:pt x="12096" y="10808"/>
                  <a:pt x="15501" y="8308"/>
                  <a:pt x="15501" y="5387"/>
                </a:cubicBezTo>
                <a:cubicBezTo>
                  <a:pt x="15501" y="2465"/>
                  <a:pt x="11918" y="0"/>
                  <a:pt x="7732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05" name="Freeform: Shape 404">
            <a:extLst>
              <a:ext uri="{FF2B5EF4-FFF2-40B4-BE49-F238E27FC236}">
                <a16:creationId xmlns:a16="http://schemas.microsoft.com/office/drawing/2014/main" id="{FAB2C4B5-C9E9-4CC2-A0AE-C6FAF51C757D}"/>
              </a:ext>
            </a:extLst>
          </xdr:cNvPr>
          <xdr:cNvSpPr/>
        </xdr:nvSpPr>
        <xdr:spPr>
          <a:xfrm>
            <a:off x="11378665" y="9931424"/>
            <a:ext cx="15500" cy="10772"/>
          </a:xfrm>
          <a:custGeom>
            <a:avLst/>
            <a:gdLst>
              <a:gd name="connsiteX0" fmla="*/ 7732 w 15500"/>
              <a:gd name="connsiteY0" fmla="*/ 0 h 10772"/>
              <a:gd name="connsiteX1" fmla="*/ 0 w 15500"/>
              <a:gd name="connsiteY1" fmla="*/ 5387 h 10772"/>
              <a:gd name="connsiteX2" fmla="*/ 7732 w 15500"/>
              <a:gd name="connsiteY2" fmla="*/ 10773 h 10772"/>
              <a:gd name="connsiteX3" fmla="*/ 15501 w 15500"/>
              <a:gd name="connsiteY3" fmla="*/ 5387 h 10772"/>
              <a:gd name="connsiteX4" fmla="*/ 7732 w 15500"/>
              <a:gd name="connsiteY4" fmla="*/ 0 h 107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500" h="10772">
                <a:moveTo>
                  <a:pt x="7732" y="0"/>
                </a:moveTo>
                <a:cubicBezTo>
                  <a:pt x="3547" y="0"/>
                  <a:pt x="0" y="2465"/>
                  <a:pt x="0" y="5387"/>
                </a:cubicBezTo>
                <a:cubicBezTo>
                  <a:pt x="0" y="8309"/>
                  <a:pt x="3405" y="10773"/>
                  <a:pt x="7732" y="10773"/>
                </a:cubicBezTo>
                <a:cubicBezTo>
                  <a:pt x="12096" y="10773"/>
                  <a:pt x="15501" y="8308"/>
                  <a:pt x="15501" y="5387"/>
                </a:cubicBezTo>
                <a:cubicBezTo>
                  <a:pt x="15501" y="2465"/>
                  <a:pt x="11918" y="0"/>
                  <a:pt x="7732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2</xdr:col>
      <xdr:colOff>123821</xdr:colOff>
      <xdr:row>6</xdr:row>
      <xdr:rowOff>139120</xdr:rowOff>
    </xdr:from>
    <xdr:to>
      <xdr:col>2</xdr:col>
      <xdr:colOff>444982</xdr:colOff>
      <xdr:row>6</xdr:row>
      <xdr:rowOff>442871</xdr:rowOff>
    </xdr:to>
    <xdr:grpSp>
      <xdr:nvGrpSpPr>
        <xdr:cNvPr id="406" name="astronaut" descr="Astronaut female outline">
          <a:extLst>
            <a:ext uri="{FF2B5EF4-FFF2-40B4-BE49-F238E27FC236}">
              <a16:creationId xmlns:a16="http://schemas.microsoft.com/office/drawing/2014/main" id="{58F4147C-2EDA-435E-A4EA-9E9BD902C611}"/>
            </a:ext>
          </a:extLst>
        </xdr:cNvPr>
        <xdr:cNvGrpSpPr>
          <a:grpSpLocks noChangeAspect="1"/>
        </xdr:cNvGrpSpPr>
      </xdr:nvGrpSpPr>
      <xdr:grpSpPr>
        <a:xfrm>
          <a:off x="1552571" y="1777420"/>
          <a:ext cx="321161" cy="303751"/>
          <a:chOff x="13024105" y="8984089"/>
          <a:chExt cx="321161" cy="303751"/>
        </a:xfrm>
        <a:solidFill>
          <a:srgbClr val="1F4E78"/>
        </a:solidFill>
      </xdr:grpSpPr>
      <xdr:sp macro="" textlink="">
        <xdr:nvSpPr>
          <xdr:cNvPr id="407" name="Freeform: Shape 406">
            <a:extLst>
              <a:ext uri="{FF2B5EF4-FFF2-40B4-BE49-F238E27FC236}">
                <a16:creationId xmlns:a16="http://schemas.microsoft.com/office/drawing/2014/main" id="{8B7D2105-6CDA-4F17-931F-DB05313E9F94}"/>
              </a:ext>
            </a:extLst>
          </xdr:cNvPr>
          <xdr:cNvSpPr/>
        </xdr:nvSpPr>
        <xdr:spPr>
          <a:xfrm>
            <a:off x="13061652" y="8984089"/>
            <a:ext cx="264948" cy="303751"/>
          </a:xfrm>
          <a:custGeom>
            <a:avLst/>
            <a:gdLst>
              <a:gd name="connsiteX0" fmla="*/ 213426 w 264948"/>
              <a:gd name="connsiteY0" fmla="*/ 86250 h 303751"/>
              <a:gd name="connsiteX1" fmla="*/ 213713 w 264948"/>
              <a:gd name="connsiteY1" fmla="*/ 80625 h 303751"/>
              <a:gd name="connsiteX2" fmla="*/ 132479 w 264948"/>
              <a:gd name="connsiteY2" fmla="*/ 0 h 303751"/>
              <a:gd name="connsiteX3" fmla="*/ 51244 w 264948"/>
              <a:gd name="connsiteY3" fmla="*/ 80625 h 303751"/>
              <a:gd name="connsiteX4" fmla="*/ 51640 w 264948"/>
              <a:gd name="connsiteY4" fmla="*/ 88388 h 303751"/>
              <a:gd name="connsiteX5" fmla="*/ 51640 w 264948"/>
              <a:gd name="connsiteY5" fmla="*/ 88388 h 303751"/>
              <a:gd name="connsiteX6" fmla="*/ 69837 w 264948"/>
              <a:gd name="connsiteY6" fmla="*/ 131902 h 303751"/>
              <a:gd name="connsiteX7" fmla="*/ 55654 w 264948"/>
              <a:gd name="connsiteY7" fmla="*/ 155745 h 303751"/>
              <a:gd name="connsiteX8" fmla="*/ 59240 w 264948"/>
              <a:gd name="connsiteY8" fmla="*/ 162950 h 303751"/>
              <a:gd name="connsiteX9" fmla="*/ 21727 w 264948"/>
              <a:gd name="connsiteY9" fmla="*/ 183304 h 303751"/>
              <a:gd name="connsiteX10" fmla="*/ 6358 w 264948"/>
              <a:gd name="connsiteY10" fmla="*/ 209295 h 303751"/>
              <a:gd name="connsiteX11" fmla="*/ 0 w 264948"/>
              <a:gd name="connsiteY11" fmla="*/ 288177 h 303751"/>
              <a:gd name="connsiteX12" fmla="*/ 2943 w 264948"/>
              <a:gd name="connsiteY12" fmla="*/ 289040 h 303751"/>
              <a:gd name="connsiteX13" fmla="*/ 132434 w 264948"/>
              <a:gd name="connsiteY13" fmla="*/ 303752 h 303751"/>
              <a:gd name="connsiteX14" fmla="*/ 262007 w 264948"/>
              <a:gd name="connsiteY14" fmla="*/ 289041 h 303751"/>
              <a:gd name="connsiteX15" fmla="*/ 264948 w 264948"/>
              <a:gd name="connsiteY15" fmla="*/ 288181 h 303751"/>
              <a:gd name="connsiteX16" fmla="*/ 258614 w 264948"/>
              <a:gd name="connsiteY16" fmla="*/ 208931 h 303751"/>
              <a:gd name="connsiteX17" fmla="*/ 243372 w 264948"/>
              <a:gd name="connsiteY17" fmla="*/ 183364 h 303751"/>
              <a:gd name="connsiteX18" fmla="*/ 206010 w 264948"/>
              <a:gd name="connsiteY18" fmla="*/ 162624 h 303751"/>
              <a:gd name="connsiteX19" fmla="*/ 202006 w 264948"/>
              <a:gd name="connsiteY19" fmla="*/ 135180 h 303751"/>
              <a:gd name="connsiteX20" fmla="*/ 195119 w 264948"/>
              <a:gd name="connsiteY20" fmla="*/ 131903 h 303751"/>
              <a:gd name="connsiteX21" fmla="*/ 213426 w 264948"/>
              <a:gd name="connsiteY21" fmla="*/ 86250 h 303751"/>
              <a:gd name="connsiteX22" fmla="*/ 244311 w 264948"/>
              <a:gd name="connsiteY22" fmla="*/ 194914 h 303751"/>
              <a:gd name="connsiteX23" fmla="*/ 227166 w 264948"/>
              <a:gd name="connsiteY23" fmla="*/ 209502 h 303751"/>
              <a:gd name="connsiteX24" fmla="*/ 217333 w 264948"/>
              <a:gd name="connsiteY24" fmla="*/ 198113 h 303751"/>
              <a:gd name="connsiteX25" fmla="*/ 232796 w 264948"/>
              <a:gd name="connsiteY25" fmla="*/ 184957 h 303751"/>
              <a:gd name="connsiteX26" fmla="*/ 238679 w 264948"/>
              <a:gd name="connsiteY26" fmla="*/ 189245 h 303751"/>
              <a:gd name="connsiteX27" fmla="*/ 244311 w 264948"/>
              <a:gd name="connsiteY27" fmla="*/ 194914 h 303751"/>
              <a:gd name="connsiteX28" fmla="*/ 59205 w 264948"/>
              <a:gd name="connsiteY28" fmla="*/ 88242 h 303751"/>
              <a:gd name="connsiteX29" fmla="*/ 65326 w 264948"/>
              <a:gd name="connsiteY29" fmla="*/ 71652 h 303751"/>
              <a:gd name="connsiteX30" fmla="*/ 79366 w 264948"/>
              <a:gd name="connsiteY30" fmla="*/ 120722 h 303751"/>
              <a:gd name="connsiteX31" fmla="*/ 95429 w 264948"/>
              <a:gd name="connsiteY31" fmla="*/ 143729 h 303751"/>
              <a:gd name="connsiteX32" fmla="*/ 59205 w 264948"/>
              <a:gd name="connsiteY32" fmla="*/ 88242 h 303751"/>
              <a:gd name="connsiteX33" fmla="*/ 190301 w 264948"/>
              <a:gd name="connsiteY33" fmla="*/ 61224 h 303751"/>
              <a:gd name="connsiteX34" fmla="*/ 189146 w 264948"/>
              <a:gd name="connsiteY34" fmla="*/ 99800 h 303751"/>
              <a:gd name="connsiteX35" fmla="*/ 189150 w 264948"/>
              <a:gd name="connsiteY35" fmla="*/ 97500 h 303751"/>
              <a:gd name="connsiteX36" fmla="*/ 168985 w 264948"/>
              <a:gd name="connsiteY36" fmla="*/ 70800 h 303751"/>
              <a:gd name="connsiteX37" fmla="*/ 155225 w 264948"/>
              <a:gd name="connsiteY37" fmla="*/ 55855 h 303751"/>
              <a:gd name="connsiteX38" fmla="*/ 151447 w 264948"/>
              <a:gd name="connsiteY38" fmla="*/ 52104 h 303751"/>
              <a:gd name="connsiteX39" fmla="*/ 148286 w 264948"/>
              <a:gd name="connsiteY39" fmla="*/ 53799 h 303751"/>
              <a:gd name="connsiteX40" fmla="*/ 107037 w 264948"/>
              <a:gd name="connsiteY40" fmla="*/ 76275 h 303751"/>
              <a:gd name="connsiteX41" fmla="*/ 75837 w 264948"/>
              <a:gd name="connsiteY41" fmla="*/ 100283 h 303751"/>
              <a:gd name="connsiteX42" fmla="*/ 74611 w 264948"/>
              <a:gd name="connsiteY42" fmla="*/ 62531 h 303751"/>
              <a:gd name="connsiteX43" fmla="*/ 132479 w 264948"/>
              <a:gd name="connsiteY43" fmla="*/ 45000 h 303751"/>
              <a:gd name="connsiteX44" fmla="*/ 190301 w 264948"/>
              <a:gd name="connsiteY44" fmla="*/ 61224 h 303751"/>
              <a:gd name="connsiteX45" fmla="*/ 181586 w 264948"/>
              <a:gd name="connsiteY45" fmla="*/ 101243 h 303751"/>
              <a:gd name="connsiteX46" fmla="*/ 179183 w 264948"/>
              <a:gd name="connsiteY46" fmla="*/ 116250 h 303751"/>
              <a:gd name="connsiteX47" fmla="*/ 158515 w 264948"/>
              <a:gd name="connsiteY47" fmla="*/ 116250 h 303751"/>
              <a:gd name="connsiteX48" fmla="*/ 152016 w 264948"/>
              <a:gd name="connsiteY48" fmla="*/ 112500 h 303751"/>
              <a:gd name="connsiteX49" fmla="*/ 144460 w 264948"/>
              <a:gd name="connsiteY49" fmla="*/ 112500 h 303751"/>
              <a:gd name="connsiteX50" fmla="*/ 136903 w 264948"/>
              <a:gd name="connsiteY50" fmla="*/ 120000 h 303751"/>
              <a:gd name="connsiteX51" fmla="*/ 144460 w 264948"/>
              <a:gd name="connsiteY51" fmla="*/ 127500 h 303751"/>
              <a:gd name="connsiteX52" fmla="*/ 152016 w 264948"/>
              <a:gd name="connsiteY52" fmla="*/ 127500 h 303751"/>
              <a:gd name="connsiteX53" fmla="*/ 158515 w 264948"/>
              <a:gd name="connsiteY53" fmla="*/ 123750 h 303751"/>
              <a:gd name="connsiteX54" fmla="*/ 175999 w 264948"/>
              <a:gd name="connsiteY54" fmla="*/ 123750 h 303751"/>
              <a:gd name="connsiteX55" fmla="*/ 109798 w 264948"/>
              <a:gd name="connsiteY55" fmla="*/ 144508 h 303751"/>
              <a:gd name="connsiteX56" fmla="*/ 83349 w 264948"/>
              <a:gd name="connsiteY56" fmla="*/ 101210 h 303751"/>
              <a:gd name="connsiteX57" fmla="*/ 108855 w 264948"/>
              <a:gd name="connsiteY57" fmla="*/ 83555 h 303751"/>
              <a:gd name="connsiteX58" fmla="*/ 150133 w 264948"/>
              <a:gd name="connsiteY58" fmla="*/ 63657 h 303751"/>
              <a:gd name="connsiteX59" fmla="*/ 164447 w 264948"/>
              <a:gd name="connsiteY59" fmla="*/ 76800 h 303751"/>
              <a:gd name="connsiteX60" fmla="*/ 181594 w 264948"/>
              <a:gd name="connsiteY60" fmla="*/ 97494 h 303751"/>
              <a:gd name="connsiteX61" fmla="*/ 185569 w 264948"/>
              <a:gd name="connsiteY61" fmla="*/ 120726 h 303751"/>
              <a:gd name="connsiteX62" fmla="*/ 199520 w 264948"/>
              <a:gd name="connsiteY62" fmla="*/ 69768 h 303751"/>
              <a:gd name="connsiteX63" fmla="*/ 205889 w 264948"/>
              <a:gd name="connsiteY63" fmla="*/ 85871 h 303751"/>
              <a:gd name="connsiteX64" fmla="*/ 169466 w 264948"/>
              <a:gd name="connsiteY64" fmla="*/ 143768 h 303751"/>
              <a:gd name="connsiteX65" fmla="*/ 185569 w 264948"/>
              <a:gd name="connsiteY65" fmla="*/ 120726 h 303751"/>
              <a:gd name="connsiteX66" fmla="*/ 132479 w 264948"/>
              <a:gd name="connsiteY66" fmla="*/ 7500 h 303751"/>
              <a:gd name="connsiteX67" fmla="*/ 204016 w 264948"/>
              <a:gd name="connsiteY67" fmla="*/ 63439 h 303751"/>
              <a:gd name="connsiteX68" fmla="*/ 132479 w 264948"/>
              <a:gd name="connsiteY68" fmla="*/ 37500 h 303751"/>
              <a:gd name="connsiteX69" fmla="*/ 60308 w 264948"/>
              <a:gd name="connsiteY69" fmla="*/ 65875 h 303751"/>
              <a:gd name="connsiteX70" fmla="*/ 132479 w 264948"/>
              <a:gd name="connsiteY70" fmla="*/ 7500 h 303751"/>
              <a:gd name="connsiteX71" fmla="*/ 64321 w 264948"/>
              <a:gd name="connsiteY71" fmla="*/ 144648 h 303751"/>
              <a:gd name="connsiteX72" fmla="*/ 71846 w 264948"/>
              <a:gd name="connsiteY72" fmla="*/ 139115 h 303751"/>
              <a:gd name="connsiteX73" fmla="*/ 74833 w 264948"/>
              <a:gd name="connsiteY73" fmla="*/ 138750 h 303751"/>
              <a:gd name="connsiteX74" fmla="*/ 76448 w 264948"/>
              <a:gd name="connsiteY74" fmla="*/ 138859 h 303751"/>
              <a:gd name="connsiteX75" fmla="*/ 188492 w 264948"/>
              <a:gd name="connsiteY75" fmla="*/ 138875 h 303751"/>
              <a:gd name="connsiteX76" fmla="*/ 202273 w 264948"/>
              <a:gd name="connsiteY76" fmla="*/ 149258 h 303751"/>
              <a:gd name="connsiteX77" fmla="*/ 196445 w 264948"/>
              <a:gd name="connsiteY77" fmla="*/ 161318 h 303751"/>
              <a:gd name="connsiteX78" fmla="*/ 132479 w 264948"/>
              <a:gd name="connsiteY78" fmla="*/ 176250 h 303751"/>
              <a:gd name="connsiteX79" fmla="*/ 68511 w 264948"/>
              <a:gd name="connsiteY79" fmla="*/ 161316 h 303751"/>
              <a:gd name="connsiteX80" fmla="*/ 64321 w 264948"/>
              <a:gd name="connsiteY80" fmla="*/ 144648 h 303751"/>
              <a:gd name="connsiteX81" fmla="*/ 26157 w 264948"/>
              <a:gd name="connsiteY81" fmla="*/ 189377 h 303751"/>
              <a:gd name="connsiteX82" fmla="*/ 32532 w 264948"/>
              <a:gd name="connsiteY82" fmla="*/ 185272 h 303751"/>
              <a:gd name="connsiteX83" fmla="*/ 47624 w 264948"/>
              <a:gd name="connsiteY83" fmla="*/ 198113 h 303751"/>
              <a:gd name="connsiteX84" fmla="*/ 37791 w 264948"/>
              <a:gd name="connsiteY84" fmla="*/ 209502 h 303751"/>
              <a:gd name="connsiteX85" fmla="*/ 20588 w 264948"/>
              <a:gd name="connsiteY85" fmla="*/ 194867 h 303751"/>
              <a:gd name="connsiteX86" fmla="*/ 26157 w 264948"/>
              <a:gd name="connsiteY86" fmla="*/ 189377 h 303751"/>
              <a:gd name="connsiteX87" fmla="*/ 211674 w 264948"/>
              <a:gd name="connsiteY87" fmla="*/ 291044 h 303751"/>
              <a:gd name="connsiteX88" fmla="*/ 208020 w 264948"/>
              <a:gd name="connsiteY88" fmla="*/ 262031 h 303751"/>
              <a:gd name="connsiteX89" fmla="*/ 203761 w 264948"/>
              <a:gd name="connsiteY89" fmla="*/ 258829 h 303751"/>
              <a:gd name="connsiteX90" fmla="*/ 200522 w 264948"/>
              <a:gd name="connsiteY90" fmla="*/ 262961 h 303751"/>
              <a:gd name="connsiteX91" fmla="*/ 204180 w 264948"/>
              <a:gd name="connsiteY91" fmla="*/ 292004 h 303751"/>
              <a:gd name="connsiteX92" fmla="*/ 132434 w 264948"/>
              <a:gd name="connsiteY92" fmla="*/ 296250 h 303751"/>
              <a:gd name="connsiteX93" fmla="*/ 60776 w 264948"/>
              <a:gd name="connsiteY93" fmla="*/ 292013 h 303751"/>
              <a:gd name="connsiteX94" fmla="*/ 64435 w 264948"/>
              <a:gd name="connsiteY94" fmla="*/ 262963 h 303751"/>
              <a:gd name="connsiteX95" fmla="*/ 61223 w 264948"/>
              <a:gd name="connsiteY95" fmla="*/ 258725 h 303751"/>
              <a:gd name="connsiteX96" fmla="*/ 56953 w 264948"/>
              <a:gd name="connsiteY96" fmla="*/ 261912 h 303751"/>
              <a:gd name="connsiteX97" fmla="*/ 56938 w 264948"/>
              <a:gd name="connsiteY97" fmla="*/ 262033 h 303751"/>
              <a:gd name="connsiteX98" fmla="*/ 53282 w 264948"/>
              <a:gd name="connsiteY98" fmla="*/ 291053 h 303751"/>
              <a:gd name="connsiteX99" fmla="*/ 8027 w 264948"/>
              <a:gd name="connsiteY99" fmla="*/ 282634 h 303751"/>
              <a:gd name="connsiteX100" fmla="*/ 13855 w 264948"/>
              <a:gd name="connsiteY100" fmla="*/ 210179 h 303751"/>
              <a:gd name="connsiteX101" fmla="*/ 16573 w 264948"/>
              <a:gd name="connsiteY101" fmla="*/ 201329 h 303751"/>
              <a:gd name="connsiteX102" fmla="*/ 35741 w 264948"/>
              <a:gd name="connsiteY102" fmla="*/ 217637 h 303751"/>
              <a:gd name="connsiteX103" fmla="*/ 38201 w 264948"/>
              <a:gd name="connsiteY103" fmla="*/ 218540 h 303751"/>
              <a:gd name="connsiteX104" fmla="*/ 38490 w 264948"/>
              <a:gd name="connsiteY104" fmla="*/ 218528 h 303751"/>
              <a:gd name="connsiteX105" fmla="*/ 41070 w 264948"/>
              <a:gd name="connsiteY105" fmla="*/ 217230 h 303751"/>
              <a:gd name="connsiteX106" fmla="*/ 55821 w 264948"/>
              <a:gd name="connsiteY106" fmla="*/ 200147 h 303751"/>
              <a:gd name="connsiteX107" fmla="*/ 55412 w 264948"/>
              <a:gd name="connsiteY107" fmla="*/ 194859 h 303751"/>
              <a:gd name="connsiteX108" fmla="*/ 39293 w 264948"/>
              <a:gd name="connsiteY108" fmla="*/ 181147 h 303751"/>
              <a:gd name="connsiteX109" fmla="*/ 65859 w 264948"/>
              <a:gd name="connsiteY109" fmla="*/ 168409 h 303751"/>
              <a:gd name="connsiteX110" fmla="*/ 132479 w 264948"/>
              <a:gd name="connsiteY110" fmla="*/ 183750 h 303751"/>
              <a:gd name="connsiteX111" fmla="*/ 199482 w 264948"/>
              <a:gd name="connsiteY111" fmla="*/ 168203 h 303751"/>
              <a:gd name="connsiteX112" fmla="*/ 226157 w 264948"/>
              <a:gd name="connsiteY112" fmla="*/ 180724 h 303751"/>
              <a:gd name="connsiteX113" fmla="*/ 209544 w 264948"/>
              <a:gd name="connsiteY113" fmla="*/ 194857 h 303751"/>
              <a:gd name="connsiteX114" fmla="*/ 209135 w 264948"/>
              <a:gd name="connsiteY114" fmla="*/ 200145 h 303751"/>
              <a:gd name="connsiteX115" fmla="*/ 223886 w 264948"/>
              <a:gd name="connsiteY115" fmla="*/ 217228 h 303751"/>
              <a:gd name="connsiteX116" fmla="*/ 226465 w 264948"/>
              <a:gd name="connsiteY116" fmla="*/ 218526 h 303751"/>
              <a:gd name="connsiteX117" fmla="*/ 226755 w 264948"/>
              <a:gd name="connsiteY117" fmla="*/ 218538 h 303751"/>
              <a:gd name="connsiteX118" fmla="*/ 229215 w 264948"/>
              <a:gd name="connsiteY118" fmla="*/ 217635 h 303751"/>
              <a:gd name="connsiteX119" fmla="*/ 248346 w 264948"/>
              <a:gd name="connsiteY119" fmla="*/ 201358 h 303751"/>
              <a:gd name="connsiteX120" fmla="*/ 251126 w 264948"/>
              <a:gd name="connsiteY120" fmla="*/ 209888 h 303751"/>
              <a:gd name="connsiteX121" fmla="*/ 256923 w 264948"/>
              <a:gd name="connsiteY121" fmla="*/ 282630 h 303751"/>
              <a:gd name="connsiteX122" fmla="*/ 211674 w 264948"/>
              <a:gd name="connsiteY122" fmla="*/ 291044 h 3037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</a:cxnLst>
            <a:rect l="l" t="t" r="r" b="b"/>
            <a:pathLst>
              <a:path w="264948" h="303751">
                <a:moveTo>
                  <a:pt x="213426" y="86250"/>
                </a:moveTo>
                <a:cubicBezTo>
                  <a:pt x="213539" y="84516"/>
                  <a:pt x="213713" y="82388"/>
                  <a:pt x="213713" y="80625"/>
                </a:cubicBezTo>
                <a:cubicBezTo>
                  <a:pt x="213713" y="36097"/>
                  <a:pt x="177343" y="0"/>
                  <a:pt x="132479" y="0"/>
                </a:cubicBezTo>
                <a:cubicBezTo>
                  <a:pt x="87614" y="0"/>
                  <a:pt x="51244" y="36097"/>
                  <a:pt x="51244" y="80625"/>
                </a:cubicBezTo>
                <a:cubicBezTo>
                  <a:pt x="51244" y="83226"/>
                  <a:pt x="51395" y="85848"/>
                  <a:pt x="51640" y="88388"/>
                </a:cubicBezTo>
                <a:lnTo>
                  <a:pt x="51640" y="88388"/>
                </a:lnTo>
                <a:cubicBezTo>
                  <a:pt x="53183" y="104372"/>
                  <a:pt x="59522" y="119531"/>
                  <a:pt x="69837" y="131902"/>
                </a:cubicBezTo>
                <a:cubicBezTo>
                  <a:pt x="59287" y="134599"/>
                  <a:pt x="52937" y="145274"/>
                  <a:pt x="55654" y="155745"/>
                </a:cubicBezTo>
                <a:cubicBezTo>
                  <a:pt x="56334" y="158367"/>
                  <a:pt x="57555" y="160820"/>
                  <a:pt x="59240" y="162950"/>
                </a:cubicBezTo>
                <a:cubicBezTo>
                  <a:pt x="46042" y="168390"/>
                  <a:pt x="33466" y="175214"/>
                  <a:pt x="21727" y="183304"/>
                </a:cubicBezTo>
                <a:cubicBezTo>
                  <a:pt x="13363" y="189628"/>
                  <a:pt x="7842" y="198964"/>
                  <a:pt x="6358" y="209295"/>
                </a:cubicBezTo>
                <a:lnTo>
                  <a:pt x="0" y="288177"/>
                </a:lnTo>
                <a:lnTo>
                  <a:pt x="2943" y="289040"/>
                </a:lnTo>
                <a:cubicBezTo>
                  <a:pt x="3445" y="289190"/>
                  <a:pt x="54102" y="303752"/>
                  <a:pt x="132434" y="303752"/>
                </a:cubicBezTo>
                <a:cubicBezTo>
                  <a:pt x="210767" y="303752"/>
                  <a:pt x="261503" y="289188"/>
                  <a:pt x="262007" y="289041"/>
                </a:cubicBezTo>
                <a:lnTo>
                  <a:pt x="264948" y="288181"/>
                </a:lnTo>
                <a:lnTo>
                  <a:pt x="258614" y="208931"/>
                </a:lnTo>
                <a:cubicBezTo>
                  <a:pt x="256853" y="198846"/>
                  <a:pt x="251431" y="189750"/>
                  <a:pt x="243372" y="183364"/>
                </a:cubicBezTo>
                <a:cubicBezTo>
                  <a:pt x="232006" y="174675"/>
                  <a:pt x="219418" y="167687"/>
                  <a:pt x="206010" y="162624"/>
                </a:cubicBezTo>
                <a:cubicBezTo>
                  <a:pt x="212540" y="153948"/>
                  <a:pt x="210747" y="141661"/>
                  <a:pt x="202006" y="135180"/>
                </a:cubicBezTo>
                <a:cubicBezTo>
                  <a:pt x="199947" y="133653"/>
                  <a:pt x="197608" y="132540"/>
                  <a:pt x="195119" y="131903"/>
                </a:cubicBezTo>
                <a:cubicBezTo>
                  <a:pt x="205882" y="118960"/>
                  <a:pt x="212285" y="102993"/>
                  <a:pt x="213426" y="86250"/>
                </a:cubicBezTo>
                <a:close/>
                <a:moveTo>
                  <a:pt x="244311" y="194914"/>
                </a:moveTo>
                <a:lnTo>
                  <a:pt x="227166" y="209502"/>
                </a:lnTo>
                <a:lnTo>
                  <a:pt x="217333" y="198113"/>
                </a:lnTo>
                <a:lnTo>
                  <a:pt x="232796" y="184957"/>
                </a:lnTo>
                <a:cubicBezTo>
                  <a:pt x="234832" y="186353"/>
                  <a:pt x="236814" y="187772"/>
                  <a:pt x="238679" y="189245"/>
                </a:cubicBezTo>
                <a:cubicBezTo>
                  <a:pt x="240777" y="190905"/>
                  <a:pt x="242668" y="192808"/>
                  <a:pt x="244311" y="194914"/>
                </a:cubicBezTo>
                <a:close/>
                <a:moveTo>
                  <a:pt x="59205" y="88242"/>
                </a:moveTo>
                <a:cubicBezTo>
                  <a:pt x="59389" y="82201"/>
                  <a:pt x="61536" y="76382"/>
                  <a:pt x="65326" y="71652"/>
                </a:cubicBezTo>
                <a:cubicBezTo>
                  <a:pt x="63907" y="88395"/>
                  <a:pt x="67948" y="110391"/>
                  <a:pt x="79366" y="120722"/>
                </a:cubicBezTo>
                <a:cubicBezTo>
                  <a:pt x="82687" y="129609"/>
                  <a:pt x="88211" y="137522"/>
                  <a:pt x="95429" y="143729"/>
                </a:cubicBezTo>
                <a:cubicBezTo>
                  <a:pt x="75144" y="132009"/>
                  <a:pt x="61693" y="111405"/>
                  <a:pt x="59205" y="88242"/>
                </a:cubicBezTo>
                <a:close/>
                <a:moveTo>
                  <a:pt x="190301" y="61224"/>
                </a:moveTo>
                <a:cubicBezTo>
                  <a:pt x="193344" y="73959"/>
                  <a:pt x="192945" y="87267"/>
                  <a:pt x="189146" y="99800"/>
                </a:cubicBezTo>
                <a:lnTo>
                  <a:pt x="189150" y="97500"/>
                </a:lnTo>
                <a:cubicBezTo>
                  <a:pt x="189150" y="85825"/>
                  <a:pt x="178437" y="77844"/>
                  <a:pt x="168985" y="70800"/>
                </a:cubicBezTo>
                <a:cubicBezTo>
                  <a:pt x="162220" y="65761"/>
                  <a:pt x="155225" y="60548"/>
                  <a:pt x="155225" y="55855"/>
                </a:cubicBezTo>
                <a:cubicBezTo>
                  <a:pt x="155225" y="53784"/>
                  <a:pt x="153534" y="52104"/>
                  <a:pt x="151447" y="52104"/>
                </a:cubicBezTo>
                <a:cubicBezTo>
                  <a:pt x="150173" y="52103"/>
                  <a:pt x="148984" y="52740"/>
                  <a:pt x="148286" y="53799"/>
                </a:cubicBezTo>
                <a:cubicBezTo>
                  <a:pt x="138561" y="68519"/>
                  <a:pt x="121813" y="72640"/>
                  <a:pt x="107037" y="76275"/>
                </a:cubicBezTo>
                <a:cubicBezTo>
                  <a:pt x="91188" y="80175"/>
                  <a:pt x="76241" y="83897"/>
                  <a:pt x="75837" y="100283"/>
                </a:cubicBezTo>
                <a:cubicBezTo>
                  <a:pt x="72008" y="88038"/>
                  <a:pt x="71584" y="74995"/>
                  <a:pt x="74611" y="62531"/>
                </a:cubicBezTo>
                <a:cubicBezTo>
                  <a:pt x="88263" y="52046"/>
                  <a:pt x="109510" y="45000"/>
                  <a:pt x="132479" y="45000"/>
                </a:cubicBezTo>
                <a:cubicBezTo>
                  <a:pt x="155683" y="45000"/>
                  <a:pt x="176730" y="51443"/>
                  <a:pt x="190301" y="61224"/>
                </a:cubicBezTo>
                <a:close/>
                <a:moveTo>
                  <a:pt x="181586" y="101243"/>
                </a:moveTo>
                <a:cubicBezTo>
                  <a:pt x="181584" y="106339"/>
                  <a:pt x="180772" y="111404"/>
                  <a:pt x="179183" y="116250"/>
                </a:cubicBezTo>
                <a:lnTo>
                  <a:pt x="158515" y="116250"/>
                </a:lnTo>
                <a:cubicBezTo>
                  <a:pt x="157173" y="113943"/>
                  <a:pt x="154700" y="112516"/>
                  <a:pt x="152016" y="112500"/>
                </a:cubicBezTo>
                <a:lnTo>
                  <a:pt x="144460" y="112500"/>
                </a:lnTo>
                <a:cubicBezTo>
                  <a:pt x="140286" y="112500"/>
                  <a:pt x="136903" y="115858"/>
                  <a:pt x="136903" y="120000"/>
                </a:cubicBezTo>
                <a:cubicBezTo>
                  <a:pt x="136903" y="124142"/>
                  <a:pt x="140286" y="127500"/>
                  <a:pt x="144460" y="127500"/>
                </a:cubicBezTo>
                <a:lnTo>
                  <a:pt x="152016" y="127500"/>
                </a:lnTo>
                <a:cubicBezTo>
                  <a:pt x="154700" y="127484"/>
                  <a:pt x="157173" y="126057"/>
                  <a:pt x="158515" y="123750"/>
                </a:cubicBezTo>
                <a:lnTo>
                  <a:pt x="175999" y="123750"/>
                </a:lnTo>
                <a:cubicBezTo>
                  <a:pt x="163494" y="147626"/>
                  <a:pt x="133854" y="156920"/>
                  <a:pt x="109798" y="144508"/>
                </a:cubicBezTo>
                <a:cubicBezTo>
                  <a:pt x="93524" y="136112"/>
                  <a:pt x="83324" y="119414"/>
                  <a:pt x="83349" y="101210"/>
                </a:cubicBezTo>
                <a:cubicBezTo>
                  <a:pt x="83229" y="90368"/>
                  <a:pt x="92013" y="87701"/>
                  <a:pt x="108855" y="83555"/>
                </a:cubicBezTo>
                <a:cubicBezTo>
                  <a:pt x="122313" y="80243"/>
                  <a:pt x="138663" y="76220"/>
                  <a:pt x="150133" y="63657"/>
                </a:cubicBezTo>
                <a:cubicBezTo>
                  <a:pt x="154130" y="68801"/>
                  <a:pt x="158969" y="73244"/>
                  <a:pt x="164447" y="76800"/>
                </a:cubicBezTo>
                <a:cubicBezTo>
                  <a:pt x="172876" y="83081"/>
                  <a:pt x="181594" y="89575"/>
                  <a:pt x="181594" y="97494"/>
                </a:cubicBezTo>
                <a:close/>
                <a:moveTo>
                  <a:pt x="185569" y="120726"/>
                </a:moveTo>
                <a:cubicBezTo>
                  <a:pt x="197939" y="109576"/>
                  <a:pt x="201107" y="86259"/>
                  <a:pt x="199520" y="69768"/>
                </a:cubicBezTo>
                <a:cubicBezTo>
                  <a:pt x="203394" y="74280"/>
                  <a:pt x="205636" y="79948"/>
                  <a:pt x="205889" y="85871"/>
                </a:cubicBezTo>
                <a:cubicBezTo>
                  <a:pt x="204127" y="109956"/>
                  <a:pt x="190496" y="131623"/>
                  <a:pt x="169466" y="143768"/>
                </a:cubicBezTo>
                <a:cubicBezTo>
                  <a:pt x="176703" y="137555"/>
                  <a:pt x="182241" y="129630"/>
                  <a:pt x="185569" y="120726"/>
                </a:cubicBezTo>
                <a:close/>
                <a:moveTo>
                  <a:pt x="132479" y="7500"/>
                </a:moveTo>
                <a:cubicBezTo>
                  <a:pt x="166462" y="7560"/>
                  <a:pt x="196005" y="30660"/>
                  <a:pt x="204016" y="63439"/>
                </a:cubicBezTo>
                <a:cubicBezTo>
                  <a:pt x="190393" y="48027"/>
                  <a:pt x="163453" y="37500"/>
                  <a:pt x="132479" y="37500"/>
                </a:cubicBezTo>
                <a:cubicBezTo>
                  <a:pt x="101405" y="37500"/>
                  <a:pt x="73769" y="49223"/>
                  <a:pt x="60308" y="65875"/>
                </a:cubicBezTo>
                <a:cubicBezTo>
                  <a:pt x="67405" y="31912"/>
                  <a:pt x="97530" y="7545"/>
                  <a:pt x="132479" y="7500"/>
                </a:cubicBezTo>
                <a:close/>
                <a:moveTo>
                  <a:pt x="64321" y="144648"/>
                </a:moveTo>
                <a:cubicBezTo>
                  <a:pt x="65984" y="141880"/>
                  <a:pt x="68694" y="139888"/>
                  <a:pt x="71846" y="139115"/>
                </a:cubicBezTo>
                <a:cubicBezTo>
                  <a:pt x="72823" y="138872"/>
                  <a:pt x="73826" y="138750"/>
                  <a:pt x="74833" y="138750"/>
                </a:cubicBezTo>
                <a:cubicBezTo>
                  <a:pt x="75373" y="138750"/>
                  <a:pt x="75912" y="138787"/>
                  <a:pt x="76448" y="138859"/>
                </a:cubicBezTo>
                <a:cubicBezTo>
                  <a:pt x="107738" y="168710"/>
                  <a:pt x="157193" y="168717"/>
                  <a:pt x="188492" y="138875"/>
                </a:cubicBezTo>
                <a:cubicBezTo>
                  <a:pt x="195186" y="137965"/>
                  <a:pt x="201356" y="142614"/>
                  <a:pt x="202273" y="149258"/>
                </a:cubicBezTo>
                <a:cubicBezTo>
                  <a:pt x="202937" y="154073"/>
                  <a:pt x="200644" y="158818"/>
                  <a:pt x="196445" y="161318"/>
                </a:cubicBezTo>
                <a:cubicBezTo>
                  <a:pt x="180521" y="170806"/>
                  <a:pt x="157206" y="176250"/>
                  <a:pt x="132479" y="176250"/>
                </a:cubicBezTo>
                <a:cubicBezTo>
                  <a:pt x="107751" y="176250"/>
                  <a:pt x="84438" y="170806"/>
                  <a:pt x="68511" y="161316"/>
                </a:cubicBezTo>
                <a:cubicBezTo>
                  <a:pt x="62723" y="157857"/>
                  <a:pt x="60849" y="150401"/>
                  <a:pt x="64321" y="144648"/>
                </a:cubicBezTo>
                <a:close/>
                <a:moveTo>
                  <a:pt x="26157" y="189377"/>
                </a:moveTo>
                <a:cubicBezTo>
                  <a:pt x="28244" y="187935"/>
                  <a:pt x="30399" y="186625"/>
                  <a:pt x="32532" y="185272"/>
                </a:cubicBezTo>
                <a:lnTo>
                  <a:pt x="47624" y="198113"/>
                </a:lnTo>
                <a:lnTo>
                  <a:pt x="37791" y="209502"/>
                </a:lnTo>
                <a:lnTo>
                  <a:pt x="20588" y="194867"/>
                </a:lnTo>
                <a:cubicBezTo>
                  <a:pt x="22197" y="192806"/>
                  <a:pt x="24070" y="190960"/>
                  <a:pt x="26157" y="189377"/>
                </a:cubicBezTo>
                <a:close/>
                <a:moveTo>
                  <a:pt x="211674" y="291044"/>
                </a:moveTo>
                <a:lnTo>
                  <a:pt x="208020" y="262031"/>
                </a:lnTo>
                <a:cubicBezTo>
                  <a:pt x="207735" y="259980"/>
                  <a:pt x="205828" y="258546"/>
                  <a:pt x="203761" y="258829"/>
                </a:cubicBezTo>
                <a:cubicBezTo>
                  <a:pt x="201731" y="259107"/>
                  <a:pt x="200294" y="260940"/>
                  <a:pt x="200522" y="262961"/>
                </a:cubicBezTo>
                <a:lnTo>
                  <a:pt x="204180" y="292004"/>
                </a:lnTo>
                <a:cubicBezTo>
                  <a:pt x="180373" y="294855"/>
                  <a:pt x="156414" y="296273"/>
                  <a:pt x="132434" y="296250"/>
                </a:cubicBezTo>
                <a:cubicBezTo>
                  <a:pt x="108484" y="296274"/>
                  <a:pt x="84554" y="294859"/>
                  <a:pt x="60776" y="292013"/>
                </a:cubicBezTo>
                <a:lnTo>
                  <a:pt x="64435" y="262963"/>
                </a:lnTo>
                <a:cubicBezTo>
                  <a:pt x="64727" y="260912"/>
                  <a:pt x="63289" y="259014"/>
                  <a:pt x="61223" y="258725"/>
                </a:cubicBezTo>
                <a:cubicBezTo>
                  <a:pt x="59157" y="258434"/>
                  <a:pt x="57245" y="259862"/>
                  <a:pt x="56953" y="261912"/>
                </a:cubicBezTo>
                <a:cubicBezTo>
                  <a:pt x="56947" y="261952"/>
                  <a:pt x="56942" y="261993"/>
                  <a:pt x="56938" y="262033"/>
                </a:cubicBezTo>
                <a:lnTo>
                  <a:pt x="53282" y="291053"/>
                </a:lnTo>
                <a:cubicBezTo>
                  <a:pt x="38050" y="289095"/>
                  <a:pt x="22940" y="286285"/>
                  <a:pt x="8027" y="282634"/>
                </a:cubicBezTo>
                <a:lnTo>
                  <a:pt x="13855" y="210179"/>
                </a:lnTo>
                <a:cubicBezTo>
                  <a:pt x="14344" y="207119"/>
                  <a:pt x="15259" y="204140"/>
                  <a:pt x="16573" y="201329"/>
                </a:cubicBezTo>
                <a:lnTo>
                  <a:pt x="35741" y="217637"/>
                </a:lnTo>
                <a:cubicBezTo>
                  <a:pt x="36426" y="218219"/>
                  <a:pt x="37299" y="218539"/>
                  <a:pt x="38201" y="218540"/>
                </a:cubicBezTo>
                <a:cubicBezTo>
                  <a:pt x="38297" y="218540"/>
                  <a:pt x="38395" y="218536"/>
                  <a:pt x="38490" y="218528"/>
                </a:cubicBezTo>
                <a:cubicBezTo>
                  <a:pt x="39489" y="218452"/>
                  <a:pt x="40417" y="217985"/>
                  <a:pt x="41070" y="217230"/>
                </a:cubicBezTo>
                <a:lnTo>
                  <a:pt x="55821" y="200147"/>
                </a:lnTo>
                <a:cubicBezTo>
                  <a:pt x="57179" y="198574"/>
                  <a:pt x="56996" y="196207"/>
                  <a:pt x="55412" y="194859"/>
                </a:cubicBezTo>
                <a:lnTo>
                  <a:pt x="39293" y="181147"/>
                </a:lnTo>
                <a:cubicBezTo>
                  <a:pt x="47806" y="176231"/>
                  <a:pt x="56687" y="171973"/>
                  <a:pt x="65859" y="168409"/>
                </a:cubicBezTo>
                <a:cubicBezTo>
                  <a:pt x="82873" y="178149"/>
                  <a:pt x="107018" y="183750"/>
                  <a:pt x="132479" y="183750"/>
                </a:cubicBezTo>
                <a:cubicBezTo>
                  <a:pt x="158125" y="183750"/>
                  <a:pt x="182449" y="178077"/>
                  <a:pt x="199482" y="168203"/>
                </a:cubicBezTo>
                <a:cubicBezTo>
                  <a:pt x="208738" y="171564"/>
                  <a:pt x="217666" y="175755"/>
                  <a:pt x="226157" y="180724"/>
                </a:cubicBezTo>
                <a:lnTo>
                  <a:pt x="209544" y="194857"/>
                </a:lnTo>
                <a:cubicBezTo>
                  <a:pt x="207960" y="196205"/>
                  <a:pt x="207777" y="198572"/>
                  <a:pt x="209135" y="200145"/>
                </a:cubicBezTo>
                <a:lnTo>
                  <a:pt x="223886" y="217228"/>
                </a:lnTo>
                <a:cubicBezTo>
                  <a:pt x="224539" y="217983"/>
                  <a:pt x="225466" y="218450"/>
                  <a:pt x="226465" y="218526"/>
                </a:cubicBezTo>
                <a:cubicBezTo>
                  <a:pt x="226561" y="218534"/>
                  <a:pt x="226659" y="218538"/>
                  <a:pt x="226755" y="218538"/>
                </a:cubicBezTo>
                <a:cubicBezTo>
                  <a:pt x="227657" y="218537"/>
                  <a:pt x="228530" y="218217"/>
                  <a:pt x="229215" y="217635"/>
                </a:cubicBezTo>
                <a:lnTo>
                  <a:pt x="248346" y="201358"/>
                </a:lnTo>
                <a:cubicBezTo>
                  <a:pt x="249646" y="204068"/>
                  <a:pt x="250580" y="206936"/>
                  <a:pt x="251126" y="209888"/>
                </a:cubicBezTo>
                <a:lnTo>
                  <a:pt x="256923" y="282630"/>
                </a:lnTo>
                <a:cubicBezTo>
                  <a:pt x="242012" y="286277"/>
                  <a:pt x="226905" y="289086"/>
                  <a:pt x="211674" y="29104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08" name="Freeform: Shape 407">
            <a:extLst>
              <a:ext uri="{FF2B5EF4-FFF2-40B4-BE49-F238E27FC236}">
                <a16:creationId xmlns:a16="http://schemas.microsoft.com/office/drawing/2014/main" id="{2F989479-7727-4B9A-B5E4-7C0068B29D03}"/>
              </a:ext>
            </a:extLst>
          </xdr:cNvPr>
          <xdr:cNvSpPr/>
        </xdr:nvSpPr>
        <xdr:spPr>
          <a:xfrm>
            <a:off x="13152569" y="9194085"/>
            <a:ext cx="83120" cy="52500"/>
          </a:xfrm>
          <a:custGeom>
            <a:avLst/>
            <a:gdLst>
              <a:gd name="connsiteX0" fmla="*/ 71785 w 83120"/>
              <a:gd name="connsiteY0" fmla="*/ 0 h 52500"/>
              <a:gd name="connsiteX1" fmla="*/ 11335 w 83120"/>
              <a:gd name="connsiteY1" fmla="*/ 0 h 52500"/>
              <a:gd name="connsiteX2" fmla="*/ 0 w 83120"/>
              <a:gd name="connsiteY2" fmla="*/ 11250 h 52500"/>
              <a:gd name="connsiteX3" fmla="*/ 0 w 83120"/>
              <a:gd name="connsiteY3" fmla="*/ 41250 h 52500"/>
              <a:gd name="connsiteX4" fmla="*/ 11335 w 83120"/>
              <a:gd name="connsiteY4" fmla="*/ 52500 h 52500"/>
              <a:gd name="connsiteX5" fmla="*/ 71785 w 83120"/>
              <a:gd name="connsiteY5" fmla="*/ 52500 h 52500"/>
              <a:gd name="connsiteX6" fmla="*/ 83120 w 83120"/>
              <a:gd name="connsiteY6" fmla="*/ 41250 h 52500"/>
              <a:gd name="connsiteX7" fmla="*/ 83120 w 83120"/>
              <a:gd name="connsiteY7" fmla="*/ 11250 h 52500"/>
              <a:gd name="connsiteX8" fmla="*/ 71785 w 83120"/>
              <a:gd name="connsiteY8" fmla="*/ 0 h 52500"/>
              <a:gd name="connsiteX9" fmla="*/ 75564 w 83120"/>
              <a:gd name="connsiteY9" fmla="*/ 41250 h 52500"/>
              <a:gd name="connsiteX10" fmla="*/ 71785 w 83120"/>
              <a:gd name="connsiteY10" fmla="*/ 45000 h 52500"/>
              <a:gd name="connsiteX11" fmla="*/ 11335 w 83120"/>
              <a:gd name="connsiteY11" fmla="*/ 45000 h 52500"/>
              <a:gd name="connsiteX12" fmla="*/ 7557 w 83120"/>
              <a:gd name="connsiteY12" fmla="*/ 41250 h 52500"/>
              <a:gd name="connsiteX13" fmla="*/ 7557 w 83120"/>
              <a:gd name="connsiteY13" fmla="*/ 11250 h 52500"/>
              <a:gd name="connsiteX14" fmla="*/ 11335 w 83120"/>
              <a:gd name="connsiteY14" fmla="*/ 7500 h 52500"/>
              <a:gd name="connsiteX15" fmla="*/ 71785 w 83120"/>
              <a:gd name="connsiteY15" fmla="*/ 7500 h 52500"/>
              <a:gd name="connsiteX16" fmla="*/ 75564 w 83120"/>
              <a:gd name="connsiteY16" fmla="*/ 11250 h 52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83120" h="52500">
                <a:moveTo>
                  <a:pt x="71785" y="0"/>
                </a:moveTo>
                <a:lnTo>
                  <a:pt x="11335" y="0"/>
                </a:lnTo>
                <a:cubicBezTo>
                  <a:pt x="5078" y="7"/>
                  <a:pt x="7" y="5040"/>
                  <a:pt x="0" y="11250"/>
                </a:cubicBezTo>
                <a:lnTo>
                  <a:pt x="0" y="41250"/>
                </a:lnTo>
                <a:cubicBezTo>
                  <a:pt x="7" y="47460"/>
                  <a:pt x="5078" y="52493"/>
                  <a:pt x="11335" y="52500"/>
                </a:cubicBezTo>
                <a:lnTo>
                  <a:pt x="71785" y="52500"/>
                </a:lnTo>
                <a:cubicBezTo>
                  <a:pt x="78043" y="52493"/>
                  <a:pt x="83114" y="47460"/>
                  <a:pt x="83120" y="41250"/>
                </a:cubicBezTo>
                <a:lnTo>
                  <a:pt x="83120" y="11250"/>
                </a:lnTo>
                <a:cubicBezTo>
                  <a:pt x="83114" y="5040"/>
                  <a:pt x="78043" y="7"/>
                  <a:pt x="71785" y="0"/>
                </a:cubicBezTo>
                <a:close/>
                <a:moveTo>
                  <a:pt x="75564" y="41250"/>
                </a:moveTo>
                <a:cubicBezTo>
                  <a:pt x="75561" y="43320"/>
                  <a:pt x="73871" y="44997"/>
                  <a:pt x="71785" y="45000"/>
                </a:cubicBezTo>
                <a:lnTo>
                  <a:pt x="11335" y="45000"/>
                </a:lnTo>
                <a:cubicBezTo>
                  <a:pt x="9249" y="44997"/>
                  <a:pt x="7559" y="43320"/>
                  <a:pt x="7557" y="41250"/>
                </a:cubicBezTo>
                <a:lnTo>
                  <a:pt x="7557" y="11250"/>
                </a:lnTo>
                <a:cubicBezTo>
                  <a:pt x="7560" y="9180"/>
                  <a:pt x="9249" y="7503"/>
                  <a:pt x="11335" y="7500"/>
                </a:cubicBezTo>
                <a:lnTo>
                  <a:pt x="71785" y="7500"/>
                </a:lnTo>
                <a:cubicBezTo>
                  <a:pt x="73871" y="7503"/>
                  <a:pt x="75561" y="9180"/>
                  <a:pt x="75564" y="112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09" name="Freeform: Shape 408">
            <a:extLst>
              <a:ext uri="{FF2B5EF4-FFF2-40B4-BE49-F238E27FC236}">
                <a16:creationId xmlns:a16="http://schemas.microsoft.com/office/drawing/2014/main" id="{8E81E350-68BF-4BAA-BC27-FE47C35D7822}"/>
              </a:ext>
            </a:extLst>
          </xdr:cNvPr>
          <xdr:cNvSpPr/>
        </xdr:nvSpPr>
        <xdr:spPr>
          <a:xfrm>
            <a:off x="13064213" y="8995334"/>
            <a:ext cx="31682" cy="37232"/>
          </a:xfrm>
          <a:custGeom>
            <a:avLst/>
            <a:gdLst>
              <a:gd name="connsiteX0" fmla="*/ 15840 w 31682"/>
              <a:gd name="connsiteY0" fmla="*/ 15683 h 37232"/>
              <a:gd name="connsiteX1" fmla="*/ 18526 w 31682"/>
              <a:gd name="connsiteY1" fmla="*/ 18616 h 37232"/>
              <a:gd name="connsiteX2" fmla="*/ 15840 w 31682"/>
              <a:gd name="connsiteY2" fmla="*/ 21550 h 37232"/>
              <a:gd name="connsiteX3" fmla="*/ 13152 w 31682"/>
              <a:gd name="connsiteY3" fmla="*/ 18616 h 37232"/>
              <a:gd name="connsiteX4" fmla="*/ 15840 w 31682"/>
              <a:gd name="connsiteY4" fmla="*/ 15683 h 37232"/>
              <a:gd name="connsiteX5" fmla="*/ 15840 w 31682"/>
              <a:gd name="connsiteY5" fmla="*/ 0 h 37232"/>
              <a:gd name="connsiteX6" fmla="*/ 0 w 31682"/>
              <a:gd name="connsiteY6" fmla="*/ 18616 h 37232"/>
              <a:gd name="connsiteX7" fmla="*/ 15841 w 31682"/>
              <a:gd name="connsiteY7" fmla="*/ 37233 h 37232"/>
              <a:gd name="connsiteX8" fmla="*/ 31682 w 31682"/>
              <a:gd name="connsiteY8" fmla="*/ 18616 h 37232"/>
              <a:gd name="connsiteX9" fmla="*/ 15840 w 31682"/>
              <a:gd name="connsiteY9" fmla="*/ 0 h 3723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31682" h="37232">
                <a:moveTo>
                  <a:pt x="15840" y="15683"/>
                </a:moveTo>
                <a:cubicBezTo>
                  <a:pt x="16681" y="16708"/>
                  <a:pt x="17578" y="17687"/>
                  <a:pt x="18526" y="18616"/>
                </a:cubicBezTo>
                <a:cubicBezTo>
                  <a:pt x="17578" y="19545"/>
                  <a:pt x="16681" y="20525"/>
                  <a:pt x="15840" y="21550"/>
                </a:cubicBezTo>
                <a:cubicBezTo>
                  <a:pt x="14998" y="20525"/>
                  <a:pt x="14101" y="19545"/>
                  <a:pt x="13152" y="18616"/>
                </a:cubicBezTo>
                <a:cubicBezTo>
                  <a:pt x="14101" y="17687"/>
                  <a:pt x="14998" y="16708"/>
                  <a:pt x="15840" y="15683"/>
                </a:cubicBezTo>
                <a:close/>
                <a:moveTo>
                  <a:pt x="15840" y="0"/>
                </a:moveTo>
                <a:cubicBezTo>
                  <a:pt x="13502" y="8177"/>
                  <a:pt x="7731" y="14959"/>
                  <a:pt x="0" y="18616"/>
                </a:cubicBezTo>
                <a:cubicBezTo>
                  <a:pt x="7731" y="22273"/>
                  <a:pt x="13503" y="29055"/>
                  <a:pt x="15841" y="37233"/>
                </a:cubicBezTo>
                <a:cubicBezTo>
                  <a:pt x="18180" y="29055"/>
                  <a:pt x="23951" y="22273"/>
                  <a:pt x="31682" y="18616"/>
                </a:cubicBezTo>
                <a:cubicBezTo>
                  <a:pt x="23950" y="14960"/>
                  <a:pt x="18178" y="8177"/>
                  <a:pt x="15840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10" name="Freeform: Shape 409">
            <a:extLst>
              <a:ext uri="{FF2B5EF4-FFF2-40B4-BE49-F238E27FC236}">
                <a16:creationId xmlns:a16="http://schemas.microsoft.com/office/drawing/2014/main" id="{5F24F1C1-A39E-4422-B27A-D42A55B5AAF6}"/>
              </a:ext>
            </a:extLst>
          </xdr:cNvPr>
          <xdr:cNvSpPr/>
        </xdr:nvSpPr>
        <xdr:spPr>
          <a:xfrm>
            <a:off x="13024105" y="9096584"/>
            <a:ext cx="31682" cy="37232"/>
          </a:xfrm>
          <a:custGeom>
            <a:avLst/>
            <a:gdLst>
              <a:gd name="connsiteX0" fmla="*/ 15841 w 31682"/>
              <a:gd name="connsiteY0" fmla="*/ 15683 h 37232"/>
              <a:gd name="connsiteX1" fmla="*/ 18528 w 31682"/>
              <a:gd name="connsiteY1" fmla="*/ 18616 h 37232"/>
              <a:gd name="connsiteX2" fmla="*/ 15841 w 31682"/>
              <a:gd name="connsiteY2" fmla="*/ 21550 h 37232"/>
              <a:gd name="connsiteX3" fmla="*/ 13154 w 31682"/>
              <a:gd name="connsiteY3" fmla="*/ 18616 h 37232"/>
              <a:gd name="connsiteX4" fmla="*/ 15841 w 31682"/>
              <a:gd name="connsiteY4" fmla="*/ 15683 h 37232"/>
              <a:gd name="connsiteX5" fmla="*/ 15841 w 31682"/>
              <a:gd name="connsiteY5" fmla="*/ 0 h 37232"/>
              <a:gd name="connsiteX6" fmla="*/ 0 w 31682"/>
              <a:gd name="connsiteY6" fmla="*/ 18616 h 37232"/>
              <a:gd name="connsiteX7" fmla="*/ 15841 w 31682"/>
              <a:gd name="connsiteY7" fmla="*/ 37233 h 37232"/>
              <a:gd name="connsiteX8" fmla="*/ 31682 w 31682"/>
              <a:gd name="connsiteY8" fmla="*/ 18616 h 37232"/>
              <a:gd name="connsiteX9" fmla="*/ 15841 w 31682"/>
              <a:gd name="connsiteY9" fmla="*/ 0 h 3723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31682" h="37232">
                <a:moveTo>
                  <a:pt x="15841" y="15683"/>
                </a:moveTo>
                <a:cubicBezTo>
                  <a:pt x="16683" y="16708"/>
                  <a:pt x="17580" y="17687"/>
                  <a:pt x="18528" y="18616"/>
                </a:cubicBezTo>
                <a:cubicBezTo>
                  <a:pt x="17580" y="19545"/>
                  <a:pt x="16683" y="20525"/>
                  <a:pt x="15841" y="21550"/>
                </a:cubicBezTo>
                <a:cubicBezTo>
                  <a:pt x="15000" y="20525"/>
                  <a:pt x="14103" y="19545"/>
                  <a:pt x="13154" y="18616"/>
                </a:cubicBezTo>
                <a:cubicBezTo>
                  <a:pt x="14103" y="17687"/>
                  <a:pt x="15000" y="16708"/>
                  <a:pt x="15841" y="15683"/>
                </a:cubicBezTo>
                <a:close/>
                <a:moveTo>
                  <a:pt x="15841" y="0"/>
                </a:moveTo>
                <a:cubicBezTo>
                  <a:pt x="13503" y="8177"/>
                  <a:pt x="7731" y="14960"/>
                  <a:pt x="0" y="18616"/>
                </a:cubicBezTo>
                <a:cubicBezTo>
                  <a:pt x="7731" y="22273"/>
                  <a:pt x="13503" y="29055"/>
                  <a:pt x="15841" y="37233"/>
                </a:cubicBezTo>
                <a:cubicBezTo>
                  <a:pt x="18180" y="29055"/>
                  <a:pt x="23951" y="22273"/>
                  <a:pt x="31682" y="18616"/>
                </a:cubicBezTo>
                <a:cubicBezTo>
                  <a:pt x="23951" y="14960"/>
                  <a:pt x="18179" y="8177"/>
                  <a:pt x="15841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11" name="Freeform: Shape 410">
            <a:extLst>
              <a:ext uri="{FF2B5EF4-FFF2-40B4-BE49-F238E27FC236}">
                <a16:creationId xmlns:a16="http://schemas.microsoft.com/office/drawing/2014/main" id="{3136EB6F-C60A-4155-B343-6A104ECE4761}"/>
              </a:ext>
            </a:extLst>
          </xdr:cNvPr>
          <xdr:cNvSpPr/>
        </xdr:nvSpPr>
        <xdr:spPr>
          <a:xfrm>
            <a:off x="13313584" y="9077968"/>
            <a:ext cx="31682" cy="37232"/>
          </a:xfrm>
          <a:custGeom>
            <a:avLst/>
            <a:gdLst>
              <a:gd name="connsiteX0" fmla="*/ 15840 w 31682"/>
              <a:gd name="connsiteY0" fmla="*/ 15682 h 37232"/>
              <a:gd name="connsiteX1" fmla="*/ 18527 w 31682"/>
              <a:gd name="connsiteY1" fmla="*/ 18616 h 37232"/>
              <a:gd name="connsiteX2" fmla="*/ 15840 w 31682"/>
              <a:gd name="connsiteY2" fmla="*/ 21550 h 37232"/>
              <a:gd name="connsiteX3" fmla="*/ 13153 w 31682"/>
              <a:gd name="connsiteY3" fmla="*/ 18616 h 37232"/>
              <a:gd name="connsiteX4" fmla="*/ 15840 w 31682"/>
              <a:gd name="connsiteY4" fmla="*/ 15682 h 37232"/>
              <a:gd name="connsiteX5" fmla="*/ 15840 w 31682"/>
              <a:gd name="connsiteY5" fmla="*/ 0 h 37232"/>
              <a:gd name="connsiteX6" fmla="*/ 0 w 31682"/>
              <a:gd name="connsiteY6" fmla="*/ 18616 h 37232"/>
              <a:gd name="connsiteX7" fmla="*/ 15841 w 31682"/>
              <a:gd name="connsiteY7" fmla="*/ 37232 h 37232"/>
              <a:gd name="connsiteX8" fmla="*/ 31682 w 31682"/>
              <a:gd name="connsiteY8" fmla="*/ 18616 h 37232"/>
              <a:gd name="connsiteX9" fmla="*/ 15840 w 31682"/>
              <a:gd name="connsiteY9" fmla="*/ 0 h 3723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31682" h="37232">
                <a:moveTo>
                  <a:pt x="15840" y="15682"/>
                </a:moveTo>
                <a:cubicBezTo>
                  <a:pt x="16681" y="16708"/>
                  <a:pt x="17578" y="17687"/>
                  <a:pt x="18527" y="18616"/>
                </a:cubicBezTo>
                <a:cubicBezTo>
                  <a:pt x="17578" y="19545"/>
                  <a:pt x="16681" y="20525"/>
                  <a:pt x="15840" y="21550"/>
                </a:cubicBezTo>
                <a:cubicBezTo>
                  <a:pt x="14998" y="20525"/>
                  <a:pt x="14101" y="19545"/>
                  <a:pt x="13153" y="18616"/>
                </a:cubicBezTo>
                <a:cubicBezTo>
                  <a:pt x="14101" y="17687"/>
                  <a:pt x="14998" y="16708"/>
                  <a:pt x="15840" y="15682"/>
                </a:cubicBezTo>
                <a:close/>
                <a:moveTo>
                  <a:pt x="15840" y="0"/>
                </a:moveTo>
                <a:cubicBezTo>
                  <a:pt x="13502" y="8177"/>
                  <a:pt x="7731" y="14959"/>
                  <a:pt x="0" y="18616"/>
                </a:cubicBezTo>
                <a:cubicBezTo>
                  <a:pt x="7731" y="22273"/>
                  <a:pt x="13503" y="29055"/>
                  <a:pt x="15841" y="37232"/>
                </a:cubicBezTo>
                <a:cubicBezTo>
                  <a:pt x="18180" y="29055"/>
                  <a:pt x="23951" y="22273"/>
                  <a:pt x="31682" y="18616"/>
                </a:cubicBezTo>
                <a:cubicBezTo>
                  <a:pt x="23950" y="14960"/>
                  <a:pt x="18178" y="8177"/>
                  <a:pt x="15840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153646</xdr:colOff>
      <xdr:row>13</xdr:row>
      <xdr:rowOff>107492</xdr:rowOff>
    </xdr:from>
    <xdr:to>
      <xdr:col>4</xdr:col>
      <xdr:colOff>425675</xdr:colOff>
      <xdr:row>13</xdr:row>
      <xdr:rowOff>422510</xdr:rowOff>
    </xdr:to>
    <xdr:grpSp>
      <xdr:nvGrpSpPr>
        <xdr:cNvPr id="412" name="dj" descr="Disk jockey male outline">
          <a:extLst>
            <a:ext uri="{FF2B5EF4-FFF2-40B4-BE49-F238E27FC236}">
              <a16:creationId xmlns:a16="http://schemas.microsoft.com/office/drawing/2014/main" id="{B282A9C7-74F3-423F-845C-1A671CDF75AA}"/>
            </a:ext>
          </a:extLst>
        </xdr:cNvPr>
        <xdr:cNvGrpSpPr>
          <a:grpSpLocks noChangeAspect="1"/>
        </xdr:cNvGrpSpPr>
      </xdr:nvGrpSpPr>
      <xdr:grpSpPr>
        <a:xfrm>
          <a:off x="3477871" y="6146342"/>
          <a:ext cx="272029" cy="315018"/>
          <a:chOff x="13677200" y="8987824"/>
          <a:chExt cx="272029" cy="315018"/>
        </a:xfrm>
        <a:solidFill>
          <a:srgbClr val="1F4E78"/>
        </a:solidFill>
      </xdr:grpSpPr>
      <xdr:sp macro="" textlink="">
        <xdr:nvSpPr>
          <xdr:cNvPr id="413" name="Freeform: Shape 412">
            <a:extLst>
              <a:ext uri="{FF2B5EF4-FFF2-40B4-BE49-F238E27FC236}">
                <a16:creationId xmlns:a16="http://schemas.microsoft.com/office/drawing/2014/main" id="{DD897D2E-56BF-467A-8803-1BFE31F4FB78}"/>
              </a:ext>
            </a:extLst>
          </xdr:cNvPr>
          <xdr:cNvSpPr/>
        </xdr:nvSpPr>
        <xdr:spPr>
          <a:xfrm>
            <a:off x="13745660" y="8987824"/>
            <a:ext cx="203569" cy="300036"/>
          </a:xfrm>
          <a:custGeom>
            <a:avLst/>
            <a:gdLst>
              <a:gd name="connsiteX0" fmla="*/ 141699 w 203569"/>
              <a:gd name="connsiteY0" fmla="*/ 175207 h 300036"/>
              <a:gd name="connsiteX1" fmla="*/ 186140 w 203569"/>
              <a:gd name="connsiteY1" fmla="*/ 197966 h 300036"/>
              <a:gd name="connsiteX2" fmla="*/ 196013 w 203569"/>
              <a:gd name="connsiteY2" fmla="*/ 217514 h 300036"/>
              <a:gd name="connsiteX3" fmla="*/ 196013 w 203569"/>
              <a:gd name="connsiteY3" fmla="*/ 277424 h 300036"/>
              <a:gd name="connsiteX4" fmla="*/ 54605 w 203569"/>
              <a:gd name="connsiteY4" fmla="*/ 291787 h 300036"/>
              <a:gd name="connsiteX5" fmla="*/ 48967 w 203569"/>
              <a:gd name="connsiteY5" fmla="*/ 298792 h 300036"/>
              <a:gd name="connsiteX6" fmla="*/ 87673 w 203569"/>
              <a:gd name="connsiteY6" fmla="*/ 300037 h 300036"/>
              <a:gd name="connsiteX7" fmla="*/ 202054 w 203569"/>
              <a:gd name="connsiteY7" fmla="*/ 282389 h 300036"/>
              <a:gd name="connsiteX8" fmla="*/ 203570 w 203569"/>
              <a:gd name="connsiteY8" fmla="*/ 281264 h 300036"/>
              <a:gd name="connsiteX9" fmla="*/ 203570 w 203569"/>
              <a:gd name="connsiteY9" fmla="*/ 217436 h 300036"/>
              <a:gd name="connsiteX10" fmla="*/ 190848 w 203569"/>
              <a:gd name="connsiteY10" fmla="*/ 192112 h 300036"/>
              <a:gd name="connsiteX11" fmla="*/ 143762 w 203569"/>
              <a:gd name="connsiteY11" fmla="*/ 167984 h 300036"/>
              <a:gd name="connsiteX12" fmla="*/ 125150 w 203569"/>
              <a:gd name="connsiteY12" fmla="*/ 160406 h 300036"/>
              <a:gd name="connsiteX13" fmla="*/ 120465 w 203569"/>
              <a:gd name="connsiteY13" fmla="*/ 153464 h 300036"/>
              <a:gd name="connsiteX14" fmla="*/ 120465 w 203569"/>
              <a:gd name="connsiteY14" fmla="*/ 142413 h 300036"/>
              <a:gd name="connsiteX15" fmla="*/ 138389 w 203569"/>
              <a:gd name="connsiteY15" fmla="*/ 120014 h 300036"/>
              <a:gd name="connsiteX16" fmla="*/ 150692 w 203569"/>
              <a:gd name="connsiteY16" fmla="*/ 120014 h 300036"/>
              <a:gd name="connsiteX17" fmla="*/ 169583 w 203569"/>
              <a:gd name="connsiteY17" fmla="*/ 101264 h 300036"/>
              <a:gd name="connsiteX18" fmla="*/ 169583 w 203569"/>
              <a:gd name="connsiteY18" fmla="*/ 78764 h 300036"/>
              <a:gd name="connsiteX19" fmla="*/ 150692 w 203569"/>
              <a:gd name="connsiteY19" fmla="*/ 60014 h 300036"/>
              <a:gd name="connsiteX20" fmla="*/ 150495 w 203569"/>
              <a:gd name="connsiteY20" fmla="*/ 60014 h 300036"/>
              <a:gd name="connsiteX21" fmla="*/ 82770 w 203569"/>
              <a:gd name="connsiteY21" fmla="*/ 107 h 300036"/>
              <a:gd name="connsiteX22" fmla="*/ 22409 w 203569"/>
              <a:gd name="connsiteY22" fmla="*/ 60014 h 300036"/>
              <a:gd name="connsiteX23" fmla="*/ 22224 w 203569"/>
              <a:gd name="connsiteY23" fmla="*/ 60014 h 300036"/>
              <a:gd name="connsiteX24" fmla="*/ 3332 w 203569"/>
              <a:gd name="connsiteY24" fmla="*/ 78764 h 300036"/>
              <a:gd name="connsiteX25" fmla="*/ 3332 w 203569"/>
              <a:gd name="connsiteY25" fmla="*/ 101264 h 300036"/>
              <a:gd name="connsiteX26" fmla="*/ 22224 w 203569"/>
              <a:gd name="connsiteY26" fmla="*/ 120014 h 300036"/>
              <a:gd name="connsiteX27" fmla="*/ 34564 w 203569"/>
              <a:gd name="connsiteY27" fmla="*/ 120014 h 300036"/>
              <a:gd name="connsiteX28" fmla="*/ 52436 w 203569"/>
              <a:gd name="connsiteY28" fmla="*/ 142387 h 300036"/>
              <a:gd name="connsiteX29" fmla="*/ 52436 w 203569"/>
              <a:gd name="connsiteY29" fmla="*/ 153464 h 300036"/>
              <a:gd name="connsiteX30" fmla="*/ 47747 w 203569"/>
              <a:gd name="connsiteY30" fmla="*/ 160406 h 300036"/>
              <a:gd name="connsiteX31" fmla="*/ 29093 w 203569"/>
              <a:gd name="connsiteY31" fmla="*/ 168014 h 300036"/>
              <a:gd name="connsiteX32" fmla="*/ 0 w 203569"/>
              <a:gd name="connsiteY32" fmla="*/ 180408 h 300036"/>
              <a:gd name="connsiteX33" fmla="*/ 13066 w 203569"/>
              <a:gd name="connsiteY33" fmla="*/ 182396 h 300036"/>
              <a:gd name="connsiteX34" fmla="*/ 39034 w 203569"/>
              <a:gd name="connsiteY34" fmla="*/ 172496 h 300036"/>
              <a:gd name="connsiteX35" fmla="*/ 133871 w 203569"/>
              <a:gd name="connsiteY35" fmla="*/ 172496 h 300036"/>
              <a:gd name="connsiteX36" fmla="*/ 37356 w 203569"/>
              <a:gd name="connsiteY36" fmla="*/ 97514 h 300036"/>
              <a:gd name="connsiteX37" fmla="*/ 37356 w 203569"/>
              <a:gd name="connsiteY37" fmla="*/ 78764 h 300036"/>
              <a:gd name="connsiteX38" fmla="*/ 87274 w 203569"/>
              <a:gd name="connsiteY38" fmla="*/ 30820 h 300036"/>
              <a:gd name="connsiteX39" fmla="*/ 135559 w 203569"/>
              <a:gd name="connsiteY39" fmla="*/ 77936 h 300036"/>
              <a:gd name="connsiteX40" fmla="*/ 119838 w 203569"/>
              <a:gd name="connsiteY40" fmla="*/ 57937 h 300036"/>
              <a:gd name="connsiteX41" fmla="*/ 114598 w 203569"/>
              <a:gd name="connsiteY41" fmla="*/ 56896 h 300036"/>
              <a:gd name="connsiteX42" fmla="*/ 113713 w 203569"/>
              <a:gd name="connsiteY42" fmla="*/ 57712 h 300036"/>
              <a:gd name="connsiteX43" fmla="*/ 39374 w 203569"/>
              <a:gd name="connsiteY43" fmla="*/ 111228 h 300036"/>
              <a:gd name="connsiteX44" fmla="*/ 37356 w 203569"/>
              <a:gd name="connsiteY44" fmla="*/ 97514 h 300036"/>
              <a:gd name="connsiteX45" fmla="*/ 162042 w 203569"/>
              <a:gd name="connsiteY45" fmla="*/ 78764 h 300036"/>
              <a:gd name="connsiteX46" fmla="*/ 162042 w 203569"/>
              <a:gd name="connsiteY46" fmla="*/ 101264 h 300036"/>
              <a:gd name="connsiteX47" fmla="*/ 150707 w 203569"/>
              <a:gd name="connsiteY47" fmla="*/ 112514 h 300036"/>
              <a:gd name="connsiteX48" fmla="*/ 143150 w 203569"/>
              <a:gd name="connsiteY48" fmla="*/ 112514 h 300036"/>
              <a:gd name="connsiteX49" fmla="*/ 143150 w 203569"/>
              <a:gd name="connsiteY49" fmla="*/ 97889 h 300036"/>
              <a:gd name="connsiteX50" fmla="*/ 143150 w 203569"/>
              <a:gd name="connsiteY50" fmla="*/ 97514 h 300036"/>
              <a:gd name="connsiteX51" fmla="*/ 143150 w 203569"/>
              <a:gd name="connsiteY51" fmla="*/ 78764 h 300036"/>
              <a:gd name="connsiteX52" fmla="*/ 143150 w 203569"/>
              <a:gd name="connsiteY52" fmla="*/ 78389 h 300036"/>
              <a:gd name="connsiteX53" fmla="*/ 143150 w 203569"/>
              <a:gd name="connsiteY53" fmla="*/ 67514 h 300036"/>
              <a:gd name="connsiteX54" fmla="*/ 150707 w 203569"/>
              <a:gd name="connsiteY54" fmla="*/ 67514 h 300036"/>
              <a:gd name="connsiteX55" fmla="*/ 162027 w 203569"/>
              <a:gd name="connsiteY55" fmla="*/ 78764 h 300036"/>
              <a:gd name="connsiteX56" fmla="*/ 86441 w 203569"/>
              <a:gd name="connsiteY56" fmla="*/ 7514 h 300036"/>
              <a:gd name="connsiteX57" fmla="*/ 142939 w 203569"/>
              <a:gd name="connsiteY57" fmla="*/ 60014 h 300036"/>
              <a:gd name="connsiteX58" fmla="*/ 139844 w 203569"/>
              <a:gd name="connsiteY58" fmla="*/ 60014 h 300036"/>
              <a:gd name="connsiteX59" fmla="*/ 67672 w 203569"/>
              <a:gd name="connsiteY59" fmla="*/ 25707 h 300036"/>
              <a:gd name="connsiteX60" fmla="*/ 33106 w 203569"/>
              <a:gd name="connsiteY60" fmla="*/ 60014 h 300036"/>
              <a:gd name="connsiteX61" fmla="*/ 29970 w 203569"/>
              <a:gd name="connsiteY61" fmla="*/ 60014 h 300036"/>
              <a:gd name="connsiteX62" fmla="*/ 86441 w 203569"/>
              <a:gd name="connsiteY62" fmla="*/ 7514 h 300036"/>
              <a:gd name="connsiteX63" fmla="*/ 29766 w 203569"/>
              <a:gd name="connsiteY63" fmla="*/ 112514 h 300036"/>
              <a:gd name="connsiteX64" fmla="*/ 22209 w 203569"/>
              <a:gd name="connsiteY64" fmla="*/ 112514 h 300036"/>
              <a:gd name="connsiteX65" fmla="*/ 10874 w 203569"/>
              <a:gd name="connsiteY65" fmla="*/ 101264 h 300036"/>
              <a:gd name="connsiteX66" fmla="*/ 10874 w 203569"/>
              <a:gd name="connsiteY66" fmla="*/ 78764 h 300036"/>
              <a:gd name="connsiteX67" fmla="*/ 22209 w 203569"/>
              <a:gd name="connsiteY67" fmla="*/ 67514 h 300036"/>
              <a:gd name="connsiteX68" fmla="*/ 29766 w 203569"/>
              <a:gd name="connsiteY68" fmla="*/ 67514 h 300036"/>
              <a:gd name="connsiteX69" fmla="*/ 86441 w 203569"/>
              <a:gd name="connsiteY69" fmla="*/ 146264 h 300036"/>
              <a:gd name="connsiteX70" fmla="*/ 59993 w 203569"/>
              <a:gd name="connsiteY70" fmla="*/ 138509 h 300036"/>
              <a:gd name="connsiteX71" fmla="*/ 42091 w 203569"/>
              <a:gd name="connsiteY71" fmla="*/ 118259 h 300036"/>
              <a:gd name="connsiteX72" fmla="*/ 116437 w 203569"/>
              <a:gd name="connsiteY72" fmla="*/ 66243 h 300036"/>
              <a:gd name="connsiteX73" fmla="*/ 135578 w 203569"/>
              <a:gd name="connsiteY73" fmla="*/ 88207 h 300036"/>
              <a:gd name="connsiteX74" fmla="*/ 135578 w 203569"/>
              <a:gd name="connsiteY74" fmla="*/ 97889 h 300036"/>
              <a:gd name="connsiteX75" fmla="*/ 86460 w 203569"/>
              <a:gd name="connsiteY75" fmla="*/ 146264 h 300036"/>
              <a:gd name="connsiteX76" fmla="*/ 86441 w 203569"/>
              <a:gd name="connsiteY76" fmla="*/ 180014 h 300036"/>
              <a:gd name="connsiteX77" fmla="*/ 47067 w 203569"/>
              <a:gd name="connsiteY77" fmla="*/ 168764 h 300036"/>
              <a:gd name="connsiteX78" fmla="*/ 50588 w 203569"/>
              <a:gd name="connsiteY78" fmla="*/ 167332 h 300036"/>
              <a:gd name="connsiteX79" fmla="*/ 59993 w 203569"/>
              <a:gd name="connsiteY79" fmla="*/ 153464 h 300036"/>
              <a:gd name="connsiteX80" fmla="*/ 59993 w 203569"/>
              <a:gd name="connsiteY80" fmla="*/ 147213 h 300036"/>
              <a:gd name="connsiteX81" fmla="*/ 112912 w 203569"/>
              <a:gd name="connsiteY81" fmla="*/ 147213 h 300036"/>
              <a:gd name="connsiteX82" fmla="*/ 112912 w 203569"/>
              <a:gd name="connsiteY82" fmla="*/ 153464 h 300036"/>
              <a:gd name="connsiteX83" fmla="*/ 122282 w 203569"/>
              <a:gd name="connsiteY83" fmla="*/ 167339 h 300036"/>
              <a:gd name="connsiteX84" fmla="*/ 125819 w 203569"/>
              <a:gd name="connsiteY84" fmla="*/ 168779 h 300036"/>
              <a:gd name="connsiteX85" fmla="*/ 86475 w 203569"/>
              <a:gd name="connsiteY85" fmla="*/ 180014 h 30003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</a:cxnLst>
            <a:rect l="l" t="t" r="r" b="b"/>
            <a:pathLst>
              <a:path w="203569" h="300036">
                <a:moveTo>
                  <a:pt x="141699" y="175207"/>
                </a:moveTo>
                <a:cubicBezTo>
                  <a:pt x="157984" y="181008"/>
                  <a:pt x="173388" y="187616"/>
                  <a:pt x="186140" y="197966"/>
                </a:cubicBezTo>
                <a:cubicBezTo>
                  <a:pt x="192222" y="202680"/>
                  <a:pt x="195847" y="209857"/>
                  <a:pt x="196013" y="217514"/>
                </a:cubicBezTo>
                <a:lnTo>
                  <a:pt x="196013" y="277424"/>
                </a:lnTo>
                <a:cubicBezTo>
                  <a:pt x="175923" y="290111"/>
                  <a:pt x="110173" y="294884"/>
                  <a:pt x="54605" y="291787"/>
                </a:cubicBezTo>
                <a:cubicBezTo>
                  <a:pt x="52876" y="294238"/>
                  <a:pt x="50994" y="296577"/>
                  <a:pt x="48967" y="298792"/>
                </a:cubicBezTo>
                <a:cubicBezTo>
                  <a:pt x="61500" y="299613"/>
                  <a:pt x="74592" y="300037"/>
                  <a:pt x="87673" y="300037"/>
                </a:cubicBezTo>
                <a:cubicBezTo>
                  <a:pt x="137169" y="300037"/>
                  <a:pt x="186265" y="294149"/>
                  <a:pt x="202054" y="282389"/>
                </a:cubicBezTo>
                <a:lnTo>
                  <a:pt x="203570" y="281264"/>
                </a:lnTo>
                <a:lnTo>
                  <a:pt x="203570" y="217436"/>
                </a:lnTo>
                <a:cubicBezTo>
                  <a:pt x="203381" y="207525"/>
                  <a:pt x="198709" y="198226"/>
                  <a:pt x="190848" y="192112"/>
                </a:cubicBezTo>
                <a:cubicBezTo>
                  <a:pt x="177151" y="180989"/>
                  <a:pt x="160878" y="174059"/>
                  <a:pt x="143762" y="167984"/>
                </a:cubicBezTo>
                <a:lnTo>
                  <a:pt x="125150" y="160406"/>
                </a:lnTo>
                <a:cubicBezTo>
                  <a:pt x="122314" y="159249"/>
                  <a:pt x="120463" y="156507"/>
                  <a:pt x="120465" y="153464"/>
                </a:cubicBezTo>
                <a:lnTo>
                  <a:pt x="120465" y="142413"/>
                </a:lnTo>
                <a:cubicBezTo>
                  <a:pt x="128277" y="136596"/>
                  <a:pt x="134449" y="128883"/>
                  <a:pt x="138389" y="120014"/>
                </a:cubicBezTo>
                <a:lnTo>
                  <a:pt x="150692" y="120014"/>
                </a:lnTo>
                <a:cubicBezTo>
                  <a:pt x="161120" y="120002"/>
                  <a:pt x="169571" y="111615"/>
                  <a:pt x="169583" y="101264"/>
                </a:cubicBezTo>
                <a:lnTo>
                  <a:pt x="169583" y="78764"/>
                </a:lnTo>
                <a:cubicBezTo>
                  <a:pt x="169571" y="68414"/>
                  <a:pt x="161120" y="60027"/>
                  <a:pt x="150692" y="60014"/>
                </a:cubicBezTo>
                <a:lnTo>
                  <a:pt x="150495" y="60014"/>
                </a:lnTo>
                <a:cubicBezTo>
                  <a:pt x="148461" y="24910"/>
                  <a:pt x="118140" y="-1912"/>
                  <a:pt x="82770" y="107"/>
                </a:cubicBezTo>
                <a:cubicBezTo>
                  <a:pt x="50240" y="1963"/>
                  <a:pt x="24280" y="27729"/>
                  <a:pt x="22409" y="60014"/>
                </a:cubicBezTo>
                <a:lnTo>
                  <a:pt x="22224" y="60014"/>
                </a:lnTo>
                <a:cubicBezTo>
                  <a:pt x="11796" y="60027"/>
                  <a:pt x="3345" y="68414"/>
                  <a:pt x="3332" y="78764"/>
                </a:cubicBezTo>
                <a:lnTo>
                  <a:pt x="3332" y="101264"/>
                </a:lnTo>
                <a:cubicBezTo>
                  <a:pt x="3345" y="111615"/>
                  <a:pt x="11796" y="120002"/>
                  <a:pt x="22224" y="120014"/>
                </a:cubicBezTo>
                <a:lnTo>
                  <a:pt x="34564" y="120014"/>
                </a:lnTo>
                <a:cubicBezTo>
                  <a:pt x="38494" y="128867"/>
                  <a:pt x="44648" y="136571"/>
                  <a:pt x="52436" y="142387"/>
                </a:cubicBezTo>
                <a:lnTo>
                  <a:pt x="52436" y="153464"/>
                </a:lnTo>
                <a:cubicBezTo>
                  <a:pt x="52443" y="156510"/>
                  <a:pt x="50588" y="159255"/>
                  <a:pt x="47747" y="160406"/>
                </a:cubicBezTo>
                <a:lnTo>
                  <a:pt x="29093" y="168014"/>
                </a:lnTo>
                <a:cubicBezTo>
                  <a:pt x="19101" y="171428"/>
                  <a:pt x="9376" y="175570"/>
                  <a:pt x="0" y="180408"/>
                </a:cubicBezTo>
                <a:cubicBezTo>
                  <a:pt x="4408" y="180668"/>
                  <a:pt x="8782" y="181333"/>
                  <a:pt x="13066" y="182396"/>
                </a:cubicBezTo>
                <a:cubicBezTo>
                  <a:pt x="21378" y="178694"/>
                  <a:pt x="30098" y="175533"/>
                  <a:pt x="39034" y="172496"/>
                </a:cubicBezTo>
                <a:cubicBezTo>
                  <a:pt x="67425" y="192527"/>
                  <a:pt x="105480" y="192527"/>
                  <a:pt x="133871" y="172496"/>
                </a:cubicBezTo>
                <a:close/>
                <a:moveTo>
                  <a:pt x="37356" y="97514"/>
                </a:moveTo>
                <a:lnTo>
                  <a:pt x="37356" y="78764"/>
                </a:lnTo>
                <a:cubicBezTo>
                  <a:pt x="37801" y="51844"/>
                  <a:pt x="60150" y="30379"/>
                  <a:pt x="87274" y="30820"/>
                </a:cubicBezTo>
                <a:cubicBezTo>
                  <a:pt x="113447" y="31246"/>
                  <a:pt x="134685" y="51969"/>
                  <a:pt x="135559" y="77936"/>
                </a:cubicBezTo>
                <a:cubicBezTo>
                  <a:pt x="129859" y="71639"/>
                  <a:pt x="124606" y="64956"/>
                  <a:pt x="119838" y="57937"/>
                </a:cubicBezTo>
                <a:cubicBezTo>
                  <a:pt x="118680" y="56213"/>
                  <a:pt x="116335" y="55748"/>
                  <a:pt x="114598" y="56896"/>
                </a:cubicBezTo>
                <a:cubicBezTo>
                  <a:pt x="114261" y="57119"/>
                  <a:pt x="113962" y="57395"/>
                  <a:pt x="113713" y="57712"/>
                </a:cubicBezTo>
                <a:cubicBezTo>
                  <a:pt x="92052" y="85349"/>
                  <a:pt x="51499" y="105588"/>
                  <a:pt x="39374" y="111228"/>
                </a:cubicBezTo>
                <a:cubicBezTo>
                  <a:pt x="38045" y="106776"/>
                  <a:pt x="37365" y="102158"/>
                  <a:pt x="37356" y="97514"/>
                </a:cubicBezTo>
                <a:close/>
                <a:moveTo>
                  <a:pt x="162042" y="78764"/>
                </a:moveTo>
                <a:lnTo>
                  <a:pt x="162042" y="101264"/>
                </a:lnTo>
                <a:cubicBezTo>
                  <a:pt x="162042" y="107478"/>
                  <a:pt x="156967" y="112514"/>
                  <a:pt x="150707" y="112514"/>
                </a:cubicBezTo>
                <a:lnTo>
                  <a:pt x="143150" y="112514"/>
                </a:lnTo>
                <a:lnTo>
                  <a:pt x="143150" y="97889"/>
                </a:lnTo>
                <a:cubicBezTo>
                  <a:pt x="143150" y="97769"/>
                  <a:pt x="143150" y="97649"/>
                  <a:pt x="143150" y="97514"/>
                </a:cubicBezTo>
                <a:lnTo>
                  <a:pt x="143150" y="78764"/>
                </a:lnTo>
                <a:cubicBezTo>
                  <a:pt x="143150" y="78644"/>
                  <a:pt x="143150" y="78524"/>
                  <a:pt x="143150" y="78389"/>
                </a:cubicBezTo>
                <a:lnTo>
                  <a:pt x="143150" y="67514"/>
                </a:lnTo>
                <a:lnTo>
                  <a:pt x="150707" y="67514"/>
                </a:lnTo>
                <a:cubicBezTo>
                  <a:pt x="156961" y="67523"/>
                  <a:pt x="162027" y="72557"/>
                  <a:pt x="162027" y="78764"/>
                </a:cubicBezTo>
                <a:close/>
                <a:moveTo>
                  <a:pt x="86441" y="7514"/>
                </a:moveTo>
                <a:cubicBezTo>
                  <a:pt x="116250" y="7554"/>
                  <a:pt x="140938" y="30495"/>
                  <a:pt x="142939" y="60014"/>
                </a:cubicBezTo>
                <a:lnTo>
                  <a:pt x="139844" y="60014"/>
                </a:lnTo>
                <a:cubicBezTo>
                  <a:pt x="129460" y="30761"/>
                  <a:pt x="97147" y="15401"/>
                  <a:pt x="67672" y="25707"/>
                </a:cubicBezTo>
                <a:cubicBezTo>
                  <a:pt x="51511" y="31358"/>
                  <a:pt x="38800" y="43974"/>
                  <a:pt x="33106" y="60014"/>
                </a:cubicBezTo>
                <a:lnTo>
                  <a:pt x="29970" y="60014"/>
                </a:lnTo>
                <a:cubicBezTo>
                  <a:pt x="31971" y="30506"/>
                  <a:pt x="56643" y="7570"/>
                  <a:pt x="86441" y="7514"/>
                </a:cubicBezTo>
                <a:close/>
                <a:moveTo>
                  <a:pt x="29766" y="112514"/>
                </a:moveTo>
                <a:lnTo>
                  <a:pt x="22209" y="112514"/>
                </a:lnTo>
                <a:cubicBezTo>
                  <a:pt x="15949" y="112514"/>
                  <a:pt x="10874" y="107478"/>
                  <a:pt x="10874" y="101264"/>
                </a:cubicBezTo>
                <a:lnTo>
                  <a:pt x="10874" y="78764"/>
                </a:lnTo>
                <a:cubicBezTo>
                  <a:pt x="10874" y="72551"/>
                  <a:pt x="15949" y="67514"/>
                  <a:pt x="22209" y="67514"/>
                </a:cubicBezTo>
                <a:lnTo>
                  <a:pt x="29766" y="67514"/>
                </a:lnTo>
                <a:close/>
                <a:moveTo>
                  <a:pt x="86441" y="146264"/>
                </a:moveTo>
                <a:cubicBezTo>
                  <a:pt x="77057" y="146256"/>
                  <a:pt x="67875" y="143564"/>
                  <a:pt x="59993" y="138509"/>
                </a:cubicBezTo>
                <a:cubicBezTo>
                  <a:pt x="52238" y="133550"/>
                  <a:pt x="46037" y="126535"/>
                  <a:pt x="42091" y="118259"/>
                </a:cubicBezTo>
                <a:cubicBezTo>
                  <a:pt x="53637" y="112976"/>
                  <a:pt x="92702" y="93809"/>
                  <a:pt x="116437" y="66243"/>
                </a:cubicBezTo>
                <a:cubicBezTo>
                  <a:pt x="121952" y="74266"/>
                  <a:pt x="128374" y="81635"/>
                  <a:pt x="135578" y="88207"/>
                </a:cubicBezTo>
                <a:lnTo>
                  <a:pt x="135578" y="97889"/>
                </a:lnTo>
                <a:cubicBezTo>
                  <a:pt x="135306" y="124639"/>
                  <a:pt x="113413" y="146200"/>
                  <a:pt x="86460" y="146264"/>
                </a:cubicBezTo>
                <a:close/>
                <a:moveTo>
                  <a:pt x="86441" y="180014"/>
                </a:moveTo>
                <a:cubicBezTo>
                  <a:pt x="72533" y="179867"/>
                  <a:pt x="58925" y="175979"/>
                  <a:pt x="47067" y="168764"/>
                </a:cubicBezTo>
                <a:lnTo>
                  <a:pt x="50588" y="167332"/>
                </a:lnTo>
                <a:cubicBezTo>
                  <a:pt x="56277" y="165043"/>
                  <a:pt x="59997" y="159557"/>
                  <a:pt x="59993" y="153464"/>
                </a:cubicBezTo>
                <a:lnTo>
                  <a:pt x="59993" y="147213"/>
                </a:lnTo>
                <a:cubicBezTo>
                  <a:pt x="76537" y="155938"/>
                  <a:pt x="96367" y="155938"/>
                  <a:pt x="112912" y="147213"/>
                </a:cubicBezTo>
                <a:lnTo>
                  <a:pt x="112912" y="153464"/>
                </a:lnTo>
                <a:cubicBezTo>
                  <a:pt x="112898" y="159551"/>
                  <a:pt x="116604" y="165039"/>
                  <a:pt x="122282" y="167339"/>
                </a:cubicBezTo>
                <a:lnTo>
                  <a:pt x="125819" y="168779"/>
                </a:lnTo>
                <a:cubicBezTo>
                  <a:pt x="113968" y="175983"/>
                  <a:pt x="100371" y="179866"/>
                  <a:pt x="86475" y="18001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14" name="Freeform: Shape 413">
            <a:extLst>
              <a:ext uri="{FF2B5EF4-FFF2-40B4-BE49-F238E27FC236}">
                <a16:creationId xmlns:a16="http://schemas.microsoft.com/office/drawing/2014/main" id="{17D0C856-9436-4C70-A783-3F210FB0799B}"/>
              </a:ext>
            </a:extLst>
          </xdr:cNvPr>
          <xdr:cNvSpPr/>
        </xdr:nvSpPr>
        <xdr:spPr>
          <a:xfrm>
            <a:off x="13677200" y="9175507"/>
            <a:ext cx="128297" cy="127335"/>
          </a:xfrm>
          <a:custGeom>
            <a:avLst/>
            <a:gdLst>
              <a:gd name="connsiteX0" fmla="*/ 64149 w 128297"/>
              <a:gd name="connsiteY0" fmla="*/ 0 h 127335"/>
              <a:gd name="connsiteX1" fmla="*/ 0 w 128297"/>
              <a:gd name="connsiteY1" fmla="*/ 63668 h 127335"/>
              <a:gd name="connsiteX2" fmla="*/ 64149 w 128297"/>
              <a:gd name="connsiteY2" fmla="*/ 127335 h 127335"/>
              <a:gd name="connsiteX3" fmla="*/ 128297 w 128297"/>
              <a:gd name="connsiteY3" fmla="*/ 63668 h 127335"/>
              <a:gd name="connsiteX4" fmla="*/ 128297 w 128297"/>
              <a:gd name="connsiteY4" fmla="*/ 63664 h 127335"/>
              <a:gd name="connsiteX5" fmla="*/ 64149 w 128297"/>
              <a:gd name="connsiteY5" fmla="*/ 0 h 127335"/>
              <a:gd name="connsiteX6" fmla="*/ 64149 w 128297"/>
              <a:gd name="connsiteY6" fmla="*/ 119831 h 127335"/>
              <a:gd name="connsiteX7" fmla="*/ 7557 w 128297"/>
              <a:gd name="connsiteY7" fmla="*/ 63664 h 127335"/>
              <a:gd name="connsiteX8" fmla="*/ 64149 w 128297"/>
              <a:gd name="connsiteY8" fmla="*/ 7496 h 127335"/>
              <a:gd name="connsiteX9" fmla="*/ 120741 w 128297"/>
              <a:gd name="connsiteY9" fmla="*/ 63664 h 127335"/>
              <a:gd name="connsiteX10" fmla="*/ 64149 w 128297"/>
              <a:gd name="connsiteY10" fmla="*/ 119831 h 12733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128297" h="127335">
                <a:moveTo>
                  <a:pt x="64149" y="0"/>
                </a:moveTo>
                <a:cubicBezTo>
                  <a:pt x="28720" y="0"/>
                  <a:pt x="0" y="28505"/>
                  <a:pt x="0" y="63668"/>
                </a:cubicBezTo>
                <a:cubicBezTo>
                  <a:pt x="0" y="98830"/>
                  <a:pt x="28720" y="127335"/>
                  <a:pt x="64149" y="127335"/>
                </a:cubicBezTo>
                <a:cubicBezTo>
                  <a:pt x="99577" y="127335"/>
                  <a:pt x="128297" y="98830"/>
                  <a:pt x="128297" y="63668"/>
                </a:cubicBezTo>
                <a:cubicBezTo>
                  <a:pt x="128297" y="63666"/>
                  <a:pt x="128297" y="63665"/>
                  <a:pt x="128297" y="63664"/>
                </a:cubicBezTo>
                <a:cubicBezTo>
                  <a:pt x="128249" y="28521"/>
                  <a:pt x="99557" y="45"/>
                  <a:pt x="64149" y="0"/>
                </a:cubicBezTo>
                <a:close/>
                <a:moveTo>
                  <a:pt x="64149" y="119831"/>
                </a:moveTo>
                <a:cubicBezTo>
                  <a:pt x="32894" y="119831"/>
                  <a:pt x="7557" y="94684"/>
                  <a:pt x="7557" y="63664"/>
                </a:cubicBezTo>
                <a:cubicBezTo>
                  <a:pt x="7557" y="32643"/>
                  <a:pt x="32894" y="7496"/>
                  <a:pt x="64149" y="7496"/>
                </a:cubicBezTo>
                <a:cubicBezTo>
                  <a:pt x="95404" y="7496"/>
                  <a:pt x="120741" y="32643"/>
                  <a:pt x="120741" y="63664"/>
                </a:cubicBezTo>
                <a:cubicBezTo>
                  <a:pt x="120705" y="94670"/>
                  <a:pt x="95389" y="119796"/>
                  <a:pt x="64149" y="11983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15" name="Freeform: Shape 414">
            <a:extLst>
              <a:ext uri="{FF2B5EF4-FFF2-40B4-BE49-F238E27FC236}">
                <a16:creationId xmlns:a16="http://schemas.microsoft.com/office/drawing/2014/main" id="{8B2A9A92-203E-4CD6-8B9F-6C9314C21E54}"/>
              </a:ext>
            </a:extLst>
          </xdr:cNvPr>
          <xdr:cNvSpPr/>
        </xdr:nvSpPr>
        <xdr:spPr>
          <a:xfrm>
            <a:off x="13692302" y="9190507"/>
            <a:ext cx="49046" cy="48663"/>
          </a:xfrm>
          <a:custGeom>
            <a:avLst/>
            <a:gdLst>
              <a:gd name="connsiteX0" fmla="*/ 49047 w 49046"/>
              <a:gd name="connsiteY0" fmla="*/ 7500 h 48663"/>
              <a:gd name="connsiteX1" fmla="*/ 49047 w 49046"/>
              <a:gd name="connsiteY1" fmla="*/ 0 h 48663"/>
              <a:gd name="connsiteX2" fmla="*/ 0 w 49046"/>
              <a:gd name="connsiteY2" fmla="*/ 48664 h 48663"/>
              <a:gd name="connsiteX3" fmla="*/ 7557 w 49046"/>
              <a:gd name="connsiteY3" fmla="*/ 48664 h 48663"/>
              <a:gd name="connsiteX4" fmla="*/ 49047 w 49046"/>
              <a:gd name="connsiteY4" fmla="*/ 7500 h 4866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49046" h="48663">
                <a:moveTo>
                  <a:pt x="49047" y="7500"/>
                </a:moveTo>
                <a:lnTo>
                  <a:pt x="49047" y="0"/>
                </a:lnTo>
                <a:cubicBezTo>
                  <a:pt x="21974" y="23"/>
                  <a:pt x="31" y="21795"/>
                  <a:pt x="0" y="48664"/>
                </a:cubicBezTo>
                <a:lnTo>
                  <a:pt x="7557" y="48664"/>
                </a:lnTo>
                <a:cubicBezTo>
                  <a:pt x="7584" y="25935"/>
                  <a:pt x="26146" y="7519"/>
                  <a:pt x="49047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16" name="Freeform: Shape 415">
            <a:extLst>
              <a:ext uri="{FF2B5EF4-FFF2-40B4-BE49-F238E27FC236}">
                <a16:creationId xmlns:a16="http://schemas.microsoft.com/office/drawing/2014/main" id="{1D15663D-8C31-49D0-85A2-2C75E381602D}"/>
              </a:ext>
            </a:extLst>
          </xdr:cNvPr>
          <xdr:cNvSpPr/>
        </xdr:nvSpPr>
        <xdr:spPr>
          <a:xfrm>
            <a:off x="13741349" y="9239171"/>
            <a:ext cx="49035" cy="48667"/>
          </a:xfrm>
          <a:custGeom>
            <a:avLst/>
            <a:gdLst>
              <a:gd name="connsiteX0" fmla="*/ 41479 w 49035"/>
              <a:gd name="connsiteY0" fmla="*/ 0 h 48667"/>
              <a:gd name="connsiteX1" fmla="*/ 0 w 49035"/>
              <a:gd name="connsiteY1" fmla="*/ 41167 h 48667"/>
              <a:gd name="connsiteX2" fmla="*/ 0 w 49035"/>
              <a:gd name="connsiteY2" fmla="*/ 48667 h 48667"/>
              <a:gd name="connsiteX3" fmla="*/ 49035 w 49035"/>
              <a:gd name="connsiteY3" fmla="*/ 0 h 4866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9035" h="48667">
                <a:moveTo>
                  <a:pt x="41479" y="0"/>
                </a:moveTo>
                <a:cubicBezTo>
                  <a:pt x="41454" y="22726"/>
                  <a:pt x="22898" y="41143"/>
                  <a:pt x="0" y="41167"/>
                </a:cubicBezTo>
                <a:lnTo>
                  <a:pt x="0" y="48667"/>
                </a:lnTo>
                <a:cubicBezTo>
                  <a:pt x="27070" y="48639"/>
                  <a:pt x="49006" y="26866"/>
                  <a:pt x="49035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17" name="Freeform: Shape 416">
            <a:extLst>
              <a:ext uri="{FF2B5EF4-FFF2-40B4-BE49-F238E27FC236}">
                <a16:creationId xmlns:a16="http://schemas.microsoft.com/office/drawing/2014/main" id="{4418B7E1-2D64-4879-A654-DF7516C745AA}"/>
              </a:ext>
            </a:extLst>
          </xdr:cNvPr>
          <xdr:cNvSpPr/>
        </xdr:nvSpPr>
        <xdr:spPr>
          <a:xfrm>
            <a:off x="13707416" y="9205507"/>
            <a:ext cx="33933" cy="33663"/>
          </a:xfrm>
          <a:custGeom>
            <a:avLst/>
            <a:gdLst>
              <a:gd name="connsiteX0" fmla="*/ 33933 w 33933"/>
              <a:gd name="connsiteY0" fmla="*/ 7500 h 33663"/>
              <a:gd name="connsiteX1" fmla="*/ 33933 w 33933"/>
              <a:gd name="connsiteY1" fmla="*/ 0 h 33663"/>
              <a:gd name="connsiteX2" fmla="*/ 0 w 33933"/>
              <a:gd name="connsiteY2" fmla="*/ 33664 h 33663"/>
              <a:gd name="connsiteX3" fmla="*/ 7557 w 33933"/>
              <a:gd name="connsiteY3" fmla="*/ 33664 h 33663"/>
              <a:gd name="connsiteX4" fmla="*/ 33933 w 33933"/>
              <a:gd name="connsiteY4" fmla="*/ 7500 h 3366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3933" h="33663">
                <a:moveTo>
                  <a:pt x="33933" y="7500"/>
                </a:moveTo>
                <a:lnTo>
                  <a:pt x="33933" y="0"/>
                </a:lnTo>
                <a:cubicBezTo>
                  <a:pt x="15204" y="12"/>
                  <a:pt x="21" y="15075"/>
                  <a:pt x="0" y="33664"/>
                </a:cubicBezTo>
                <a:lnTo>
                  <a:pt x="7557" y="33664"/>
                </a:lnTo>
                <a:cubicBezTo>
                  <a:pt x="7573" y="19215"/>
                  <a:pt x="19375" y="7508"/>
                  <a:pt x="3393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18" name="Freeform: Shape 417">
            <a:extLst>
              <a:ext uri="{FF2B5EF4-FFF2-40B4-BE49-F238E27FC236}">
                <a16:creationId xmlns:a16="http://schemas.microsoft.com/office/drawing/2014/main" id="{9B22EFCE-64AB-4ED6-B6DE-B3F00E712665}"/>
              </a:ext>
            </a:extLst>
          </xdr:cNvPr>
          <xdr:cNvSpPr/>
        </xdr:nvSpPr>
        <xdr:spPr>
          <a:xfrm>
            <a:off x="13741349" y="9239171"/>
            <a:ext cx="33921" cy="33667"/>
          </a:xfrm>
          <a:custGeom>
            <a:avLst/>
            <a:gdLst>
              <a:gd name="connsiteX0" fmla="*/ 0 w 33921"/>
              <a:gd name="connsiteY0" fmla="*/ 26167 h 33667"/>
              <a:gd name="connsiteX1" fmla="*/ 0 w 33921"/>
              <a:gd name="connsiteY1" fmla="*/ 33667 h 33667"/>
              <a:gd name="connsiteX2" fmla="*/ 33922 w 33921"/>
              <a:gd name="connsiteY2" fmla="*/ 0 h 33667"/>
              <a:gd name="connsiteX3" fmla="*/ 26365 w 33921"/>
              <a:gd name="connsiteY3" fmla="*/ 0 h 33667"/>
              <a:gd name="connsiteX4" fmla="*/ 0 w 33921"/>
              <a:gd name="connsiteY4" fmla="*/ 26167 h 3366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3921" h="33667">
                <a:moveTo>
                  <a:pt x="0" y="26167"/>
                </a:moveTo>
                <a:lnTo>
                  <a:pt x="0" y="33667"/>
                </a:lnTo>
                <a:cubicBezTo>
                  <a:pt x="18726" y="33647"/>
                  <a:pt x="33901" y="18585"/>
                  <a:pt x="33922" y="0"/>
                </a:cubicBezTo>
                <a:lnTo>
                  <a:pt x="26365" y="0"/>
                </a:lnTo>
                <a:cubicBezTo>
                  <a:pt x="26351" y="14446"/>
                  <a:pt x="14555" y="26153"/>
                  <a:pt x="0" y="2616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19" name="Freeform: Shape 418">
            <a:extLst>
              <a:ext uri="{FF2B5EF4-FFF2-40B4-BE49-F238E27FC236}">
                <a16:creationId xmlns:a16="http://schemas.microsoft.com/office/drawing/2014/main" id="{DFED8518-AC3F-4144-BBDA-8A2DAFB1E310}"/>
              </a:ext>
            </a:extLst>
          </xdr:cNvPr>
          <xdr:cNvSpPr/>
        </xdr:nvSpPr>
        <xdr:spPr>
          <a:xfrm>
            <a:off x="13722540" y="9220503"/>
            <a:ext cx="37617" cy="37335"/>
          </a:xfrm>
          <a:custGeom>
            <a:avLst/>
            <a:gdLst>
              <a:gd name="connsiteX0" fmla="*/ 37617 w 37617"/>
              <a:gd name="connsiteY0" fmla="*/ 18668 h 37335"/>
              <a:gd name="connsiteX1" fmla="*/ 18809 w 37617"/>
              <a:gd name="connsiteY1" fmla="*/ 0 h 37335"/>
              <a:gd name="connsiteX2" fmla="*/ 0 w 37617"/>
              <a:gd name="connsiteY2" fmla="*/ 18668 h 37335"/>
              <a:gd name="connsiteX3" fmla="*/ 18809 w 37617"/>
              <a:gd name="connsiteY3" fmla="*/ 37335 h 37335"/>
              <a:gd name="connsiteX4" fmla="*/ 37617 w 37617"/>
              <a:gd name="connsiteY4" fmla="*/ 18668 h 37335"/>
              <a:gd name="connsiteX5" fmla="*/ 7560 w 37617"/>
              <a:gd name="connsiteY5" fmla="*/ 18668 h 37335"/>
              <a:gd name="connsiteX6" fmla="*/ 18812 w 37617"/>
              <a:gd name="connsiteY6" fmla="*/ 7500 h 37335"/>
              <a:gd name="connsiteX7" fmla="*/ 30064 w 37617"/>
              <a:gd name="connsiteY7" fmla="*/ 18668 h 37335"/>
              <a:gd name="connsiteX8" fmla="*/ 18812 w 37617"/>
              <a:gd name="connsiteY8" fmla="*/ 29835 h 37335"/>
              <a:gd name="connsiteX9" fmla="*/ 18809 w 37617"/>
              <a:gd name="connsiteY9" fmla="*/ 29835 h 37335"/>
              <a:gd name="connsiteX10" fmla="*/ 7545 w 37617"/>
              <a:gd name="connsiteY10" fmla="*/ 18668 h 3733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37617" h="37335">
                <a:moveTo>
                  <a:pt x="37617" y="18668"/>
                </a:moveTo>
                <a:cubicBezTo>
                  <a:pt x="37617" y="8358"/>
                  <a:pt x="29196" y="0"/>
                  <a:pt x="18809" y="0"/>
                </a:cubicBezTo>
                <a:cubicBezTo>
                  <a:pt x="8421" y="0"/>
                  <a:pt x="0" y="8358"/>
                  <a:pt x="0" y="18668"/>
                </a:cubicBezTo>
                <a:cubicBezTo>
                  <a:pt x="0" y="28977"/>
                  <a:pt x="8421" y="37335"/>
                  <a:pt x="18809" y="37335"/>
                </a:cubicBezTo>
                <a:cubicBezTo>
                  <a:pt x="29192" y="37325"/>
                  <a:pt x="37607" y="28973"/>
                  <a:pt x="37617" y="18668"/>
                </a:cubicBezTo>
                <a:close/>
                <a:moveTo>
                  <a:pt x="7560" y="18668"/>
                </a:moveTo>
                <a:cubicBezTo>
                  <a:pt x="7560" y="12500"/>
                  <a:pt x="12598" y="7500"/>
                  <a:pt x="18812" y="7500"/>
                </a:cubicBezTo>
                <a:cubicBezTo>
                  <a:pt x="25027" y="7500"/>
                  <a:pt x="30064" y="12500"/>
                  <a:pt x="30064" y="18668"/>
                </a:cubicBezTo>
                <a:cubicBezTo>
                  <a:pt x="30064" y="24835"/>
                  <a:pt x="25027" y="29835"/>
                  <a:pt x="18812" y="29835"/>
                </a:cubicBezTo>
                <a:cubicBezTo>
                  <a:pt x="18811" y="29835"/>
                  <a:pt x="18810" y="29835"/>
                  <a:pt x="18809" y="29835"/>
                </a:cubicBezTo>
                <a:cubicBezTo>
                  <a:pt x="12592" y="29835"/>
                  <a:pt x="7552" y="24837"/>
                  <a:pt x="7545" y="1866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20" name="Freeform: Shape 419">
            <a:extLst>
              <a:ext uri="{FF2B5EF4-FFF2-40B4-BE49-F238E27FC236}">
                <a16:creationId xmlns:a16="http://schemas.microsoft.com/office/drawing/2014/main" id="{2A61B597-34F4-48ED-ABB7-A8A6A1559DB5}"/>
              </a:ext>
            </a:extLst>
          </xdr:cNvPr>
          <xdr:cNvSpPr/>
        </xdr:nvSpPr>
        <xdr:spPr>
          <a:xfrm>
            <a:off x="13737487" y="9235339"/>
            <a:ext cx="7556" cy="7500"/>
          </a:xfrm>
          <a:custGeom>
            <a:avLst/>
            <a:gdLst>
              <a:gd name="connsiteX0" fmla="*/ 7557 w 7556"/>
              <a:gd name="connsiteY0" fmla="*/ 3750 h 7500"/>
              <a:gd name="connsiteX1" fmla="*/ 3778 w 7556"/>
              <a:gd name="connsiteY1" fmla="*/ 7500 h 7500"/>
              <a:gd name="connsiteX2" fmla="*/ 0 w 7556"/>
              <a:gd name="connsiteY2" fmla="*/ 3750 h 7500"/>
              <a:gd name="connsiteX3" fmla="*/ 3778 w 7556"/>
              <a:gd name="connsiteY3" fmla="*/ 0 h 7500"/>
              <a:gd name="connsiteX4" fmla="*/ 7557 w 7556"/>
              <a:gd name="connsiteY4" fmla="*/ 3750 h 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556" h="7500">
                <a:moveTo>
                  <a:pt x="7557" y="3750"/>
                </a:moveTo>
                <a:cubicBezTo>
                  <a:pt x="7557" y="5821"/>
                  <a:pt x="5865" y="7500"/>
                  <a:pt x="3778" y="7500"/>
                </a:cubicBezTo>
                <a:cubicBezTo>
                  <a:pt x="1692" y="7500"/>
                  <a:pt x="0" y="5821"/>
                  <a:pt x="0" y="3750"/>
                </a:cubicBezTo>
                <a:cubicBezTo>
                  <a:pt x="0" y="1679"/>
                  <a:pt x="1692" y="0"/>
                  <a:pt x="3778" y="0"/>
                </a:cubicBezTo>
                <a:cubicBezTo>
                  <a:pt x="5865" y="0"/>
                  <a:pt x="7557" y="1679"/>
                  <a:pt x="7557" y="37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10</xdr:col>
      <xdr:colOff>183990</xdr:colOff>
      <xdr:row>11</xdr:row>
      <xdr:rowOff>139781</xdr:rowOff>
    </xdr:from>
    <xdr:to>
      <xdr:col>10</xdr:col>
      <xdr:colOff>408990</xdr:colOff>
      <xdr:row>11</xdr:row>
      <xdr:rowOff>439765</xdr:rowOff>
    </xdr:to>
    <xdr:grpSp>
      <xdr:nvGrpSpPr>
        <xdr:cNvPr id="421" name="police" descr="Pilot female outline">
          <a:extLst>
            <a:ext uri="{FF2B5EF4-FFF2-40B4-BE49-F238E27FC236}">
              <a16:creationId xmlns:a16="http://schemas.microsoft.com/office/drawing/2014/main" id="{BD95915C-13F6-4543-9864-2551C82490D5}"/>
            </a:ext>
          </a:extLst>
        </xdr:cNvPr>
        <xdr:cNvGrpSpPr>
          <a:grpSpLocks noChangeAspect="1"/>
        </xdr:cNvGrpSpPr>
      </xdr:nvGrpSpPr>
      <xdr:grpSpPr>
        <a:xfrm>
          <a:off x="9194640" y="4921331"/>
          <a:ext cx="225000" cy="299984"/>
          <a:chOff x="9888949" y="9654529"/>
          <a:chExt cx="225000" cy="299984"/>
        </a:xfrm>
        <a:solidFill>
          <a:srgbClr val="1F4E78"/>
        </a:solidFill>
      </xdr:grpSpPr>
      <xdr:sp macro="" textlink="">
        <xdr:nvSpPr>
          <xdr:cNvPr id="422" name="Freeform: Shape 421">
            <a:extLst>
              <a:ext uri="{FF2B5EF4-FFF2-40B4-BE49-F238E27FC236}">
                <a16:creationId xmlns:a16="http://schemas.microsoft.com/office/drawing/2014/main" id="{C4C34947-8086-430A-8303-9B1C1C8C46DE}"/>
              </a:ext>
            </a:extLst>
          </xdr:cNvPr>
          <xdr:cNvSpPr/>
        </xdr:nvSpPr>
        <xdr:spPr>
          <a:xfrm>
            <a:off x="9888949" y="9654529"/>
            <a:ext cx="225000" cy="299984"/>
          </a:xfrm>
          <a:custGeom>
            <a:avLst/>
            <a:gdLst>
              <a:gd name="connsiteX0" fmla="*/ 62393 w 225000"/>
              <a:gd name="connsiteY0" fmla="*/ 165682 h 299984"/>
              <a:gd name="connsiteX1" fmla="*/ 12589 w 225000"/>
              <a:gd name="connsiteY1" fmla="*/ 192172 h 299984"/>
              <a:gd name="connsiteX2" fmla="*/ 0 w 225000"/>
              <a:gd name="connsiteY2" fmla="*/ 217529 h 299984"/>
              <a:gd name="connsiteX3" fmla="*/ 0 w 225000"/>
              <a:gd name="connsiteY3" fmla="*/ 281365 h 299984"/>
              <a:gd name="connsiteX4" fmla="*/ 1669 w 225000"/>
              <a:gd name="connsiteY4" fmla="*/ 282490 h 299984"/>
              <a:gd name="connsiteX5" fmla="*/ 113723 w 225000"/>
              <a:gd name="connsiteY5" fmla="*/ 299984 h 299984"/>
              <a:gd name="connsiteX6" fmla="*/ 223485 w 225000"/>
              <a:gd name="connsiteY6" fmla="*/ 282359 h 299984"/>
              <a:gd name="connsiteX7" fmla="*/ 225000 w 225000"/>
              <a:gd name="connsiteY7" fmla="*/ 281234 h 299984"/>
              <a:gd name="connsiteX8" fmla="*/ 225000 w 225000"/>
              <a:gd name="connsiteY8" fmla="*/ 217450 h 299984"/>
              <a:gd name="connsiteX9" fmla="*/ 212430 w 225000"/>
              <a:gd name="connsiteY9" fmla="*/ 192172 h 299984"/>
              <a:gd name="connsiteX10" fmla="*/ 162930 w 225000"/>
              <a:gd name="connsiteY10" fmla="*/ 165813 h 299984"/>
              <a:gd name="connsiteX11" fmla="*/ 150930 w 225000"/>
              <a:gd name="connsiteY11" fmla="*/ 160885 h 299984"/>
              <a:gd name="connsiteX12" fmla="*/ 146250 w 225000"/>
              <a:gd name="connsiteY12" fmla="*/ 153948 h 299984"/>
              <a:gd name="connsiteX13" fmla="*/ 146250 w 225000"/>
              <a:gd name="connsiteY13" fmla="*/ 149984 h 299984"/>
              <a:gd name="connsiteX14" fmla="*/ 173561 w 225000"/>
              <a:gd name="connsiteY14" fmla="*/ 149984 h 299984"/>
              <a:gd name="connsiteX15" fmla="*/ 174686 w 225000"/>
              <a:gd name="connsiteY15" fmla="*/ 148484 h 299984"/>
              <a:gd name="connsiteX16" fmla="*/ 175849 w 225000"/>
              <a:gd name="connsiteY16" fmla="*/ 70747 h 299984"/>
              <a:gd name="connsiteX17" fmla="*/ 178226 w 225000"/>
              <a:gd name="connsiteY17" fmla="*/ 61645 h 299984"/>
              <a:gd name="connsiteX18" fmla="*/ 178226 w 225000"/>
              <a:gd name="connsiteY18" fmla="*/ 51798 h 299984"/>
              <a:gd name="connsiteX19" fmla="*/ 199935 w 225000"/>
              <a:gd name="connsiteY19" fmla="*/ 33423 h 299984"/>
              <a:gd name="connsiteX20" fmla="*/ 200797 w 225000"/>
              <a:gd name="connsiteY20" fmla="*/ 23256 h 299984"/>
              <a:gd name="connsiteX21" fmla="*/ 197123 w 225000"/>
              <a:gd name="connsiteY21" fmla="*/ 20932 h 299984"/>
              <a:gd name="connsiteX22" fmla="*/ 124159 w 225000"/>
              <a:gd name="connsiteY22" fmla="*/ 1510 h 299984"/>
              <a:gd name="connsiteX23" fmla="*/ 101070 w 225000"/>
              <a:gd name="connsiteY23" fmla="*/ 1510 h 299984"/>
              <a:gd name="connsiteX24" fmla="*/ 27829 w 225000"/>
              <a:gd name="connsiteY24" fmla="*/ 20943 h 299984"/>
              <a:gd name="connsiteX25" fmla="*/ 22757 w 225000"/>
              <a:gd name="connsiteY25" fmla="*/ 29797 h 299984"/>
              <a:gd name="connsiteX26" fmla="*/ 25035 w 225000"/>
              <a:gd name="connsiteY26" fmla="*/ 33393 h 299984"/>
              <a:gd name="connsiteX27" fmla="*/ 46751 w 225000"/>
              <a:gd name="connsiteY27" fmla="*/ 51768 h 299984"/>
              <a:gd name="connsiteX28" fmla="*/ 46751 w 225000"/>
              <a:gd name="connsiteY28" fmla="*/ 61930 h 299984"/>
              <a:gd name="connsiteX29" fmla="*/ 48709 w 225000"/>
              <a:gd name="connsiteY29" fmla="*/ 70180 h 299984"/>
              <a:gd name="connsiteX30" fmla="*/ 49500 w 225000"/>
              <a:gd name="connsiteY30" fmla="*/ 148484 h 299984"/>
              <a:gd name="connsiteX31" fmla="*/ 50625 w 225000"/>
              <a:gd name="connsiteY31" fmla="*/ 149984 h 299984"/>
              <a:gd name="connsiteX32" fmla="*/ 78731 w 225000"/>
              <a:gd name="connsiteY32" fmla="*/ 149984 h 299984"/>
              <a:gd name="connsiteX33" fmla="*/ 78731 w 225000"/>
              <a:gd name="connsiteY33" fmla="*/ 153937 h 299984"/>
              <a:gd name="connsiteX34" fmla="*/ 74078 w 225000"/>
              <a:gd name="connsiteY34" fmla="*/ 160874 h 299984"/>
              <a:gd name="connsiteX35" fmla="*/ 63750 w 225000"/>
              <a:gd name="connsiteY35" fmla="*/ 97529 h 299984"/>
              <a:gd name="connsiteX36" fmla="*/ 63750 w 225000"/>
              <a:gd name="connsiteY36" fmla="*/ 82439 h 299984"/>
              <a:gd name="connsiteX37" fmla="*/ 114563 w 225000"/>
              <a:gd name="connsiteY37" fmla="*/ 93712 h 299984"/>
              <a:gd name="connsiteX38" fmla="*/ 161250 w 225000"/>
              <a:gd name="connsiteY38" fmla="*/ 82589 h 299984"/>
              <a:gd name="connsiteX39" fmla="*/ 161250 w 225000"/>
              <a:gd name="connsiteY39" fmla="*/ 97529 h 299984"/>
              <a:gd name="connsiteX40" fmla="*/ 112500 w 225000"/>
              <a:gd name="connsiteY40" fmla="*/ 146279 h 299984"/>
              <a:gd name="connsiteX41" fmla="*/ 63750 w 225000"/>
              <a:gd name="connsiteY41" fmla="*/ 97529 h 299984"/>
              <a:gd name="connsiteX42" fmla="*/ 54244 w 225000"/>
              <a:gd name="connsiteY42" fmla="*/ 61904 h 299984"/>
              <a:gd name="connsiteX43" fmla="*/ 54244 w 225000"/>
              <a:gd name="connsiteY43" fmla="*/ 61259 h 299984"/>
              <a:gd name="connsiteX44" fmla="*/ 170719 w 225000"/>
              <a:gd name="connsiteY44" fmla="*/ 61259 h 299984"/>
              <a:gd name="connsiteX45" fmla="*/ 170719 w 225000"/>
              <a:gd name="connsiteY45" fmla="*/ 61634 h 299984"/>
              <a:gd name="connsiteX46" fmla="*/ 165469 w 225000"/>
              <a:gd name="connsiteY46" fmla="*/ 71118 h 299984"/>
              <a:gd name="connsiteX47" fmla="*/ 158539 w 225000"/>
              <a:gd name="connsiteY47" fmla="*/ 75618 h 299984"/>
              <a:gd name="connsiteX48" fmla="*/ 63386 w 225000"/>
              <a:gd name="connsiteY48" fmla="*/ 74118 h 299984"/>
              <a:gd name="connsiteX49" fmla="*/ 59141 w 225000"/>
              <a:gd name="connsiteY49" fmla="*/ 71204 h 299984"/>
              <a:gd name="connsiteX50" fmla="*/ 54251 w 225000"/>
              <a:gd name="connsiteY50" fmla="*/ 61923 h 299984"/>
              <a:gd name="connsiteX51" fmla="*/ 169699 w 225000"/>
              <a:gd name="connsiteY51" fmla="*/ 142484 h 299984"/>
              <a:gd name="connsiteX52" fmla="*/ 146250 w 225000"/>
              <a:gd name="connsiteY52" fmla="*/ 142484 h 299984"/>
              <a:gd name="connsiteX53" fmla="*/ 146250 w 225000"/>
              <a:gd name="connsiteY53" fmla="*/ 142417 h 299984"/>
              <a:gd name="connsiteX54" fmla="*/ 168750 w 225000"/>
              <a:gd name="connsiteY54" fmla="*/ 97518 h 299984"/>
              <a:gd name="connsiteX55" fmla="*/ 168750 w 225000"/>
              <a:gd name="connsiteY55" fmla="*/ 77924 h 299984"/>
              <a:gd name="connsiteX56" fmla="*/ 169500 w 225000"/>
              <a:gd name="connsiteY56" fmla="*/ 77437 h 299984"/>
              <a:gd name="connsiteX57" fmla="*/ 170704 w 225000"/>
              <a:gd name="connsiteY57" fmla="*/ 76563 h 299984"/>
              <a:gd name="connsiteX58" fmla="*/ 169699 w 225000"/>
              <a:gd name="connsiteY58" fmla="*/ 142484 h 299984"/>
              <a:gd name="connsiteX59" fmla="*/ 30262 w 225000"/>
              <a:gd name="connsiteY59" fmla="*/ 28057 h 299984"/>
              <a:gd name="connsiteX60" fmla="*/ 103013 w 225000"/>
              <a:gd name="connsiteY60" fmla="*/ 8759 h 299984"/>
              <a:gd name="connsiteX61" fmla="*/ 122243 w 225000"/>
              <a:gd name="connsiteY61" fmla="*/ 8759 h 299984"/>
              <a:gd name="connsiteX62" fmla="*/ 194696 w 225000"/>
              <a:gd name="connsiteY62" fmla="*/ 28049 h 299984"/>
              <a:gd name="connsiteX63" fmla="*/ 170741 w 225000"/>
              <a:gd name="connsiteY63" fmla="*/ 48299 h 299984"/>
              <a:gd name="connsiteX64" fmla="*/ 170741 w 225000"/>
              <a:gd name="connsiteY64" fmla="*/ 53759 h 299984"/>
              <a:gd name="connsiteX65" fmla="*/ 54251 w 225000"/>
              <a:gd name="connsiteY65" fmla="*/ 53759 h 299984"/>
              <a:gd name="connsiteX66" fmla="*/ 54251 w 225000"/>
              <a:gd name="connsiteY66" fmla="*/ 48284 h 299984"/>
              <a:gd name="connsiteX67" fmla="*/ 54510 w 225000"/>
              <a:gd name="connsiteY67" fmla="*/ 142484 h 299984"/>
              <a:gd name="connsiteX68" fmla="*/ 53599 w 225000"/>
              <a:gd name="connsiteY68" fmla="*/ 76338 h 299984"/>
              <a:gd name="connsiteX69" fmla="*/ 54900 w 225000"/>
              <a:gd name="connsiteY69" fmla="*/ 77354 h 299984"/>
              <a:gd name="connsiteX70" fmla="*/ 56257 w 225000"/>
              <a:gd name="connsiteY70" fmla="*/ 78284 h 299984"/>
              <a:gd name="connsiteX71" fmla="*/ 56257 w 225000"/>
              <a:gd name="connsiteY71" fmla="*/ 97518 h 299984"/>
              <a:gd name="connsiteX72" fmla="*/ 78731 w 225000"/>
              <a:gd name="connsiteY72" fmla="*/ 142390 h 299984"/>
              <a:gd name="connsiteX73" fmla="*/ 78731 w 225000"/>
              <a:gd name="connsiteY73" fmla="*/ 142484 h 299984"/>
              <a:gd name="connsiteX74" fmla="*/ 86250 w 225000"/>
              <a:gd name="connsiteY74" fmla="*/ 153948 h 299984"/>
              <a:gd name="connsiteX75" fmla="*/ 86250 w 225000"/>
              <a:gd name="connsiteY75" fmla="*/ 147228 h 299984"/>
              <a:gd name="connsiteX76" fmla="*/ 138750 w 225000"/>
              <a:gd name="connsiteY76" fmla="*/ 147247 h 299984"/>
              <a:gd name="connsiteX77" fmla="*/ 138750 w 225000"/>
              <a:gd name="connsiteY77" fmla="*/ 153948 h 299984"/>
              <a:gd name="connsiteX78" fmla="*/ 148054 w 225000"/>
              <a:gd name="connsiteY78" fmla="*/ 167823 h 299984"/>
              <a:gd name="connsiteX79" fmla="*/ 148286 w 225000"/>
              <a:gd name="connsiteY79" fmla="*/ 167917 h 299984"/>
              <a:gd name="connsiteX80" fmla="*/ 126626 w 225000"/>
              <a:gd name="connsiteY80" fmla="*/ 215167 h 299984"/>
              <a:gd name="connsiteX81" fmla="*/ 125085 w 225000"/>
              <a:gd name="connsiteY81" fmla="*/ 198948 h 299984"/>
              <a:gd name="connsiteX82" fmla="*/ 132443 w 225000"/>
              <a:gd name="connsiteY82" fmla="*/ 172390 h 299984"/>
              <a:gd name="connsiteX83" fmla="*/ 92580 w 225000"/>
              <a:gd name="connsiteY83" fmla="*/ 172390 h 299984"/>
              <a:gd name="connsiteX84" fmla="*/ 99870 w 225000"/>
              <a:gd name="connsiteY84" fmla="*/ 198734 h 299984"/>
              <a:gd name="connsiteX85" fmla="*/ 98317 w 225000"/>
              <a:gd name="connsiteY85" fmla="*/ 215054 h 299984"/>
              <a:gd name="connsiteX86" fmla="*/ 76714 w 225000"/>
              <a:gd name="connsiteY86" fmla="*/ 167913 h 299984"/>
              <a:gd name="connsiteX87" fmla="*/ 76924 w 225000"/>
              <a:gd name="connsiteY87" fmla="*/ 167827 h 299984"/>
              <a:gd name="connsiteX88" fmla="*/ 86250 w 225000"/>
              <a:gd name="connsiteY88" fmla="*/ 153948 h 299984"/>
              <a:gd name="connsiteX89" fmla="*/ 118875 w 225000"/>
              <a:gd name="connsiteY89" fmla="*/ 193413 h 299984"/>
              <a:gd name="connsiteX90" fmla="*/ 106181 w 225000"/>
              <a:gd name="connsiteY90" fmla="*/ 193413 h 299984"/>
              <a:gd name="connsiteX91" fmla="*/ 102431 w 225000"/>
              <a:gd name="connsiteY91" fmla="*/ 179913 h 299984"/>
              <a:gd name="connsiteX92" fmla="*/ 122569 w 225000"/>
              <a:gd name="connsiteY92" fmla="*/ 179913 h 299984"/>
              <a:gd name="connsiteX93" fmla="*/ 107250 w 225000"/>
              <a:gd name="connsiteY93" fmla="*/ 200913 h 299984"/>
              <a:gd name="connsiteX94" fmla="*/ 117750 w 225000"/>
              <a:gd name="connsiteY94" fmla="*/ 200913 h 299984"/>
              <a:gd name="connsiteX95" fmla="*/ 120405 w 225000"/>
              <a:gd name="connsiteY95" fmla="*/ 228802 h 299984"/>
              <a:gd name="connsiteX96" fmla="*/ 112500 w 225000"/>
              <a:gd name="connsiteY96" fmla="*/ 245984 h 299984"/>
              <a:gd name="connsiteX97" fmla="*/ 104550 w 225000"/>
              <a:gd name="connsiteY97" fmla="*/ 228640 h 299984"/>
              <a:gd name="connsiteX98" fmla="*/ 160819 w 225000"/>
              <a:gd name="connsiteY98" fmla="*/ 173020 h 299984"/>
              <a:gd name="connsiteX99" fmla="*/ 207611 w 225000"/>
              <a:gd name="connsiteY99" fmla="*/ 197887 h 299984"/>
              <a:gd name="connsiteX100" fmla="*/ 217500 w 225000"/>
              <a:gd name="connsiteY100" fmla="*/ 217529 h 299984"/>
              <a:gd name="connsiteX101" fmla="*/ 217500 w 225000"/>
              <a:gd name="connsiteY101" fmla="*/ 277398 h 299984"/>
              <a:gd name="connsiteX102" fmla="*/ 7500 w 225000"/>
              <a:gd name="connsiteY102" fmla="*/ 277274 h 299984"/>
              <a:gd name="connsiteX103" fmla="*/ 7500 w 225000"/>
              <a:gd name="connsiteY103" fmla="*/ 217608 h 299984"/>
              <a:gd name="connsiteX104" fmla="*/ 17426 w 225000"/>
              <a:gd name="connsiteY104" fmla="*/ 197887 h 299984"/>
              <a:gd name="connsiteX105" fmla="*/ 67350 w 225000"/>
              <a:gd name="connsiteY105" fmla="*/ 171757 h 299984"/>
              <a:gd name="connsiteX106" fmla="*/ 69773 w 225000"/>
              <a:gd name="connsiteY106" fmla="*/ 170763 h 299984"/>
              <a:gd name="connsiteX107" fmla="*/ 109099 w 225000"/>
              <a:gd name="connsiteY107" fmla="*/ 256559 h 299984"/>
              <a:gd name="connsiteX108" fmla="*/ 114071 w 225000"/>
              <a:gd name="connsiteY108" fmla="*/ 258405 h 299984"/>
              <a:gd name="connsiteX109" fmla="*/ 115916 w 225000"/>
              <a:gd name="connsiteY109" fmla="*/ 256559 h 299984"/>
              <a:gd name="connsiteX110" fmla="*/ 155250 w 225000"/>
              <a:gd name="connsiteY110" fmla="*/ 170770 h 29998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</a:cxnLst>
            <a:rect l="l" t="t" r="r" b="b"/>
            <a:pathLst>
              <a:path w="225000" h="299984">
                <a:moveTo>
                  <a:pt x="62393" y="165682"/>
                </a:moveTo>
                <a:cubicBezTo>
                  <a:pt x="40009" y="173932"/>
                  <a:pt x="24098" y="182399"/>
                  <a:pt x="12589" y="192172"/>
                </a:cubicBezTo>
                <a:cubicBezTo>
                  <a:pt x="4955" y="198431"/>
                  <a:pt x="372" y="207664"/>
                  <a:pt x="0" y="217529"/>
                </a:cubicBezTo>
                <a:lnTo>
                  <a:pt x="0" y="281365"/>
                </a:lnTo>
                <a:lnTo>
                  <a:pt x="1669" y="282490"/>
                </a:lnTo>
                <a:cubicBezTo>
                  <a:pt x="19196" y="294153"/>
                  <a:pt x="66656" y="299984"/>
                  <a:pt x="113723" y="299984"/>
                </a:cubicBezTo>
                <a:cubicBezTo>
                  <a:pt x="160973" y="299984"/>
                  <a:pt x="207848" y="294104"/>
                  <a:pt x="223485" y="282359"/>
                </a:cubicBezTo>
                <a:lnTo>
                  <a:pt x="225000" y="281234"/>
                </a:lnTo>
                <a:lnTo>
                  <a:pt x="225000" y="217450"/>
                </a:lnTo>
                <a:cubicBezTo>
                  <a:pt x="224613" y="207615"/>
                  <a:pt x="220039" y="198415"/>
                  <a:pt x="212430" y="192172"/>
                </a:cubicBezTo>
                <a:cubicBezTo>
                  <a:pt x="200974" y="182444"/>
                  <a:pt x="185141" y="174037"/>
                  <a:pt x="162930" y="165813"/>
                </a:cubicBezTo>
                <a:lnTo>
                  <a:pt x="150930" y="160885"/>
                </a:lnTo>
                <a:cubicBezTo>
                  <a:pt x="148100" y="159746"/>
                  <a:pt x="146247" y="156999"/>
                  <a:pt x="146250" y="153948"/>
                </a:cubicBezTo>
                <a:lnTo>
                  <a:pt x="146250" y="149984"/>
                </a:lnTo>
                <a:lnTo>
                  <a:pt x="173561" y="149984"/>
                </a:lnTo>
                <a:lnTo>
                  <a:pt x="174686" y="148484"/>
                </a:lnTo>
                <a:cubicBezTo>
                  <a:pt x="174971" y="148109"/>
                  <a:pt x="202350" y="110275"/>
                  <a:pt x="175849" y="70747"/>
                </a:cubicBezTo>
                <a:cubicBezTo>
                  <a:pt x="177403" y="67964"/>
                  <a:pt x="178221" y="64832"/>
                  <a:pt x="178226" y="61645"/>
                </a:cubicBezTo>
                <a:lnTo>
                  <a:pt x="178226" y="51798"/>
                </a:lnTo>
                <a:lnTo>
                  <a:pt x="199935" y="33423"/>
                </a:lnTo>
                <a:cubicBezTo>
                  <a:pt x="202981" y="30853"/>
                  <a:pt x="203367" y="26302"/>
                  <a:pt x="200797" y="23256"/>
                </a:cubicBezTo>
                <a:cubicBezTo>
                  <a:pt x="199841" y="22121"/>
                  <a:pt x="198557" y="21310"/>
                  <a:pt x="197123" y="20932"/>
                </a:cubicBezTo>
                <a:lnTo>
                  <a:pt x="124159" y="1510"/>
                </a:lnTo>
                <a:cubicBezTo>
                  <a:pt x="116594" y="-503"/>
                  <a:pt x="108635" y="-503"/>
                  <a:pt x="101070" y="1510"/>
                </a:cubicBezTo>
                <a:lnTo>
                  <a:pt x="27829" y="20943"/>
                </a:lnTo>
                <a:cubicBezTo>
                  <a:pt x="23983" y="21987"/>
                  <a:pt x="21713" y="25951"/>
                  <a:pt x="22757" y="29797"/>
                </a:cubicBezTo>
                <a:cubicBezTo>
                  <a:pt x="23138" y="31197"/>
                  <a:pt x="23931" y="32450"/>
                  <a:pt x="25035" y="33393"/>
                </a:cubicBezTo>
                <a:lnTo>
                  <a:pt x="46751" y="51768"/>
                </a:lnTo>
                <a:lnTo>
                  <a:pt x="46751" y="61930"/>
                </a:lnTo>
                <a:cubicBezTo>
                  <a:pt x="46764" y="64794"/>
                  <a:pt x="47434" y="67616"/>
                  <a:pt x="48709" y="70180"/>
                </a:cubicBezTo>
                <a:cubicBezTo>
                  <a:pt x="21570" y="109919"/>
                  <a:pt x="49215" y="148109"/>
                  <a:pt x="49500" y="148484"/>
                </a:cubicBezTo>
                <a:lnTo>
                  <a:pt x="50625" y="149984"/>
                </a:lnTo>
                <a:lnTo>
                  <a:pt x="78731" y="149984"/>
                </a:lnTo>
                <a:lnTo>
                  <a:pt x="78731" y="153937"/>
                </a:lnTo>
                <a:cubicBezTo>
                  <a:pt x="78739" y="156982"/>
                  <a:pt x="76898" y="159726"/>
                  <a:pt x="74078" y="160874"/>
                </a:cubicBezTo>
                <a:close/>
                <a:moveTo>
                  <a:pt x="63750" y="97529"/>
                </a:moveTo>
                <a:lnTo>
                  <a:pt x="63750" y="82439"/>
                </a:lnTo>
                <a:cubicBezTo>
                  <a:pt x="79728" y="89665"/>
                  <a:pt x="97028" y="93503"/>
                  <a:pt x="114563" y="93712"/>
                </a:cubicBezTo>
                <a:cubicBezTo>
                  <a:pt x="130788" y="93772"/>
                  <a:pt x="146794" y="89959"/>
                  <a:pt x="161250" y="82589"/>
                </a:cubicBezTo>
                <a:lnTo>
                  <a:pt x="161250" y="97529"/>
                </a:lnTo>
                <a:cubicBezTo>
                  <a:pt x="161250" y="124453"/>
                  <a:pt x="139424" y="146279"/>
                  <a:pt x="112500" y="146279"/>
                </a:cubicBezTo>
                <a:cubicBezTo>
                  <a:pt x="85576" y="146279"/>
                  <a:pt x="63750" y="124453"/>
                  <a:pt x="63750" y="97529"/>
                </a:cubicBezTo>
                <a:close/>
                <a:moveTo>
                  <a:pt x="54244" y="61904"/>
                </a:moveTo>
                <a:lnTo>
                  <a:pt x="54244" y="61259"/>
                </a:lnTo>
                <a:lnTo>
                  <a:pt x="170719" y="61259"/>
                </a:lnTo>
                <a:lnTo>
                  <a:pt x="170719" y="61634"/>
                </a:lnTo>
                <a:cubicBezTo>
                  <a:pt x="170712" y="65487"/>
                  <a:pt x="168730" y="69067"/>
                  <a:pt x="165469" y="71118"/>
                </a:cubicBezTo>
                <a:lnTo>
                  <a:pt x="158539" y="75618"/>
                </a:lnTo>
                <a:cubicBezTo>
                  <a:pt x="130605" y="90277"/>
                  <a:pt x="96821" y="89740"/>
                  <a:pt x="63386" y="74118"/>
                </a:cubicBezTo>
                <a:lnTo>
                  <a:pt x="59141" y="71204"/>
                </a:lnTo>
                <a:cubicBezTo>
                  <a:pt x="56080" y="69106"/>
                  <a:pt x="54251" y="65634"/>
                  <a:pt x="54251" y="61923"/>
                </a:cubicBezTo>
                <a:close/>
                <a:moveTo>
                  <a:pt x="169699" y="142484"/>
                </a:moveTo>
                <a:lnTo>
                  <a:pt x="146250" y="142484"/>
                </a:lnTo>
                <a:lnTo>
                  <a:pt x="146250" y="142417"/>
                </a:lnTo>
                <a:cubicBezTo>
                  <a:pt x="160399" y="131826"/>
                  <a:pt x="168735" y="115191"/>
                  <a:pt x="168750" y="97518"/>
                </a:cubicBezTo>
                <a:lnTo>
                  <a:pt x="168750" y="77924"/>
                </a:lnTo>
                <a:lnTo>
                  <a:pt x="169500" y="77437"/>
                </a:lnTo>
                <a:cubicBezTo>
                  <a:pt x="169920" y="77170"/>
                  <a:pt x="170306" y="76859"/>
                  <a:pt x="170704" y="76563"/>
                </a:cubicBezTo>
                <a:cubicBezTo>
                  <a:pt x="190050" y="107193"/>
                  <a:pt x="174150" y="135637"/>
                  <a:pt x="169699" y="142484"/>
                </a:cubicBezTo>
                <a:close/>
                <a:moveTo>
                  <a:pt x="30262" y="28057"/>
                </a:moveTo>
                <a:lnTo>
                  <a:pt x="103013" y="8759"/>
                </a:lnTo>
                <a:cubicBezTo>
                  <a:pt x="109313" y="7081"/>
                  <a:pt x="115943" y="7081"/>
                  <a:pt x="122243" y="8759"/>
                </a:cubicBezTo>
                <a:lnTo>
                  <a:pt x="194696" y="28049"/>
                </a:lnTo>
                <a:lnTo>
                  <a:pt x="170741" y="48299"/>
                </a:lnTo>
                <a:lnTo>
                  <a:pt x="170741" y="53759"/>
                </a:lnTo>
                <a:lnTo>
                  <a:pt x="54251" y="53759"/>
                </a:lnTo>
                <a:lnTo>
                  <a:pt x="54251" y="48284"/>
                </a:lnTo>
                <a:close/>
                <a:moveTo>
                  <a:pt x="54510" y="142484"/>
                </a:moveTo>
                <a:cubicBezTo>
                  <a:pt x="50171" y="135655"/>
                  <a:pt x="34286" y="106769"/>
                  <a:pt x="53599" y="76338"/>
                </a:cubicBezTo>
                <a:cubicBezTo>
                  <a:pt x="54022" y="76687"/>
                  <a:pt x="54443" y="77039"/>
                  <a:pt x="54900" y="77354"/>
                </a:cubicBezTo>
                <a:lnTo>
                  <a:pt x="56257" y="78284"/>
                </a:lnTo>
                <a:lnTo>
                  <a:pt x="56257" y="97518"/>
                </a:lnTo>
                <a:cubicBezTo>
                  <a:pt x="56274" y="115178"/>
                  <a:pt x="64599" y="131800"/>
                  <a:pt x="78731" y="142390"/>
                </a:cubicBezTo>
                <a:lnTo>
                  <a:pt x="78731" y="142484"/>
                </a:lnTo>
                <a:close/>
                <a:moveTo>
                  <a:pt x="86250" y="153948"/>
                </a:moveTo>
                <a:lnTo>
                  <a:pt x="86250" y="147228"/>
                </a:lnTo>
                <a:cubicBezTo>
                  <a:pt x="102662" y="155950"/>
                  <a:pt x="122332" y="155957"/>
                  <a:pt x="138750" y="147247"/>
                </a:cubicBezTo>
                <a:lnTo>
                  <a:pt x="138750" y="153948"/>
                </a:lnTo>
                <a:cubicBezTo>
                  <a:pt x="138737" y="160036"/>
                  <a:pt x="142417" y="165523"/>
                  <a:pt x="148054" y="167823"/>
                </a:cubicBezTo>
                <a:lnTo>
                  <a:pt x="148286" y="167917"/>
                </a:lnTo>
                <a:lnTo>
                  <a:pt x="126626" y="215167"/>
                </a:lnTo>
                <a:lnTo>
                  <a:pt x="125085" y="198948"/>
                </a:lnTo>
                <a:lnTo>
                  <a:pt x="132443" y="172390"/>
                </a:lnTo>
                <a:lnTo>
                  <a:pt x="92580" y="172390"/>
                </a:lnTo>
                <a:lnTo>
                  <a:pt x="99870" y="198734"/>
                </a:lnTo>
                <a:lnTo>
                  <a:pt x="98317" y="215054"/>
                </a:lnTo>
                <a:lnTo>
                  <a:pt x="76714" y="167913"/>
                </a:lnTo>
                <a:lnTo>
                  <a:pt x="76924" y="167827"/>
                </a:lnTo>
                <a:cubicBezTo>
                  <a:pt x="82570" y="165533"/>
                  <a:pt x="86259" y="160042"/>
                  <a:pt x="86250" y="153948"/>
                </a:cubicBezTo>
                <a:close/>
                <a:moveTo>
                  <a:pt x="118875" y="193413"/>
                </a:moveTo>
                <a:lnTo>
                  <a:pt x="106181" y="193413"/>
                </a:lnTo>
                <a:lnTo>
                  <a:pt x="102431" y="179913"/>
                </a:lnTo>
                <a:lnTo>
                  <a:pt x="122569" y="179913"/>
                </a:lnTo>
                <a:close/>
                <a:moveTo>
                  <a:pt x="107250" y="200913"/>
                </a:moveTo>
                <a:lnTo>
                  <a:pt x="117750" y="200913"/>
                </a:lnTo>
                <a:lnTo>
                  <a:pt x="120405" y="228802"/>
                </a:lnTo>
                <a:lnTo>
                  <a:pt x="112500" y="245984"/>
                </a:lnTo>
                <a:lnTo>
                  <a:pt x="104550" y="228640"/>
                </a:lnTo>
                <a:close/>
                <a:moveTo>
                  <a:pt x="160819" y="173020"/>
                </a:moveTo>
                <a:cubicBezTo>
                  <a:pt x="181942" y="180873"/>
                  <a:pt x="196920" y="188812"/>
                  <a:pt x="207611" y="197887"/>
                </a:cubicBezTo>
                <a:cubicBezTo>
                  <a:pt x="213588" y="202700"/>
                  <a:pt x="217193" y="209861"/>
                  <a:pt x="217500" y="217529"/>
                </a:cubicBezTo>
                <a:lnTo>
                  <a:pt x="217500" y="277398"/>
                </a:lnTo>
                <a:cubicBezTo>
                  <a:pt x="185625" y="297794"/>
                  <a:pt x="42817" y="297704"/>
                  <a:pt x="7500" y="277274"/>
                </a:cubicBezTo>
                <a:lnTo>
                  <a:pt x="7500" y="217608"/>
                </a:lnTo>
                <a:cubicBezTo>
                  <a:pt x="7799" y="209907"/>
                  <a:pt x="11420" y="202714"/>
                  <a:pt x="17426" y="197887"/>
                </a:cubicBezTo>
                <a:cubicBezTo>
                  <a:pt x="28669" y="188354"/>
                  <a:pt x="44509" y="179984"/>
                  <a:pt x="67350" y="171757"/>
                </a:cubicBezTo>
                <a:lnTo>
                  <a:pt x="69773" y="170763"/>
                </a:lnTo>
                <a:lnTo>
                  <a:pt x="109099" y="256559"/>
                </a:lnTo>
                <a:cubicBezTo>
                  <a:pt x="109962" y="258442"/>
                  <a:pt x="112188" y="259268"/>
                  <a:pt x="114071" y="258405"/>
                </a:cubicBezTo>
                <a:cubicBezTo>
                  <a:pt x="114887" y="258031"/>
                  <a:pt x="115542" y="257375"/>
                  <a:pt x="115916" y="256559"/>
                </a:cubicBezTo>
                <a:lnTo>
                  <a:pt x="155250" y="170770"/>
                </a:ln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23" name="Freeform: Shape 422">
            <a:extLst>
              <a:ext uri="{FF2B5EF4-FFF2-40B4-BE49-F238E27FC236}">
                <a16:creationId xmlns:a16="http://schemas.microsoft.com/office/drawing/2014/main" id="{72D8356A-4344-4ABD-A630-F223BC17A00A}"/>
              </a:ext>
            </a:extLst>
          </xdr:cNvPr>
          <xdr:cNvSpPr/>
        </xdr:nvSpPr>
        <xdr:spPr>
          <a:xfrm>
            <a:off x="10050202" y="9894525"/>
            <a:ext cx="37500" cy="7500"/>
          </a:xfrm>
          <a:custGeom>
            <a:avLst/>
            <a:gdLst>
              <a:gd name="connsiteX0" fmla="*/ 0 w 37500"/>
              <a:gd name="connsiteY0" fmla="*/ 0 h 7500"/>
              <a:gd name="connsiteX1" fmla="*/ 37500 w 37500"/>
              <a:gd name="connsiteY1" fmla="*/ 0 h 7500"/>
              <a:gd name="connsiteX2" fmla="*/ 37500 w 37500"/>
              <a:gd name="connsiteY2" fmla="*/ 7500 h 7500"/>
              <a:gd name="connsiteX3" fmla="*/ 0 w 37500"/>
              <a:gd name="connsiteY3" fmla="*/ 7500 h 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37500" h="7500">
                <a:moveTo>
                  <a:pt x="0" y="0"/>
                </a:moveTo>
                <a:lnTo>
                  <a:pt x="37500" y="0"/>
                </a:lnTo>
                <a:lnTo>
                  <a:pt x="37500" y="7500"/>
                </a:lnTo>
                <a:lnTo>
                  <a:pt x="0" y="7500"/>
                </a:ln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24" name="Freeform: Shape 423">
            <a:extLst>
              <a:ext uri="{FF2B5EF4-FFF2-40B4-BE49-F238E27FC236}">
                <a16:creationId xmlns:a16="http://schemas.microsoft.com/office/drawing/2014/main" id="{0CBDC280-8F06-4220-8314-0C520F6FDFD4}"/>
              </a:ext>
            </a:extLst>
          </xdr:cNvPr>
          <xdr:cNvSpPr/>
        </xdr:nvSpPr>
        <xdr:spPr>
          <a:xfrm>
            <a:off x="9952110" y="9679834"/>
            <a:ext cx="98674" cy="16878"/>
          </a:xfrm>
          <a:custGeom>
            <a:avLst/>
            <a:gdLst>
              <a:gd name="connsiteX0" fmla="*/ 3056 w 98674"/>
              <a:gd name="connsiteY0" fmla="*/ 4758 h 16878"/>
              <a:gd name="connsiteX1" fmla="*/ 15213 w 98674"/>
              <a:gd name="connsiteY1" fmla="*/ 7248 h 16878"/>
              <a:gd name="connsiteX2" fmla="*/ 41643 w 98674"/>
              <a:gd name="connsiteY2" fmla="*/ 11864 h 16878"/>
              <a:gd name="connsiteX3" fmla="*/ 52749 w 98674"/>
              <a:gd name="connsiteY3" fmla="*/ 16157 h 16878"/>
              <a:gd name="connsiteX4" fmla="*/ 57041 w 98674"/>
              <a:gd name="connsiteY4" fmla="*/ 11864 h 16878"/>
              <a:gd name="connsiteX5" fmla="*/ 83497 w 98674"/>
              <a:gd name="connsiteY5" fmla="*/ 7248 h 16878"/>
              <a:gd name="connsiteX6" fmla="*/ 95625 w 98674"/>
              <a:gd name="connsiteY6" fmla="*/ 4758 h 16878"/>
              <a:gd name="connsiteX7" fmla="*/ 98212 w 98674"/>
              <a:gd name="connsiteY7" fmla="*/ 3258 h 16878"/>
              <a:gd name="connsiteX8" fmla="*/ 98543 w 98674"/>
              <a:gd name="connsiteY8" fmla="*/ 1969 h 16878"/>
              <a:gd name="connsiteX9" fmla="*/ 97747 w 98674"/>
              <a:gd name="connsiteY9" fmla="*/ 1507 h 16878"/>
              <a:gd name="connsiteX10" fmla="*/ 64665 w 98674"/>
              <a:gd name="connsiteY10" fmla="*/ 1319 h 16878"/>
              <a:gd name="connsiteX11" fmla="*/ 55998 w 98674"/>
              <a:gd name="connsiteY11" fmla="*/ 3318 h 16878"/>
              <a:gd name="connsiteX12" fmla="*/ 44318 w 98674"/>
              <a:gd name="connsiteY12" fmla="*/ 1682 h 16878"/>
              <a:gd name="connsiteX13" fmla="*/ 42682 w 98674"/>
              <a:gd name="connsiteY13" fmla="*/ 3318 h 16878"/>
              <a:gd name="connsiteX14" fmla="*/ 34012 w 98674"/>
              <a:gd name="connsiteY14" fmla="*/ 1319 h 16878"/>
              <a:gd name="connsiteX15" fmla="*/ 937 w 98674"/>
              <a:gd name="connsiteY15" fmla="*/ 1507 h 16878"/>
              <a:gd name="connsiteX16" fmla="*/ 0 w 98674"/>
              <a:gd name="connsiteY16" fmla="*/ 2445 h 16878"/>
              <a:gd name="connsiteX17" fmla="*/ 472 w 98674"/>
              <a:gd name="connsiteY17" fmla="*/ 3258 h 1687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98674" h="16878">
                <a:moveTo>
                  <a:pt x="3056" y="4758"/>
                </a:moveTo>
                <a:cubicBezTo>
                  <a:pt x="6937" y="6275"/>
                  <a:pt x="11049" y="7117"/>
                  <a:pt x="15213" y="7248"/>
                </a:cubicBezTo>
                <a:cubicBezTo>
                  <a:pt x="24195" y="7556"/>
                  <a:pt x="33090" y="9110"/>
                  <a:pt x="41643" y="11864"/>
                </a:cubicBezTo>
                <a:cubicBezTo>
                  <a:pt x="43525" y="16116"/>
                  <a:pt x="48497" y="18038"/>
                  <a:pt x="52749" y="16157"/>
                </a:cubicBezTo>
                <a:cubicBezTo>
                  <a:pt x="54663" y="15309"/>
                  <a:pt x="56194" y="13779"/>
                  <a:pt x="57041" y="11864"/>
                </a:cubicBezTo>
                <a:cubicBezTo>
                  <a:pt x="65603" y="9107"/>
                  <a:pt x="74507" y="7554"/>
                  <a:pt x="83497" y="7248"/>
                </a:cubicBezTo>
                <a:cubicBezTo>
                  <a:pt x="87652" y="7115"/>
                  <a:pt x="91753" y="6272"/>
                  <a:pt x="95625" y="4758"/>
                </a:cubicBezTo>
                <a:lnTo>
                  <a:pt x="98212" y="3258"/>
                </a:lnTo>
                <a:cubicBezTo>
                  <a:pt x="98660" y="2993"/>
                  <a:pt x="98808" y="2416"/>
                  <a:pt x="98543" y="1969"/>
                </a:cubicBezTo>
                <a:cubicBezTo>
                  <a:pt x="98376" y="1687"/>
                  <a:pt x="98075" y="1512"/>
                  <a:pt x="97747" y="1507"/>
                </a:cubicBezTo>
                <a:lnTo>
                  <a:pt x="64665" y="1319"/>
                </a:lnTo>
                <a:cubicBezTo>
                  <a:pt x="61673" y="1415"/>
                  <a:pt x="58729" y="2094"/>
                  <a:pt x="55998" y="3318"/>
                </a:cubicBezTo>
                <a:cubicBezTo>
                  <a:pt x="53224" y="-359"/>
                  <a:pt x="47995" y="-1092"/>
                  <a:pt x="44318" y="1682"/>
                </a:cubicBezTo>
                <a:cubicBezTo>
                  <a:pt x="43699" y="2149"/>
                  <a:pt x="43149" y="2700"/>
                  <a:pt x="42682" y="3318"/>
                </a:cubicBezTo>
                <a:cubicBezTo>
                  <a:pt x="39950" y="2093"/>
                  <a:pt x="37005" y="1414"/>
                  <a:pt x="34012" y="1319"/>
                </a:cubicBezTo>
                <a:lnTo>
                  <a:pt x="937" y="1507"/>
                </a:lnTo>
                <a:cubicBezTo>
                  <a:pt x="419" y="1507"/>
                  <a:pt x="0" y="1927"/>
                  <a:pt x="0" y="2445"/>
                </a:cubicBezTo>
                <a:cubicBezTo>
                  <a:pt x="0" y="2781"/>
                  <a:pt x="180" y="3091"/>
                  <a:pt x="472" y="3258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8</xdr:col>
      <xdr:colOff>138449</xdr:colOff>
      <xdr:row>14</xdr:row>
      <xdr:rowOff>122936</xdr:rowOff>
    </xdr:from>
    <xdr:to>
      <xdr:col>8</xdr:col>
      <xdr:colOff>440717</xdr:colOff>
      <xdr:row>14</xdr:row>
      <xdr:rowOff>407240</xdr:rowOff>
    </xdr:to>
    <xdr:grpSp>
      <xdr:nvGrpSpPr>
        <xdr:cNvPr id="432" name="moon" descr="Evening Moon outline">
          <a:extLst>
            <a:ext uri="{FF2B5EF4-FFF2-40B4-BE49-F238E27FC236}">
              <a16:creationId xmlns:a16="http://schemas.microsoft.com/office/drawing/2014/main" id="{E3CF9426-03CA-40A0-A1BB-E5F017DA7664}"/>
            </a:ext>
          </a:extLst>
        </xdr:cNvPr>
        <xdr:cNvGrpSpPr>
          <a:grpSpLocks noChangeAspect="1"/>
        </xdr:cNvGrpSpPr>
      </xdr:nvGrpSpPr>
      <xdr:grpSpPr>
        <a:xfrm>
          <a:off x="7253624" y="6790436"/>
          <a:ext cx="302268" cy="284304"/>
          <a:chOff x="11767001" y="9680764"/>
          <a:chExt cx="302268" cy="284304"/>
        </a:xfrm>
        <a:solidFill>
          <a:srgbClr val="1F4E78"/>
        </a:solidFill>
      </xdr:grpSpPr>
      <xdr:sp macro="" textlink="">
        <xdr:nvSpPr>
          <xdr:cNvPr id="433" name="Freeform: Shape 432">
            <a:extLst>
              <a:ext uri="{FF2B5EF4-FFF2-40B4-BE49-F238E27FC236}">
                <a16:creationId xmlns:a16="http://schemas.microsoft.com/office/drawing/2014/main" id="{A598ECF7-BD31-4362-8039-B7817E681C89}"/>
              </a:ext>
            </a:extLst>
          </xdr:cNvPr>
          <xdr:cNvSpPr/>
        </xdr:nvSpPr>
        <xdr:spPr>
          <a:xfrm>
            <a:off x="11767001" y="9950037"/>
            <a:ext cx="302268" cy="15031"/>
          </a:xfrm>
          <a:custGeom>
            <a:avLst/>
            <a:gdLst>
              <a:gd name="connsiteX0" fmla="*/ 302268 w 302268"/>
              <a:gd name="connsiteY0" fmla="*/ 7027 h 15031"/>
              <a:gd name="connsiteX1" fmla="*/ 291338 w 302268"/>
              <a:gd name="connsiteY1" fmla="*/ 4008 h 15031"/>
              <a:gd name="connsiteX2" fmla="*/ 248982 w 302268"/>
              <a:gd name="connsiteY2" fmla="*/ 4008 h 15031"/>
              <a:gd name="connsiteX3" fmla="*/ 212022 w 302268"/>
              <a:gd name="connsiteY3" fmla="*/ 4008 h 15031"/>
              <a:gd name="connsiteX4" fmla="*/ 190864 w 302268"/>
              <a:gd name="connsiteY4" fmla="*/ 14 h 15031"/>
              <a:gd name="connsiteX5" fmla="*/ 169682 w 302268"/>
              <a:gd name="connsiteY5" fmla="*/ 4008 h 15031"/>
              <a:gd name="connsiteX6" fmla="*/ 151198 w 302268"/>
              <a:gd name="connsiteY6" fmla="*/ 7514 h 15031"/>
              <a:gd name="connsiteX7" fmla="*/ 132684 w 302268"/>
              <a:gd name="connsiteY7" fmla="*/ 4008 h 15031"/>
              <a:gd name="connsiteX8" fmla="*/ 111503 w 302268"/>
              <a:gd name="connsiteY8" fmla="*/ 14 h 15031"/>
              <a:gd name="connsiteX9" fmla="*/ 90303 w 302268"/>
              <a:gd name="connsiteY9" fmla="*/ 4008 h 15031"/>
              <a:gd name="connsiteX10" fmla="*/ 71819 w 302268"/>
              <a:gd name="connsiteY10" fmla="*/ 7514 h 15031"/>
              <a:gd name="connsiteX11" fmla="*/ 53305 w 302268"/>
              <a:gd name="connsiteY11" fmla="*/ 4008 h 15031"/>
              <a:gd name="connsiteX12" fmla="*/ 32116 w 302268"/>
              <a:gd name="connsiteY12" fmla="*/ 14 h 15031"/>
              <a:gd name="connsiteX13" fmla="*/ 10957 w 302268"/>
              <a:gd name="connsiteY13" fmla="*/ 4008 h 15031"/>
              <a:gd name="connsiteX14" fmla="*/ 0 w 302268"/>
              <a:gd name="connsiteY14" fmla="*/ 7027 h 15031"/>
              <a:gd name="connsiteX15" fmla="*/ 0 w 302268"/>
              <a:gd name="connsiteY15" fmla="*/ 14602 h 15031"/>
              <a:gd name="connsiteX16" fmla="*/ 13632 w 302268"/>
              <a:gd name="connsiteY16" fmla="*/ 11024 h 15031"/>
              <a:gd name="connsiteX17" fmla="*/ 32146 w 302268"/>
              <a:gd name="connsiteY17" fmla="*/ 7518 h 15031"/>
              <a:gd name="connsiteX18" fmla="*/ 50660 w 302268"/>
              <a:gd name="connsiteY18" fmla="*/ 11024 h 15031"/>
              <a:gd name="connsiteX19" fmla="*/ 71853 w 302268"/>
              <a:gd name="connsiteY19" fmla="*/ 15018 h 15031"/>
              <a:gd name="connsiteX20" fmla="*/ 93012 w 302268"/>
              <a:gd name="connsiteY20" fmla="*/ 11024 h 15031"/>
              <a:gd name="connsiteX21" fmla="*/ 111503 w 302268"/>
              <a:gd name="connsiteY21" fmla="*/ 7518 h 15031"/>
              <a:gd name="connsiteX22" fmla="*/ 129998 w 302268"/>
              <a:gd name="connsiteY22" fmla="*/ 11024 h 15031"/>
              <a:gd name="connsiteX23" fmla="*/ 151183 w 302268"/>
              <a:gd name="connsiteY23" fmla="*/ 15018 h 15031"/>
              <a:gd name="connsiteX24" fmla="*/ 172361 w 302268"/>
              <a:gd name="connsiteY24" fmla="*/ 11024 h 15031"/>
              <a:gd name="connsiteX25" fmla="*/ 209328 w 302268"/>
              <a:gd name="connsiteY25" fmla="*/ 11024 h 15031"/>
              <a:gd name="connsiteX26" fmla="*/ 251676 w 302268"/>
              <a:gd name="connsiteY26" fmla="*/ 11024 h 15031"/>
              <a:gd name="connsiteX27" fmla="*/ 288647 w 302268"/>
              <a:gd name="connsiteY27" fmla="*/ 11024 h 15031"/>
              <a:gd name="connsiteX28" fmla="*/ 302268 w 302268"/>
              <a:gd name="connsiteY28" fmla="*/ 14602 h 1503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</a:cxnLst>
            <a:rect l="l" t="t" r="r" b="b"/>
            <a:pathLst>
              <a:path w="302268" h="15031">
                <a:moveTo>
                  <a:pt x="302268" y="7027"/>
                </a:moveTo>
                <a:cubicBezTo>
                  <a:pt x="298513" y="6470"/>
                  <a:pt x="294842" y="5456"/>
                  <a:pt x="291338" y="4008"/>
                </a:cubicBezTo>
                <a:cubicBezTo>
                  <a:pt x="277729" y="-1317"/>
                  <a:pt x="262591" y="-1317"/>
                  <a:pt x="248982" y="4008"/>
                </a:cubicBezTo>
                <a:cubicBezTo>
                  <a:pt x="237113" y="8683"/>
                  <a:pt x="223892" y="8683"/>
                  <a:pt x="212022" y="4008"/>
                </a:cubicBezTo>
                <a:cubicBezTo>
                  <a:pt x="205332" y="1211"/>
                  <a:pt x="198121" y="-150"/>
                  <a:pt x="190864" y="14"/>
                </a:cubicBezTo>
                <a:cubicBezTo>
                  <a:pt x="183598" y="-153"/>
                  <a:pt x="176380" y="1208"/>
                  <a:pt x="169682" y="4008"/>
                </a:cubicBezTo>
                <a:cubicBezTo>
                  <a:pt x="163845" y="6475"/>
                  <a:pt x="157542" y="7670"/>
                  <a:pt x="151198" y="7514"/>
                </a:cubicBezTo>
                <a:cubicBezTo>
                  <a:pt x="144845" y="7672"/>
                  <a:pt x="138533" y="6476"/>
                  <a:pt x="132684" y="4008"/>
                </a:cubicBezTo>
                <a:cubicBezTo>
                  <a:pt x="125987" y="1208"/>
                  <a:pt x="118768" y="-153"/>
                  <a:pt x="111503" y="14"/>
                </a:cubicBezTo>
                <a:cubicBezTo>
                  <a:pt x="104232" y="-155"/>
                  <a:pt x="97006" y="1206"/>
                  <a:pt x="90303" y="4008"/>
                </a:cubicBezTo>
                <a:cubicBezTo>
                  <a:pt x="84465" y="6475"/>
                  <a:pt x="78162" y="7670"/>
                  <a:pt x="71819" y="7514"/>
                </a:cubicBezTo>
                <a:cubicBezTo>
                  <a:pt x="65466" y="7671"/>
                  <a:pt x="59153" y="6475"/>
                  <a:pt x="53305" y="4008"/>
                </a:cubicBezTo>
                <a:cubicBezTo>
                  <a:pt x="46605" y="1208"/>
                  <a:pt x="39384" y="-153"/>
                  <a:pt x="32116" y="14"/>
                </a:cubicBezTo>
                <a:cubicBezTo>
                  <a:pt x="24859" y="-148"/>
                  <a:pt x="17648" y="1213"/>
                  <a:pt x="10957" y="4008"/>
                </a:cubicBezTo>
                <a:cubicBezTo>
                  <a:pt x="7444" y="5459"/>
                  <a:pt x="3764" y="6473"/>
                  <a:pt x="0" y="7027"/>
                </a:cubicBezTo>
                <a:lnTo>
                  <a:pt x="0" y="14602"/>
                </a:lnTo>
                <a:cubicBezTo>
                  <a:pt x="4687" y="14030"/>
                  <a:pt x="9273" y="12827"/>
                  <a:pt x="13632" y="11024"/>
                </a:cubicBezTo>
                <a:cubicBezTo>
                  <a:pt x="19480" y="8557"/>
                  <a:pt x="25793" y="7361"/>
                  <a:pt x="32146" y="7518"/>
                </a:cubicBezTo>
                <a:cubicBezTo>
                  <a:pt x="38499" y="7360"/>
                  <a:pt x="44812" y="8556"/>
                  <a:pt x="50660" y="11024"/>
                </a:cubicBezTo>
                <a:cubicBezTo>
                  <a:pt x="57361" y="13824"/>
                  <a:pt x="64584" y="15185"/>
                  <a:pt x="71853" y="15018"/>
                </a:cubicBezTo>
                <a:cubicBezTo>
                  <a:pt x="79111" y="15181"/>
                  <a:pt x="86321" y="13820"/>
                  <a:pt x="93012" y="11024"/>
                </a:cubicBezTo>
                <a:cubicBezTo>
                  <a:pt x="98852" y="8557"/>
                  <a:pt x="105158" y="7361"/>
                  <a:pt x="111503" y="7518"/>
                </a:cubicBezTo>
                <a:cubicBezTo>
                  <a:pt x="117850" y="7362"/>
                  <a:pt x="124156" y="8558"/>
                  <a:pt x="129998" y="11024"/>
                </a:cubicBezTo>
                <a:cubicBezTo>
                  <a:pt x="136697" y="13824"/>
                  <a:pt x="143917" y="15185"/>
                  <a:pt x="151183" y="15018"/>
                </a:cubicBezTo>
                <a:cubicBezTo>
                  <a:pt x="158447" y="15184"/>
                  <a:pt x="165665" y="13823"/>
                  <a:pt x="172361" y="11024"/>
                </a:cubicBezTo>
                <a:cubicBezTo>
                  <a:pt x="184233" y="6349"/>
                  <a:pt x="197456" y="6349"/>
                  <a:pt x="209328" y="11024"/>
                </a:cubicBezTo>
                <a:cubicBezTo>
                  <a:pt x="222935" y="16349"/>
                  <a:pt x="238070" y="16349"/>
                  <a:pt x="251676" y="11024"/>
                </a:cubicBezTo>
                <a:cubicBezTo>
                  <a:pt x="263550" y="6349"/>
                  <a:pt x="276774" y="6349"/>
                  <a:pt x="288647" y="11024"/>
                </a:cubicBezTo>
                <a:cubicBezTo>
                  <a:pt x="293002" y="12826"/>
                  <a:pt x="297585" y="14030"/>
                  <a:pt x="302268" y="1460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34" name="Freeform: Shape 433">
            <a:extLst>
              <a:ext uri="{FF2B5EF4-FFF2-40B4-BE49-F238E27FC236}">
                <a16:creationId xmlns:a16="http://schemas.microsoft.com/office/drawing/2014/main" id="{2E82DDC1-E6CE-48D4-9A19-CEA9CBB00085}"/>
              </a:ext>
            </a:extLst>
          </xdr:cNvPr>
          <xdr:cNvSpPr/>
        </xdr:nvSpPr>
        <xdr:spPr>
          <a:xfrm>
            <a:off x="11767001" y="9921912"/>
            <a:ext cx="302268" cy="15031"/>
          </a:xfrm>
          <a:custGeom>
            <a:avLst/>
            <a:gdLst>
              <a:gd name="connsiteX0" fmla="*/ 302268 w 302268"/>
              <a:gd name="connsiteY0" fmla="*/ 7027 h 15031"/>
              <a:gd name="connsiteX1" fmla="*/ 291338 w 302268"/>
              <a:gd name="connsiteY1" fmla="*/ 4008 h 15031"/>
              <a:gd name="connsiteX2" fmla="*/ 248982 w 302268"/>
              <a:gd name="connsiteY2" fmla="*/ 4008 h 15031"/>
              <a:gd name="connsiteX3" fmla="*/ 212022 w 302268"/>
              <a:gd name="connsiteY3" fmla="*/ 4008 h 15031"/>
              <a:gd name="connsiteX4" fmla="*/ 190864 w 302268"/>
              <a:gd name="connsiteY4" fmla="*/ 14 h 15031"/>
              <a:gd name="connsiteX5" fmla="*/ 169682 w 302268"/>
              <a:gd name="connsiteY5" fmla="*/ 4008 h 15031"/>
              <a:gd name="connsiteX6" fmla="*/ 151198 w 302268"/>
              <a:gd name="connsiteY6" fmla="*/ 7514 h 15031"/>
              <a:gd name="connsiteX7" fmla="*/ 132684 w 302268"/>
              <a:gd name="connsiteY7" fmla="*/ 4008 h 15031"/>
              <a:gd name="connsiteX8" fmla="*/ 111503 w 302268"/>
              <a:gd name="connsiteY8" fmla="*/ 14 h 15031"/>
              <a:gd name="connsiteX9" fmla="*/ 90303 w 302268"/>
              <a:gd name="connsiteY9" fmla="*/ 4008 h 15031"/>
              <a:gd name="connsiteX10" fmla="*/ 71819 w 302268"/>
              <a:gd name="connsiteY10" fmla="*/ 7514 h 15031"/>
              <a:gd name="connsiteX11" fmla="*/ 53305 w 302268"/>
              <a:gd name="connsiteY11" fmla="*/ 4008 h 15031"/>
              <a:gd name="connsiteX12" fmla="*/ 32116 w 302268"/>
              <a:gd name="connsiteY12" fmla="*/ 14 h 15031"/>
              <a:gd name="connsiteX13" fmla="*/ 10957 w 302268"/>
              <a:gd name="connsiteY13" fmla="*/ 4008 h 15031"/>
              <a:gd name="connsiteX14" fmla="*/ 0 w 302268"/>
              <a:gd name="connsiteY14" fmla="*/ 7027 h 15031"/>
              <a:gd name="connsiteX15" fmla="*/ 0 w 302268"/>
              <a:gd name="connsiteY15" fmla="*/ 14602 h 15031"/>
              <a:gd name="connsiteX16" fmla="*/ 13632 w 302268"/>
              <a:gd name="connsiteY16" fmla="*/ 11024 h 15031"/>
              <a:gd name="connsiteX17" fmla="*/ 32146 w 302268"/>
              <a:gd name="connsiteY17" fmla="*/ 7518 h 15031"/>
              <a:gd name="connsiteX18" fmla="*/ 50660 w 302268"/>
              <a:gd name="connsiteY18" fmla="*/ 11024 h 15031"/>
              <a:gd name="connsiteX19" fmla="*/ 71853 w 302268"/>
              <a:gd name="connsiteY19" fmla="*/ 15018 h 15031"/>
              <a:gd name="connsiteX20" fmla="*/ 93012 w 302268"/>
              <a:gd name="connsiteY20" fmla="*/ 11024 h 15031"/>
              <a:gd name="connsiteX21" fmla="*/ 111503 w 302268"/>
              <a:gd name="connsiteY21" fmla="*/ 7518 h 15031"/>
              <a:gd name="connsiteX22" fmla="*/ 129998 w 302268"/>
              <a:gd name="connsiteY22" fmla="*/ 11024 h 15031"/>
              <a:gd name="connsiteX23" fmla="*/ 151183 w 302268"/>
              <a:gd name="connsiteY23" fmla="*/ 15018 h 15031"/>
              <a:gd name="connsiteX24" fmla="*/ 172361 w 302268"/>
              <a:gd name="connsiteY24" fmla="*/ 11024 h 15031"/>
              <a:gd name="connsiteX25" fmla="*/ 209328 w 302268"/>
              <a:gd name="connsiteY25" fmla="*/ 11024 h 15031"/>
              <a:gd name="connsiteX26" fmla="*/ 251676 w 302268"/>
              <a:gd name="connsiteY26" fmla="*/ 11024 h 15031"/>
              <a:gd name="connsiteX27" fmla="*/ 288647 w 302268"/>
              <a:gd name="connsiteY27" fmla="*/ 11024 h 15031"/>
              <a:gd name="connsiteX28" fmla="*/ 302268 w 302268"/>
              <a:gd name="connsiteY28" fmla="*/ 14602 h 1503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</a:cxnLst>
            <a:rect l="l" t="t" r="r" b="b"/>
            <a:pathLst>
              <a:path w="302268" h="15031">
                <a:moveTo>
                  <a:pt x="302268" y="7027"/>
                </a:moveTo>
                <a:cubicBezTo>
                  <a:pt x="298513" y="6470"/>
                  <a:pt x="294842" y="5456"/>
                  <a:pt x="291338" y="4008"/>
                </a:cubicBezTo>
                <a:cubicBezTo>
                  <a:pt x="277729" y="-1317"/>
                  <a:pt x="262591" y="-1317"/>
                  <a:pt x="248982" y="4008"/>
                </a:cubicBezTo>
                <a:cubicBezTo>
                  <a:pt x="237113" y="8683"/>
                  <a:pt x="223892" y="8683"/>
                  <a:pt x="212022" y="4008"/>
                </a:cubicBezTo>
                <a:cubicBezTo>
                  <a:pt x="205332" y="1211"/>
                  <a:pt x="198121" y="-150"/>
                  <a:pt x="190864" y="14"/>
                </a:cubicBezTo>
                <a:cubicBezTo>
                  <a:pt x="183598" y="-153"/>
                  <a:pt x="176380" y="1208"/>
                  <a:pt x="169682" y="4008"/>
                </a:cubicBezTo>
                <a:cubicBezTo>
                  <a:pt x="163845" y="6475"/>
                  <a:pt x="157542" y="7670"/>
                  <a:pt x="151198" y="7514"/>
                </a:cubicBezTo>
                <a:cubicBezTo>
                  <a:pt x="144845" y="7672"/>
                  <a:pt x="138533" y="6476"/>
                  <a:pt x="132684" y="4008"/>
                </a:cubicBezTo>
                <a:cubicBezTo>
                  <a:pt x="125987" y="1208"/>
                  <a:pt x="118768" y="-153"/>
                  <a:pt x="111503" y="14"/>
                </a:cubicBezTo>
                <a:cubicBezTo>
                  <a:pt x="104232" y="-155"/>
                  <a:pt x="97006" y="1206"/>
                  <a:pt x="90303" y="4008"/>
                </a:cubicBezTo>
                <a:cubicBezTo>
                  <a:pt x="84465" y="6475"/>
                  <a:pt x="78162" y="7670"/>
                  <a:pt x="71819" y="7514"/>
                </a:cubicBezTo>
                <a:cubicBezTo>
                  <a:pt x="65466" y="7671"/>
                  <a:pt x="59153" y="6475"/>
                  <a:pt x="53305" y="4008"/>
                </a:cubicBezTo>
                <a:cubicBezTo>
                  <a:pt x="46605" y="1208"/>
                  <a:pt x="39384" y="-153"/>
                  <a:pt x="32116" y="14"/>
                </a:cubicBezTo>
                <a:cubicBezTo>
                  <a:pt x="24859" y="-148"/>
                  <a:pt x="17648" y="1213"/>
                  <a:pt x="10957" y="4008"/>
                </a:cubicBezTo>
                <a:cubicBezTo>
                  <a:pt x="7444" y="5459"/>
                  <a:pt x="3764" y="6473"/>
                  <a:pt x="0" y="7027"/>
                </a:cubicBezTo>
                <a:lnTo>
                  <a:pt x="0" y="14602"/>
                </a:lnTo>
                <a:cubicBezTo>
                  <a:pt x="4687" y="14030"/>
                  <a:pt x="9273" y="12827"/>
                  <a:pt x="13632" y="11024"/>
                </a:cubicBezTo>
                <a:cubicBezTo>
                  <a:pt x="19480" y="8557"/>
                  <a:pt x="25793" y="7361"/>
                  <a:pt x="32146" y="7518"/>
                </a:cubicBezTo>
                <a:cubicBezTo>
                  <a:pt x="38499" y="7360"/>
                  <a:pt x="44812" y="8556"/>
                  <a:pt x="50660" y="11024"/>
                </a:cubicBezTo>
                <a:cubicBezTo>
                  <a:pt x="57361" y="13824"/>
                  <a:pt x="64584" y="15185"/>
                  <a:pt x="71853" y="15018"/>
                </a:cubicBezTo>
                <a:cubicBezTo>
                  <a:pt x="79111" y="15181"/>
                  <a:pt x="86321" y="13820"/>
                  <a:pt x="93012" y="11024"/>
                </a:cubicBezTo>
                <a:cubicBezTo>
                  <a:pt x="98852" y="8557"/>
                  <a:pt x="105158" y="7361"/>
                  <a:pt x="111503" y="7518"/>
                </a:cubicBezTo>
                <a:cubicBezTo>
                  <a:pt x="117850" y="7362"/>
                  <a:pt x="124156" y="8558"/>
                  <a:pt x="129998" y="11024"/>
                </a:cubicBezTo>
                <a:cubicBezTo>
                  <a:pt x="136697" y="13824"/>
                  <a:pt x="143917" y="15185"/>
                  <a:pt x="151183" y="15018"/>
                </a:cubicBezTo>
                <a:cubicBezTo>
                  <a:pt x="158447" y="15184"/>
                  <a:pt x="165665" y="13823"/>
                  <a:pt x="172361" y="11024"/>
                </a:cubicBezTo>
                <a:cubicBezTo>
                  <a:pt x="184233" y="6349"/>
                  <a:pt x="197456" y="6349"/>
                  <a:pt x="209328" y="11024"/>
                </a:cubicBezTo>
                <a:cubicBezTo>
                  <a:pt x="222935" y="16349"/>
                  <a:pt x="238070" y="16349"/>
                  <a:pt x="251676" y="11024"/>
                </a:cubicBezTo>
                <a:cubicBezTo>
                  <a:pt x="263550" y="6349"/>
                  <a:pt x="276774" y="6349"/>
                  <a:pt x="288647" y="11024"/>
                </a:cubicBezTo>
                <a:cubicBezTo>
                  <a:pt x="293002" y="12826"/>
                  <a:pt x="297585" y="14030"/>
                  <a:pt x="302268" y="1460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35" name="Freeform: Shape 434">
            <a:extLst>
              <a:ext uri="{FF2B5EF4-FFF2-40B4-BE49-F238E27FC236}">
                <a16:creationId xmlns:a16="http://schemas.microsoft.com/office/drawing/2014/main" id="{0B594837-5EAA-4055-BFA0-57E7ABC836A8}"/>
              </a:ext>
            </a:extLst>
          </xdr:cNvPr>
          <xdr:cNvSpPr/>
        </xdr:nvSpPr>
        <xdr:spPr>
          <a:xfrm>
            <a:off x="11767001" y="9893787"/>
            <a:ext cx="302268" cy="15031"/>
          </a:xfrm>
          <a:custGeom>
            <a:avLst/>
            <a:gdLst>
              <a:gd name="connsiteX0" fmla="*/ 302268 w 302268"/>
              <a:gd name="connsiteY0" fmla="*/ 7027 h 15031"/>
              <a:gd name="connsiteX1" fmla="*/ 291338 w 302268"/>
              <a:gd name="connsiteY1" fmla="*/ 4008 h 15031"/>
              <a:gd name="connsiteX2" fmla="*/ 248982 w 302268"/>
              <a:gd name="connsiteY2" fmla="*/ 4008 h 15031"/>
              <a:gd name="connsiteX3" fmla="*/ 212022 w 302268"/>
              <a:gd name="connsiteY3" fmla="*/ 4008 h 15031"/>
              <a:gd name="connsiteX4" fmla="*/ 190864 w 302268"/>
              <a:gd name="connsiteY4" fmla="*/ 14 h 15031"/>
              <a:gd name="connsiteX5" fmla="*/ 169682 w 302268"/>
              <a:gd name="connsiteY5" fmla="*/ 4008 h 15031"/>
              <a:gd name="connsiteX6" fmla="*/ 151198 w 302268"/>
              <a:gd name="connsiteY6" fmla="*/ 7514 h 15031"/>
              <a:gd name="connsiteX7" fmla="*/ 132684 w 302268"/>
              <a:gd name="connsiteY7" fmla="*/ 4008 h 15031"/>
              <a:gd name="connsiteX8" fmla="*/ 111503 w 302268"/>
              <a:gd name="connsiteY8" fmla="*/ 14 h 15031"/>
              <a:gd name="connsiteX9" fmla="*/ 90303 w 302268"/>
              <a:gd name="connsiteY9" fmla="*/ 4008 h 15031"/>
              <a:gd name="connsiteX10" fmla="*/ 71819 w 302268"/>
              <a:gd name="connsiteY10" fmla="*/ 7514 h 15031"/>
              <a:gd name="connsiteX11" fmla="*/ 53305 w 302268"/>
              <a:gd name="connsiteY11" fmla="*/ 4008 h 15031"/>
              <a:gd name="connsiteX12" fmla="*/ 32116 w 302268"/>
              <a:gd name="connsiteY12" fmla="*/ 14 h 15031"/>
              <a:gd name="connsiteX13" fmla="*/ 10957 w 302268"/>
              <a:gd name="connsiteY13" fmla="*/ 4008 h 15031"/>
              <a:gd name="connsiteX14" fmla="*/ 0 w 302268"/>
              <a:gd name="connsiteY14" fmla="*/ 7027 h 15031"/>
              <a:gd name="connsiteX15" fmla="*/ 0 w 302268"/>
              <a:gd name="connsiteY15" fmla="*/ 14602 h 15031"/>
              <a:gd name="connsiteX16" fmla="*/ 13632 w 302268"/>
              <a:gd name="connsiteY16" fmla="*/ 11024 h 15031"/>
              <a:gd name="connsiteX17" fmla="*/ 32146 w 302268"/>
              <a:gd name="connsiteY17" fmla="*/ 7518 h 15031"/>
              <a:gd name="connsiteX18" fmla="*/ 50660 w 302268"/>
              <a:gd name="connsiteY18" fmla="*/ 11024 h 15031"/>
              <a:gd name="connsiteX19" fmla="*/ 71853 w 302268"/>
              <a:gd name="connsiteY19" fmla="*/ 15018 h 15031"/>
              <a:gd name="connsiteX20" fmla="*/ 93012 w 302268"/>
              <a:gd name="connsiteY20" fmla="*/ 11024 h 15031"/>
              <a:gd name="connsiteX21" fmla="*/ 111503 w 302268"/>
              <a:gd name="connsiteY21" fmla="*/ 7518 h 15031"/>
              <a:gd name="connsiteX22" fmla="*/ 129998 w 302268"/>
              <a:gd name="connsiteY22" fmla="*/ 11024 h 15031"/>
              <a:gd name="connsiteX23" fmla="*/ 151183 w 302268"/>
              <a:gd name="connsiteY23" fmla="*/ 15018 h 15031"/>
              <a:gd name="connsiteX24" fmla="*/ 172361 w 302268"/>
              <a:gd name="connsiteY24" fmla="*/ 11024 h 15031"/>
              <a:gd name="connsiteX25" fmla="*/ 209328 w 302268"/>
              <a:gd name="connsiteY25" fmla="*/ 11024 h 15031"/>
              <a:gd name="connsiteX26" fmla="*/ 251676 w 302268"/>
              <a:gd name="connsiteY26" fmla="*/ 11024 h 15031"/>
              <a:gd name="connsiteX27" fmla="*/ 288647 w 302268"/>
              <a:gd name="connsiteY27" fmla="*/ 11024 h 15031"/>
              <a:gd name="connsiteX28" fmla="*/ 302268 w 302268"/>
              <a:gd name="connsiteY28" fmla="*/ 14602 h 1503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</a:cxnLst>
            <a:rect l="l" t="t" r="r" b="b"/>
            <a:pathLst>
              <a:path w="302268" h="15031">
                <a:moveTo>
                  <a:pt x="302268" y="7027"/>
                </a:moveTo>
                <a:cubicBezTo>
                  <a:pt x="298513" y="6470"/>
                  <a:pt x="294842" y="5456"/>
                  <a:pt x="291338" y="4008"/>
                </a:cubicBezTo>
                <a:cubicBezTo>
                  <a:pt x="277729" y="-1317"/>
                  <a:pt x="262591" y="-1317"/>
                  <a:pt x="248982" y="4008"/>
                </a:cubicBezTo>
                <a:cubicBezTo>
                  <a:pt x="237113" y="8683"/>
                  <a:pt x="223892" y="8683"/>
                  <a:pt x="212022" y="4008"/>
                </a:cubicBezTo>
                <a:cubicBezTo>
                  <a:pt x="205332" y="1211"/>
                  <a:pt x="198121" y="-150"/>
                  <a:pt x="190864" y="14"/>
                </a:cubicBezTo>
                <a:cubicBezTo>
                  <a:pt x="183598" y="-153"/>
                  <a:pt x="176380" y="1208"/>
                  <a:pt x="169682" y="4008"/>
                </a:cubicBezTo>
                <a:cubicBezTo>
                  <a:pt x="163845" y="6475"/>
                  <a:pt x="157542" y="7670"/>
                  <a:pt x="151198" y="7514"/>
                </a:cubicBezTo>
                <a:cubicBezTo>
                  <a:pt x="144845" y="7672"/>
                  <a:pt x="138533" y="6476"/>
                  <a:pt x="132684" y="4008"/>
                </a:cubicBezTo>
                <a:cubicBezTo>
                  <a:pt x="125987" y="1208"/>
                  <a:pt x="118768" y="-153"/>
                  <a:pt x="111503" y="14"/>
                </a:cubicBezTo>
                <a:cubicBezTo>
                  <a:pt x="104232" y="-155"/>
                  <a:pt x="97006" y="1206"/>
                  <a:pt x="90303" y="4008"/>
                </a:cubicBezTo>
                <a:cubicBezTo>
                  <a:pt x="84465" y="6475"/>
                  <a:pt x="78162" y="7670"/>
                  <a:pt x="71819" y="7514"/>
                </a:cubicBezTo>
                <a:cubicBezTo>
                  <a:pt x="65466" y="7671"/>
                  <a:pt x="59153" y="6475"/>
                  <a:pt x="53305" y="4008"/>
                </a:cubicBezTo>
                <a:cubicBezTo>
                  <a:pt x="46605" y="1208"/>
                  <a:pt x="39384" y="-153"/>
                  <a:pt x="32116" y="14"/>
                </a:cubicBezTo>
                <a:cubicBezTo>
                  <a:pt x="24859" y="-148"/>
                  <a:pt x="17648" y="1213"/>
                  <a:pt x="10957" y="4008"/>
                </a:cubicBezTo>
                <a:cubicBezTo>
                  <a:pt x="7444" y="5459"/>
                  <a:pt x="3764" y="6473"/>
                  <a:pt x="0" y="7027"/>
                </a:cubicBezTo>
                <a:lnTo>
                  <a:pt x="0" y="14602"/>
                </a:lnTo>
                <a:cubicBezTo>
                  <a:pt x="4687" y="14030"/>
                  <a:pt x="9273" y="12827"/>
                  <a:pt x="13632" y="11024"/>
                </a:cubicBezTo>
                <a:cubicBezTo>
                  <a:pt x="19480" y="8557"/>
                  <a:pt x="25793" y="7361"/>
                  <a:pt x="32146" y="7518"/>
                </a:cubicBezTo>
                <a:cubicBezTo>
                  <a:pt x="38499" y="7360"/>
                  <a:pt x="44812" y="8556"/>
                  <a:pt x="50660" y="11024"/>
                </a:cubicBezTo>
                <a:cubicBezTo>
                  <a:pt x="57361" y="13824"/>
                  <a:pt x="64584" y="15185"/>
                  <a:pt x="71853" y="15018"/>
                </a:cubicBezTo>
                <a:cubicBezTo>
                  <a:pt x="79111" y="15181"/>
                  <a:pt x="86321" y="13820"/>
                  <a:pt x="93012" y="11024"/>
                </a:cubicBezTo>
                <a:cubicBezTo>
                  <a:pt x="98852" y="8557"/>
                  <a:pt x="105158" y="7361"/>
                  <a:pt x="111503" y="7518"/>
                </a:cubicBezTo>
                <a:cubicBezTo>
                  <a:pt x="117850" y="7362"/>
                  <a:pt x="124156" y="8558"/>
                  <a:pt x="129998" y="11024"/>
                </a:cubicBezTo>
                <a:cubicBezTo>
                  <a:pt x="136697" y="13824"/>
                  <a:pt x="143917" y="15185"/>
                  <a:pt x="151183" y="15018"/>
                </a:cubicBezTo>
                <a:cubicBezTo>
                  <a:pt x="158447" y="15184"/>
                  <a:pt x="165665" y="13823"/>
                  <a:pt x="172361" y="11024"/>
                </a:cubicBezTo>
                <a:cubicBezTo>
                  <a:pt x="184233" y="6349"/>
                  <a:pt x="197456" y="6349"/>
                  <a:pt x="209328" y="11024"/>
                </a:cubicBezTo>
                <a:cubicBezTo>
                  <a:pt x="222935" y="16349"/>
                  <a:pt x="238070" y="16349"/>
                  <a:pt x="251676" y="11024"/>
                </a:cubicBezTo>
                <a:cubicBezTo>
                  <a:pt x="263550" y="6349"/>
                  <a:pt x="276774" y="6349"/>
                  <a:pt x="288647" y="11024"/>
                </a:cubicBezTo>
                <a:cubicBezTo>
                  <a:pt x="293002" y="12826"/>
                  <a:pt x="297585" y="14030"/>
                  <a:pt x="302268" y="1460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36" name="Freeform: Shape 435">
            <a:extLst>
              <a:ext uri="{FF2B5EF4-FFF2-40B4-BE49-F238E27FC236}">
                <a16:creationId xmlns:a16="http://schemas.microsoft.com/office/drawing/2014/main" id="{87E8AD2E-4C2B-40EC-9DD1-60875537A6A1}"/>
              </a:ext>
            </a:extLst>
          </xdr:cNvPr>
          <xdr:cNvSpPr/>
        </xdr:nvSpPr>
        <xdr:spPr>
          <a:xfrm>
            <a:off x="11843864" y="9680764"/>
            <a:ext cx="133407" cy="159802"/>
          </a:xfrm>
          <a:custGeom>
            <a:avLst/>
            <a:gdLst>
              <a:gd name="connsiteX0" fmla="*/ 82583 w 133407"/>
              <a:gd name="connsiteY0" fmla="*/ 13601 h 159802"/>
              <a:gd name="connsiteX1" fmla="*/ 119530 w 133407"/>
              <a:gd name="connsiteY1" fmla="*/ 109360 h 159802"/>
              <a:gd name="connsiteX2" fmla="*/ 52776 w 133407"/>
              <a:gd name="connsiteY2" fmla="*/ 152321 h 159802"/>
              <a:gd name="connsiteX3" fmla="*/ 26229 w 133407"/>
              <a:gd name="connsiteY3" fmla="*/ 147375 h 159802"/>
              <a:gd name="connsiteX4" fmla="*/ 23430 w 133407"/>
              <a:gd name="connsiteY4" fmla="*/ 145999 h 159802"/>
              <a:gd name="connsiteX5" fmla="*/ 26921 w 133407"/>
              <a:gd name="connsiteY5" fmla="*/ 145358 h 159802"/>
              <a:gd name="connsiteX6" fmla="*/ 91364 w 133407"/>
              <a:gd name="connsiteY6" fmla="*/ 39545 h 159802"/>
              <a:gd name="connsiteX7" fmla="*/ 81442 w 133407"/>
              <a:gd name="connsiteY7" fmla="*/ 15608 h 159802"/>
              <a:gd name="connsiteX8" fmla="*/ 79115 w 133407"/>
              <a:gd name="connsiteY8" fmla="*/ 12383 h 159802"/>
              <a:gd name="connsiteX9" fmla="*/ 82583 w 133407"/>
              <a:gd name="connsiteY9" fmla="*/ 13601 h 159802"/>
              <a:gd name="connsiteX10" fmla="*/ 58538 w 133407"/>
              <a:gd name="connsiteY10" fmla="*/ 0 h 159802"/>
              <a:gd name="connsiteX11" fmla="*/ 66645 w 133407"/>
              <a:gd name="connsiteY11" fmla="*/ 112854 h 159802"/>
              <a:gd name="connsiteX12" fmla="*/ 5747 w 133407"/>
              <a:gd name="connsiteY12" fmla="*/ 140453 h 159802"/>
              <a:gd name="connsiteX13" fmla="*/ 0 w 133407"/>
              <a:gd name="connsiteY13" fmla="*/ 140250 h 159802"/>
              <a:gd name="connsiteX14" fmla="*/ 113707 w 133407"/>
              <a:gd name="connsiteY14" fmla="*/ 132201 h 159802"/>
              <a:gd name="connsiteX15" fmla="*/ 105598 w 133407"/>
              <a:gd name="connsiteY15" fmla="*/ 19348 h 159802"/>
              <a:gd name="connsiteX16" fmla="*/ 61897 w 133407"/>
              <a:gd name="connsiteY16" fmla="*/ 307 h 159802"/>
              <a:gd name="connsiteX17" fmla="*/ 58538 w 133407"/>
              <a:gd name="connsiteY17" fmla="*/ 0 h 15980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33407" h="159802">
                <a:moveTo>
                  <a:pt x="82583" y="13601"/>
                </a:moveTo>
                <a:cubicBezTo>
                  <a:pt x="119429" y="29918"/>
                  <a:pt x="135970" y="72791"/>
                  <a:pt x="119530" y="109360"/>
                </a:cubicBezTo>
                <a:cubicBezTo>
                  <a:pt x="107776" y="135504"/>
                  <a:pt x="81622" y="152337"/>
                  <a:pt x="52776" y="152321"/>
                </a:cubicBezTo>
                <a:cubicBezTo>
                  <a:pt x="43689" y="152385"/>
                  <a:pt x="34675" y="150705"/>
                  <a:pt x="26229" y="147375"/>
                </a:cubicBezTo>
                <a:cubicBezTo>
                  <a:pt x="25268" y="146975"/>
                  <a:pt x="24333" y="146516"/>
                  <a:pt x="23430" y="145999"/>
                </a:cubicBezTo>
                <a:cubicBezTo>
                  <a:pt x="24639" y="145811"/>
                  <a:pt x="25753" y="145643"/>
                  <a:pt x="26921" y="145358"/>
                </a:cubicBezTo>
                <a:cubicBezTo>
                  <a:pt x="74157" y="133800"/>
                  <a:pt x="103009" y="86427"/>
                  <a:pt x="91364" y="39545"/>
                </a:cubicBezTo>
                <a:cubicBezTo>
                  <a:pt x="89272" y="31122"/>
                  <a:pt x="85928" y="23054"/>
                  <a:pt x="81442" y="15608"/>
                </a:cubicBezTo>
                <a:cubicBezTo>
                  <a:pt x="80758" y="14470"/>
                  <a:pt x="79980" y="13391"/>
                  <a:pt x="79115" y="12383"/>
                </a:cubicBezTo>
                <a:cubicBezTo>
                  <a:pt x="80301" y="12698"/>
                  <a:pt x="81461" y="13106"/>
                  <a:pt x="82583" y="13601"/>
                </a:cubicBezTo>
                <a:close/>
                <a:moveTo>
                  <a:pt x="58538" y="0"/>
                </a:moveTo>
                <a:cubicBezTo>
                  <a:pt x="92176" y="28942"/>
                  <a:pt x="95805" y="79469"/>
                  <a:pt x="66645" y="112854"/>
                </a:cubicBezTo>
                <a:cubicBezTo>
                  <a:pt x="51336" y="130380"/>
                  <a:pt x="29118" y="140450"/>
                  <a:pt x="5747" y="140453"/>
                </a:cubicBezTo>
                <a:cubicBezTo>
                  <a:pt x="3835" y="140453"/>
                  <a:pt x="1919" y="140385"/>
                  <a:pt x="0" y="140250"/>
                </a:cubicBezTo>
                <a:cubicBezTo>
                  <a:pt x="33639" y="169191"/>
                  <a:pt x="84547" y="165588"/>
                  <a:pt x="113707" y="132201"/>
                </a:cubicBezTo>
                <a:cubicBezTo>
                  <a:pt x="142868" y="98815"/>
                  <a:pt x="139237" y="48289"/>
                  <a:pt x="105598" y="19348"/>
                </a:cubicBezTo>
                <a:cubicBezTo>
                  <a:pt x="93302" y="8768"/>
                  <a:pt x="78066" y="2130"/>
                  <a:pt x="61897" y="307"/>
                </a:cubicBezTo>
                <a:cubicBezTo>
                  <a:pt x="60779" y="184"/>
                  <a:pt x="58538" y="0"/>
                  <a:pt x="58538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6</xdr:col>
      <xdr:colOff>123405</xdr:colOff>
      <xdr:row>7</xdr:row>
      <xdr:rowOff>143025</xdr:rowOff>
    </xdr:from>
    <xdr:to>
      <xdr:col>6</xdr:col>
      <xdr:colOff>460640</xdr:colOff>
      <xdr:row>7</xdr:row>
      <xdr:rowOff>429167</xdr:rowOff>
    </xdr:to>
    <xdr:grpSp>
      <xdr:nvGrpSpPr>
        <xdr:cNvPr id="437" name="forest" descr="Forest scene outline">
          <a:extLst>
            <a:ext uri="{FF2B5EF4-FFF2-40B4-BE49-F238E27FC236}">
              <a16:creationId xmlns:a16="http://schemas.microsoft.com/office/drawing/2014/main" id="{FDB041E2-2307-4D79-82EF-EB2850B0FB8B}"/>
            </a:ext>
          </a:extLst>
        </xdr:cNvPr>
        <xdr:cNvGrpSpPr>
          <a:grpSpLocks noChangeAspect="1"/>
        </xdr:cNvGrpSpPr>
      </xdr:nvGrpSpPr>
      <xdr:grpSpPr>
        <a:xfrm>
          <a:off x="5343105" y="2409975"/>
          <a:ext cx="337235" cy="286142"/>
          <a:chOff x="13025371" y="9660871"/>
          <a:chExt cx="337235" cy="286142"/>
        </a:xfrm>
        <a:solidFill>
          <a:srgbClr val="1F4E78"/>
        </a:solidFill>
      </xdr:grpSpPr>
      <xdr:sp macro="" textlink="">
        <xdr:nvSpPr>
          <xdr:cNvPr id="438" name="Freeform: Shape 437">
            <a:extLst>
              <a:ext uri="{FF2B5EF4-FFF2-40B4-BE49-F238E27FC236}">
                <a16:creationId xmlns:a16="http://schemas.microsoft.com/office/drawing/2014/main" id="{B667A35A-6E56-45F5-81EF-CE4D16D4B3D8}"/>
              </a:ext>
            </a:extLst>
          </xdr:cNvPr>
          <xdr:cNvSpPr/>
        </xdr:nvSpPr>
        <xdr:spPr>
          <a:xfrm>
            <a:off x="13153534" y="9759213"/>
            <a:ext cx="209072" cy="187800"/>
          </a:xfrm>
          <a:custGeom>
            <a:avLst/>
            <a:gdLst>
              <a:gd name="connsiteX0" fmla="*/ 207255 w 209072"/>
              <a:gd name="connsiteY0" fmla="*/ 185491 h 187800"/>
              <a:gd name="connsiteX1" fmla="*/ 180290 w 209072"/>
              <a:gd name="connsiteY1" fmla="*/ 161579 h 187800"/>
              <a:gd name="connsiteX2" fmla="*/ 152196 w 209072"/>
              <a:gd name="connsiteY2" fmla="*/ 146198 h 187800"/>
              <a:gd name="connsiteX3" fmla="*/ 152196 w 209072"/>
              <a:gd name="connsiteY3" fmla="*/ 118308 h 187800"/>
              <a:gd name="connsiteX4" fmla="*/ 207683 w 209072"/>
              <a:gd name="connsiteY4" fmla="*/ 123654 h 187800"/>
              <a:gd name="connsiteX5" fmla="*/ 180555 w 209072"/>
              <a:gd name="connsiteY5" fmla="*/ 81638 h 187800"/>
              <a:gd name="connsiteX6" fmla="*/ 197728 w 209072"/>
              <a:gd name="connsiteY6" fmla="*/ 86189 h 187800"/>
              <a:gd name="connsiteX7" fmla="*/ 176511 w 209072"/>
              <a:gd name="connsiteY7" fmla="*/ 53641 h 187800"/>
              <a:gd name="connsiteX8" fmla="*/ 189219 w 209072"/>
              <a:gd name="connsiteY8" fmla="*/ 55208 h 187800"/>
              <a:gd name="connsiteX9" fmla="*/ 151439 w 209072"/>
              <a:gd name="connsiteY9" fmla="*/ 0 h 187800"/>
              <a:gd name="connsiteX10" fmla="*/ 113660 w 209072"/>
              <a:gd name="connsiteY10" fmla="*/ 55207 h 187800"/>
              <a:gd name="connsiteX11" fmla="*/ 126367 w 209072"/>
              <a:gd name="connsiteY11" fmla="*/ 53640 h 187800"/>
              <a:gd name="connsiteX12" fmla="*/ 105151 w 209072"/>
              <a:gd name="connsiteY12" fmla="*/ 86187 h 187800"/>
              <a:gd name="connsiteX13" fmla="*/ 122323 w 209072"/>
              <a:gd name="connsiteY13" fmla="*/ 81638 h 187800"/>
              <a:gd name="connsiteX14" fmla="*/ 95194 w 209072"/>
              <a:gd name="connsiteY14" fmla="*/ 123655 h 187800"/>
              <a:gd name="connsiteX15" fmla="*/ 144638 w 209072"/>
              <a:gd name="connsiteY15" fmla="*/ 118892 h 187800"/>
              <a:gd name="connsiteX16" fmla="*/ 144638 w 209072"/>
              <a:gd name="connsiteY16" fmla="*/ 143072 h 187800"/>
              <a:gd name="connsiteX17" fmla="*/ 128159 w 209072"/>
              <a:gd name="connsiteY17" fmla="*/ 137183 h 187800"/>
              <a:gd name="connsiteX18" fmla="*/ 82155 w 209072"/>
              <a:gd name="connsiteY18" fmla="*/ 127724 h 187800"/>
              <a:gd name="connsiteX19" fmla="*/ 74584 w 209072"/>
              <a:gd name="connsiteY19" fmla="*/ 127147 h 187800"/>
              <a:gd name="connsiteX20" fmla="*/ 74584 w 209072"/>
              <a:gd name="connsiteY20" fmla="*/ 81066 h 187800"/>
              <a:gd name="connsiteX21" fmla="*/ 96800 w 209072"/>
              <a:gd name="connsiteY21" fmla="*/ 85191 h 187800"/>
              <a:gd name="connsiteX22" fmla="*/ 101237 w 209072"/>
              <a:gd name="connsiteY22" fmla="*/ 78385 h 187800"/>
              <a:gd name="connsiteX23" fmla="*/ 70806 w 209072"/>
              <a:gd name="connsiteY23" fmla="*/ 72735 h 187800"/>
              <a:gd name="connsiteX24" fmla="*/ 608 w 209072"/>
              <a:gd name="connsiteY24" fmla="*/ 85763 h 187800"/>
              <a:gd name="connsiteX25" fmla="*/ 5241 w 209072"/>
              <a:gd name="connsiteY25" fmla="*/ 92533 h 187800"/>
              <a:gd name="connsiteX26" fmla="*/ 67027 w 209072"/>
              <a:gd name="connsiteY26" fmla="*/ 81066 h 187800"/>
              <a:gd name="connsiteX27" fmla="*/ 67027 w 209072"/>
              <a:gd name="connsiteY27" fmla="*/ 126802 h 187800"/>
              <a:gd name="connsiteX28" fmla="*/ 28369 w 209072"/>
              <a:gd name="connsiteY28" fmla="*/ 130492 h 187800"/>
              <a:gd name="connsiteX29" fmla="*/ 10721 w 209072"/>
              <a:gd name="connsiteY29" fmla="*/ 136388 h 187800"/>
              <a:gd name="connsiteX30" fmla="*/ 0 w 209072"/>
              <a:gd name="connsiteY30" fmla="*/ 141900 h 187800"/>
              <a:gd name="connsiteX31" fmla="*/ 7549 w 209072"/>
              <a:gd name="connsiteY31" fmla="*/ 146284 h 187800"/>
              <a:gd name="connsiteX32" fmla="*/ 13859 w 209072"/>
              <a:gd name="connsiteY32" fmla="*/ 143209 h 187800"/>
              <a:gd name="connsiteX33" fmla="*/ 30216 w 209072"/>
              <a:gd name="connsiteY33" fmla="*/ 137762 h 187800"/>
              <a:gd name="connsiteX34" fmla="*/ 81464 w 209072"/>
              <a:gd name="connsiteY34" fmla="*/ 135188 h 187800"/>
              <a:gd name="connsiteX35" fmla="*/ 125763 w 209072"/>
              <a:gd name="connsiteY35" fmla="*/ 144291 h 187800"/>
              <a:gd name="connsiteX36" fmla="*/ 176218 w 209072"/>
              <a:gd name="connsiteY36" fmla="*/ 167894 h 187800"/>
              <a:gd name="connsiteX37" fmla="*/ 199335 w 209072"/>
              <a:gd name="connsiteY37" fmla="*/ 187800 h 187800"/>
              <a:gd name="connsiteX38" fmla="*/ 209073 w 209072"/>
              <a:gd name="connsiteY38" fmla="*/ 187800 h 187800"/>
              <a:gd name="connsiteX39" fmla="*/ 109955 w 209072"/>
              <a:gd name="connsiteY39" fmla="*/ 114696 h 187800"/>
              <a:gd name="connsiteX40" fmla="*/ 139199 w 209072"/>
              <a:gd name="connsiteY40" fmla="*/ 69403 h 187800"/>
              <a:gd name="connsiteX41" fmla="*/ 122146 w 209072"/>
              <a:gd name="connsiteY41" fmla="*/ 73921 h 187800"/>
              <a:gd name="connsiteX42" fmla="*/ 141510 w 209072"/>
              <a:gd name="connsiteY42" fmla="*/ 44215 h 187800"/>
              <a:gd name="connsiteX43" fmla="*/ 129282 w 209072"/>
              <a:gd name="connsiteY43" fmla="*/ 45722 h 187800"/>
              <a:gd name="connsiteX44" fmla="*/ 151439 w 209072"/>
              <a:gd name="connsiteY44" fmla="*/ 13350 h 187800"/>
              <a:gd name="connsiteX45" fmla="*/ 173596 w 209072"/>
              <a:gd name="connsiteY45" fmla="*/ 45723 h 187800"/>
              <a:gd name="connsiteX46" fmla="*/ 161369 w 209072"/>
              <a:gd name="connsiteY46" fmla="*/ 44216 h 187800"/>
              <a:gd name="connsiteX47" fmla="*/ 180733 w 209072"/>
              <a:gd name="connsiteY47" fmla="*/ 73922 h 187800"/>
              <a:gd name="connsiteX48" fmla="*/ 163678 w 209072"/>
              <a:gd name="connsiteY48" fmla="*/ 69403 h 187800"/>
              <a:gd name="connsiteX49" fmla="*/ 192922 w 209072"/>
              <a:gd name="connsiteY49" fmla="*/ 114696 h 187800"/>
              <a:gd name="connsiteX50" fmla="*/ 151439 w 209072"/>
              <a:gd name="connsiteY50" fmla="*/ 110700 h 187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</a:cxnLst>
            <a:rect l="l" t="t" r="r" b="b"/>
            <a:pathLst>
              <a:path w="209072" h="187800">
                <a:moveTo>
                  <a:pt x="207255" y="185491"/>
                </a:moveTo>
                <a:cubicBezTo>
                  <a:pt x="199548" y="176202"/>
                  <a:pt x="190454" y="168138"/>
                  <a:pt x="180290" y="161579"/>
                </a:cubicBezTo>
                <a:cubicBezTo>
                  <a:pt x="171364" y="155699"/>
                  <a:pt x="161968" y="150555"/>
                  <a:pt x="152196" y="146198"/>
                </a:cubicBezTo>
                <a:lnTo>
                  <a:pt x="152196" y="118308"/>
                </a:lnTo>
                <a:lnTo>
                  <a:pt x="207683" y="123654"/>
                </a:lnTo>
                <a:lnTo>
                  <a:pt x="180555" y="81638"/>
                </a:lnTo>
                <a:lnTo>
                  <a:pt x="197728" y="86189"/>
                </a:lnTo>
                <a:lnTo>
                  <a:pt x="176511" y="53641"/>
                </a:lnTo>
                <a:lnTo>
                  <a:pt x="189219" y="55208"/>
                </a:lnTo>
                <a:lnTo>
                  <a:pt x="151439" y="0"/>
                </a:lnTo>
                <a:lnTo>
                  <a:pt x="113660" y="55207"/>
                </a:lnTo>
                <a:lnTo>
                  <a:pt x="126367" y="53640"/>
                </a:lnTo>
                <a:lnTo>
                  <a:pt x="105151" y="86187"/>
                </a:lnTo>
                <a:lnTo>
                  <a:pt x="122323" y="81638"/>
                </a:lnTo>
                <a:lnTo>
                  <a:pt x="95194" y="123655"/>
                </a:lnTo>
                <a:lnTo>
                  <a:pt x="144638" y="118892"/>
                </a:lnTo>
                <a:lnTo>
                  <a:pt x="144638" y="143072"/>
                </a:lnTo>
                <a:cubicBezTo>
                  <a:pt x="139823" y="141191"/>
                  <a:pt x="134440" y="139268"/>
                  <a:pt x="128159" y="137183"/>
                </a:cubicBezTo>
                <a:cubicBezTo>
                  <a:pt x="113187" y="132490"/>
                  <a:pt x="97773" y="129320"/>
                  <a:pt x="82155" y="127724"/>
                </a:cubicBezTo>
                <a:cubicBezTo>
                  <a:pt x="79842" y="127512"/>
                  <a:pt x="77265" y="127319"/>
                  <a:pt x="74584" y="127147"/>
                </a:cubicBezTo>
                <a:lnTo>
                  <a:pt x="74584" y="81066"/>
                </a:lnTo>
                <a:lnTo>
                  <a:pt x="96800" y="85191"/>
                </a:lnTo>
                <a:lnTo>
                  <a:pt x="101237" y="78385"/>
                </a:lnTo>
                <a:lnTo>
                  <a:pt x="70806" y="72735"/>
                </a:lnTo>
                <a:lnTo>
                  <a:pt x="608" y="85763"/>
                </a:lnTo>
                <a:lnTo>
                  <a:pt x="5241" y="92533"/>
                </a:lnTo>
                <a:lnTo>
                  <a:pt x="67027" y="81066"/>
                </a:lnTo>
                <a:lnTo>
                  <a:pt x="67027" y="126802"/>
                </a:lnTo>
                <a:cubicBezTo>
                  <a:pt x="54032" y="126275"/>
                  <a:pt x="41025" y="127517"/>
                  <a:pt x="28369" y="130492"/>
                </a:cubicBezTo>
                <a:cubicBezTo>
                  <a:pt x="22318" y="131919"/>
                  <a:pt x="16411" y="133892"/>
                  <a:pt x="10721" y="136388"/>
                </a:cubicBezTo>
                <a:cubicBezTo>
                  <a:pt x="6832" y="138148"/>
                  <a:pt x="3319" y="140003"/>
                  <a:pt x="0" y="141900"/>
                </a:cubicBezTo>
                <a:cubicBezTo>
                  <a:pt x="2602" y="143250"/>
                  <a:pt x="5111" y="144742"/>
                  <a:pt x="7549" y="146284"/>
                </a:cubicBezTo>
                <a:cubicBezTo>
                  <a:pt x="9558" y="145241"/>
                  <a:pt x="11644" y="144213"/>
                  <a:pt x="13859" y="143209"/>
                </a:cubicBezTo>
                <a:cubicBezTo>
                  <a:pt x="19133" y="140903"/>
                  <a:pt x="24608" y="139079"/>
                  <a:pt x="30216" y="137762"/>
                </a:cubicBezTo>
                <a:cubicBezTo>
                  <a:pt x="47034" y="134073"/>
                  <a:pt x="64356" y="133203"/>
                  <a:pt x="81464" y="135188"/>
                </a:cubicBezTo>
                <a:cubicBezTo>
                  <a:pt x="96503" y="136722"/>
                  <a:pt x="111346" y="139773"/>
                  <a:pt x="125763" y="144291"/>
                </a:cubicBezTo>
                <a:cubicBezTo>
                  <a:pt x="143650" y="149677"/>
                  <a:pt x="160648" y="157628"/>
                  <a:pt x="176218" y="167894"/>
                </a:cubicBezTo>
                <a:cubicBezTo>
                  <a:pt x="184789" y="173469"/>
                  <a:pt x="192565" y="180165"/>
                  <a:pt x="199335" y="187800"/>
                </a:cubicBezTo>
                <a:lnTo>
                  <a:pt x="209073" y="187800"/>
                </a:lnTo>
                <a:close/>
                <a:moveTo>
                  <a:pt x="109955" y="114696"/>
                </a:moveTo>
                <a:lnTo>
                  <a:pt x="139199" y="69403"/>
                </a:lnTo>
                <a:lnTo>
                  <a:pt x="122146" y="73921"/>
                </a:lnTo>
                <a:lnTo>
                  <a:pt x="141510" y="44215"/>
                </a:lnTo>
                <a:lnTo>
                  <a:pt x="129282" y="45722"/>
                </a:lnTo>
                <a:lnTo>
                  <a:pt x="151439" y="13350"/>
                </a:lnTo>
                <a:lnTo>
                  <a:pt x="173596" y="45723"/>
                </a:lnTo>
                <a:lnTo>
                  <a:pt x="161369" y="44216"/>
                </a:lnTo>
                <a:lnTo>
                  <a:pt x="180733" y="73922"/>
                </a:lnTo>
                <a:lnTo>
                  <a:pt x="163678" y="69403"/>
                </a:lnTo>
                <a:lnTo>
                  <a:pt x="192922" y="114696"/>
                </a:lnTo>
                <a:lnTo>
                  <a:pt x="151439" y="11070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39" name="Freeform: Shape 438">
            <a:extLst>
              <a:ext uri="{FF2B5EF4-FFF2-40B4-BE49-F238E27FC236}">
                <a16:creationId xmlns:a16="http://schemas.microsoft.com/office/drawing/2014/main" id="{4CBDA629-B354-47AD-A94A-CCE5073AA6AA}"/>
              </a:ext>
            </a:extLst>
          </xdr:cNvPr>
          <xdr:cNvSpPr/>
        </xdr:nvSpPr>
        <xdr:spPr>
          <a:xfrm>
            <a:off x="13025371" y="9769212"/>
            <a:ext cx="162286" cy="177801"/>
          </a:xfrm>
          <a:custGeom>
            <a:avLst/>
            <a:gdLst>
              <a:gd name="connsiteX0" fmla="*/ 160831 w 162286"/>
              <a:gd name="connsiteY0" fmla="*/ 175763 h 177801"/>
              <a:gd name="connsiteX1" fmla="*/ 148042 w 162286"/>
              <a:gd name="connsiteY1" fmla="*/ 160516 h 177801"/>
              <a:gd name="connsiteX2" fmla="*/ 118640 w 162286"/>
              <a:gd name="connsiteY2" fmla="*/ 139814 h 177801"/>
              <a:gd name="connsiteX3" fmla="*/ 102242 w 162286"/>
              <a:gd name="connsiteY3" fmla="*/ 135904 h 177801"/>
              <a:gd name="connsiteX4" fmla="*/ 102242 w 162286"/>
              <a:gd name="connsiteY4" fmla="*/ 116463 h 177801"/>
              <a:gd name="connsiteX5" fmla="*/ 134012 w 162286"/>
              <a:gd name="connsiteY5" fmla="*/ 119524 h 177801"/>
              <a:gd name="connsiteX6" fmla="*/ 118701 w 162286"/>
              <a:gd name="connsiteY6" fmla="*/ 98526 h 177801"/>
              <a:gd name="connsiteX7" fmla="*/ 127368 w 162286"/>
              <a:gd name="connsiteY7" fmla="*/ 100084 h 177801"/>
              <a:gd name="connsiteX8" fmla="*/ 115074 w 162286"/>
              <a:gd name="connsiteY8" fmla="*/ 79964 h 177801"/>
              <a:gd name="connsiteX9" fmla="*/ 122538 w 162286"/>
              <a:gd name="connsiteY9" fmla="*/ 80005 h 177801"/>
              <a:gd name="connsiteX10" fmla="*/ 98466 w 162286"/>
              <a:gd name="connsiteY10" fmla="*/ 44830 h 177801"/>
              <a:gd name="connsiteX11" fmla="*/ 74390 w 162286"/>
              <a:gd name="connsiteY11" fmla="*/ 80005 h 177801"/>
              <a:gd name="connsiteX12" fmla="*/ 81855 w 162286"/>
              <a:gd name="connsiteY12" fmla="*/ 79964 h 177801"/>
              <a:gd name="connsiteX13" fmla="*/ 69560 w 162286"/>
              <a:gd name="connsiteY13" fmla="*/ 100086 h 177801"/>
              <a:gd name="connsiteX14" fmla="*/ 78227 w 162286"/>
              <a:gd name="connsiteY14" fmla="*/ 98528 h 177801"/>
              <a:gd name="connsiteX15" fmla="*/ 62918 w 162286"/>
              <a:gd name="connsiteY15" fmla="*/ 119526 h 177801"/>
              <a:gd name="connsiteX16" fmla="*/ 94687 w 162286"/>
              <a:gd name="connsiteY16" fmla="*/ 116465 h 177801"/>
              <a:gd name="connsiteX17" fmla="*/ 94687 w 162286"/>
              <a:gd name="connsiteY17" fmla="*/ 135471 h 177801"/>
              <a:gd name="connsiteX18" fmla="*/ 75622 w 162286"/>
              <a:gd name="connsiteY18" fmla="*/ 136728 h 177801"/>
              <a:gd name="connsiteX19" fmla="*/ 55769 w 162286"/>
              <a:gd name="connsiteY19" fmla="*/ 141281 h 177801"/>
              <a:gd name="connsiteX20" fmla="*/ 55769 w 162286"/>
              <a:gd name="connsiteY20" fmla="*/ 107038 h 177801"/>
              <a:gd name="connsiteX21" fmla="*/ 60224 w 162286"/>
              <a:gd name="connsiteY21" fmla="*/ 99934 h 177801"/>
              <a:gd name="connsiteX22" fmla="*/ 51990 w 162286"/>
              <a:gd name="connsiteY22" fmla="*/ 99143 h 177801"/>
              <a:gd name="connsiteX23" fmla="*/ 15745 w 162286"/>
              <a:gd name="connsiteY23" fmla="*/ 102634 h 177801"/>
              <a:gd name="connsiteX24" fmla="*/ 41972 w 162286"/>
              <a:gd name="connsiteY24" fmla="*/ 62022 h 177801"/>
              <a:gd name="connsiteX25" fmla="*/ 26751 w 162286"/>
              <a:gd name="connsiteY25" fmla="*/ 66054 h 177801"/>
              <a:gd name="connsiteX26" fmla="*/ 43938 w 162286"/>
              <a:gd name="connsiteY26" fmla="*/ 39684 h 177801"/>
              <a:gd name="connsiteX27" fmla="*/ 33045 w 162286"/>
              <a:gd name="connsiteY27" fmla="*/ 41028 h 177801"/>
              <a:gd name="connsiteX28" fmla="*/ 51990 w 162286"/>
              <a:gd name="connsiteY28" fmla="*/ 13349 h 177801"/>
              <a:gd name="connsiteX29" fmla="*/ 70933 w 162286"/>
              <a:gd name="connsiteY29" fmla="*/ 41027 h 177801"/>
              <a:gd name="connsiteX30" fmla="*/ 60045 w 162286"/>
              <a:gd name="connsiteY30" fmla="*/ 39684 h 177801"/>
              <a:gd name="connsiteX31" fmla="*/ 76047 w 162286"/>
              <a:gd name="connsiteY31" fmla="*/ 64235 h 177801"/>
              <a:gd name="connsiteX32" fmla="*/ 80657 w 162286"/>
              <a:gd name="connsiteY32" fmla="*/ 57501 h 177801"/>
              <a:gd name="connsiteX33" fmla="*/ 75187 w 162286"/>
              <a:gd name="connsiteY33" fmla="*/ 49109 h 177801"/>
              <a:gd name="connsiteX34" fmla="*/ 85528 w 162286"/>
              <a:gd name="connsiteY34" fmla="*/ 50384 h 177801"/>
              <a:gd name="connsiteX35" fmla="*/ 86002 w 162286"/>
              <a:gd name="connsiteY35" fmla="*/ 49692 h 177801"/>
              <a:gd name="connsiteX36" fmla="*/ 51990 w 162286"/>
              <a:gd name="connsiteY36" fmla="*/ 0 h 177801"/>
              <a:gd name="connsiteX37" fmla="*/ 17424 w 162286"/>
              <a:gd name="connsiteY37" fmla="*/ 50513 h 177801"/>
              <a:gd name="connsiteX38" fmla="*/ 28797 w 162286"/>
              <a:gd name="connsiteY38" fmla="*/ 49111 h 177801"/>
              <a:gd name="connsiteX39" fmla="*/ 9757 w 162286"/>
              <a:gd name="connsiteY39" fmla="*/ 78323 h 177801"/>
              <a:gd name="connsiteX40" fmla="*/ 25097 w 162286"/>
              <a:gd name="connsiteY40" fmla="*/ 74258 h 177801"/>
              <a:gd name="connsiteX41" fmla="*/ 985 w 162286"/>
              <a:gd name="connsiteY41" fmla="*/ 111592 h 177801"/>
              <a:gd name="connsiteX42" fmla="*/ 48212 w 162286"/>
              <a:gd name="connsiteY42" fmla="*/ 107042 h 177801"/>
              <a:gd name="connsiteX43" fmla="*/ 48212 w 162286"/>
              <a:gd name="connsiteY43" fmla="*/ 144057 h 177801"/>
              <a:gd name="connsiteX44" fmla="*/ 31810 w 162286"/>
              <a:gd name="connsiteY44" fmla="*/ 151972 h 177801"/>
              <a:gd name="connsiteX45" fmla="*/ 2310 w 162286"/>
              <a:gd name="connsiteY45" fmla="*/ 175279 h 177801"/>
              <a:gd name="connsiteX46" fmla="*/ 0 w 162286"/>
              <a:gd name="connsiteY46" fmla="*/ 177801 h 177801"/>
              <a:gd name="connsiteX47" fmla="*/ 10373 w 162286"/>
              <a:gd name="connsiteY47" fmla="*/ 177801 h 177801"/>
              <a:gd name="connsiteX48" fmla="*/ 35522 w 162286"/>
              <a:gd name="connsiteY48" fmla="*/ 158505 h 177801"/>
              <a:gd name="connsiteX49" fmla="*/ 76848 w 162286"/>
              <a:gd name="connsiteY49" fmla="*/ 144126 h 177801"/>
              <a:gd name="connsiteX50" fmla="*/ 115564 w 162286"/>
              <a:gd name="connsiteY50" fmla="*/ 146663 h 177801"/>
              <a:gd name="connsiteX51" fmla="*/ 142592 w 162286"/>
              <a:gd name="connsiteY51" fmla="*/ 165709 h 177801"/>
              <a:gd name="connsiteX52" fmla="*/ 153023 w 162286"/>
              <a:gd name="connsiteY52" fmla="*/ 177801 h 177801"/>
              <a:gd name="connsiteX53" fmla="*/ 162287 w 162286"/>
              <a:gd name="connsiteY53" fmla="*/ 177801 h 177801"/>
              <a:gd name="connsiteX54" fmla="*/ 160831 w 162286"/>
              <a:gd name="connsiteY54" fmla="*/ 175763 h 177801"/>
              <a:gd name="connsiteX55" fmla="*/ 95363 w 162286"/>
              <a:gd name="connsiteY55" fmla="*/ 87825 h 177801"/>
              <a:gd name="connsiteX56" fmla="*/ 84718 w 162286"/>
              <a:gd name="connsiteY56" fmla="*/ 89738 h 177801"/>
              <a:gd name="connsiteX57" fmla="*/ 95322 w 162286"/>
              <a:gd name="connsiteY57" fmla="*/ 72389 h 177801"/>
              <a:gd name="connsiteX58" fmla="*/ 88714 w 162286"/>
              <a:gd name="connsiteY58" fmla="*/ 72426 h 177801"/>
              <a:gd name="connsiteX59" fmla="*/ 98466 w 162286"/>
              <a:gd name="connsiteY59" fmla="*/ 58176 h 177801"/>
              <a:gd name="connsiteX60" fmla="*/ 108214 w 162286"/>
              <a:gd name="connsiteY60" fmla="*/ 72424 h 177801"/>
              <a:gd name="connsiteX61" fmla="*/ 101606 w 162286"/>
              <a:gd name="connsiteY61" fmla="*/ 72386 h 177801"/>
              <a:gd name="connsiteX62" fmla="*/ 112210 w 162286"/>
              <a:gd name="connsiteY62" fmla="*/ 89736 h 177801"/>
              <a:gd name="connsiteX63" fmla="*/ 101565 w 162286"/>
              <a:gd name="connsiteY63" fmla="*/ 87823 h 177801"/>
              <a:gd name="connsiteX64" fmla="*/ 118066 w 162286"/>
              <a:gd name="connsiteY64" fmla="*/ 110451 h 177801"/>
              <a:gd name="connsiteX65" fmla="*/ 98465 w 162286"/>
              <a:gd name="connsiteY65" fmla="*/ 108563 h 177801"/>
              <a:gd name="connsiteX66" fmla="*/ 78858 w 162286"/>
              <a:gd name="connsiteY66" fmla="*/ 110451 h 1778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</a:cxnLst>
            <a:rect l="l" t="t" r="r" b="b"/>
            <a:pathLst>
              <a:path w="162286" h="177801">
                <a:moveTo>
                  <a:pt x="160831" y="175763"/>
                </a:moveTo>
                <a:cubicBezTo>
                  <a:pt x="157022" y="170321"/>
                  <a:pt x="152743" y="165220"/>
                  <a:pt x="148042" y="160516"/>
                </a:cubicBezTo>
                <a:cubicBezTo>
                  <a:pt x="139574" y="151918"/>
                  <a:pt x="129615" y="144905"/>
                  <a:pt x="118640" y="139814"/>
                </a:cubicBezTo>
                <a:cubicBezTo>
                  <a:pt x="113413" y="137672"/>
                  <a:pt x="107880" y="136353"/>
                  <a:pt x="102242" y="135904"/>
                </a:cubicBezTo>
                <a:lnTo>
                  <a:pt x="102242" y="116463"/>
                </a:lnTo>
                <a:lnTo>
                  <a:pt x="134012" y="119524"/>
                </a:lnTo>
                <a:lnTo>
                  <a:pt x="118701" y="98526"/>
                </a:lnTo>
                <a:lnTo>
                  <a:pt x="127368" y="100084"/>
                </a:lnTo>
                <a:lnTo>
                  <a:pt x="115074" y="79964"/>
                </a:lnTo>
                <a:lnTo>
                  <a:pt x="122538" y="80005"/>
                </a:lnTo>
                <a:lnTo>
                  <a:pt x="98466" y="44830"/>
                </a:lnTo>
                <a:lnTo>
                  <a:pt x="74390" y="80005"/>
                </a:lnTo>
                <a:lnTo>
                  <a:pt x="81855" y="79964"/>
                </a:lnTo>
                <a:lnTo>
                  <a:pt x="69560" y="100086"/>
                </a:lnTo>
                <a:lnTo>
                  <a:pt x="78227" y="98528"/>
                </a:lnTo>
                <a:lnTo>
                  <a:pt x="62918" y="119526"/>
                </a:lnTo>
                <a:lnTo>
                  <a:pt x="94687" y="116465"/>
                </a:lnTo>
                <a:lnTo>
                  <a:pt x="94687" y="135471"/>
                </a:lnTo>
                <a:cubicBezTo>
                  <a:pt x="88308" y="135343"/>
                  <a:pt x="81929" y="135763"/>
                  <a:pt x="75622" y="136728"/>
                </a:cubicBezTo>
                <a:cubicBezTo>
                  <a:pt x="68894" y="137726"/>
                  <a:pt x="62256" y="139248"/>
                  <a:pt x="55769" y="141281"/>
                </a:cubicBezTo>
                <a:lnTo>
                  <a:pt x="55769" y="107038"/>
                </a:lnTo>
                <a:lnTo>
                  <a:pt x="60224" y="99934"/>
                </a:lnTo>
                <a:lnTo>
                  <a:pt x="51990" y="99143"/>
                </a:lnTo>
                <a:lnTo>
                  <a:pt x="15745" y="102634"/>
                </a:lnTo>
                <a:lnTo>
                  <a:pt x="41972" y="62022"/>
                </a:lnTo>
                <a:lnTo>
                  <a:pt x="26751" y="66054"/>
                </a:lnTo>
                <a:lnTo>
                  <a:pt x="43938" y="39684"/>
                </a:lnTo>
                <a:lnTo>
                  <a:pt x="33045" y="41028"/>
                </a:lnTo>
                <a:lnTo>
                  <a:pt x="51990" y="13349"/>
                </a:lnTo>
                <a:lnTo>
                  <a:pt x="70933" y="41027"/>
                </a:lnTo>
                <a:lnTo>
                  <a:pt x="60045" y="39684"/>
                </a:lnTo>
                <a:lnTo>
                  <a:pt x="76047" y="64235"/>
                </a:lnTo>
                <a:lnTo>
                  <a:pt x="80657" y="57501"/>
                </a:lnTo>
                <a:lnTo>
                  <a:pt x="75187" y="49109"/>
                </a:lnTo>
                <a:lnTo>
                  <a:pt x="85528" y="50384"/>
                </a:lnTo>
                <a:lnTo>
                  <a:pt x="86002" y="49692"/>
                </a:lnTo>
                <a:lnTo>
                  <a:pt x="51990" y="0"/>
                </a:lnTo>
                <a:lnTo>
                  <a:pt x="17424" y="50513"/>
                </a:lnTo>
                <a:lnTo>
                  <a:pt x="28797" y="49111"/>
                </a:lnTo>
                <a:lnTo>
                  <a:pt x="9757" y="78323"/>
                </a:lnTo>
                <a:lnTo>
                  <a:pt x="25097" y="74258"/>
                </a:lnTo>
                <a:lnTo>
                  <a:pt x="985" y="111592"/>
                </a:lnTo>
                <a:lnTo>
                  <a:pt x="48212" y="107042"/>
                </a:lnTo>
                <a:lnTo>
                  <a:pt x="48212" y="144057"/>
                </a:lnTo>
                <a:cubicBezTo>
                  <a:pt x="42579" y="146344"/>
                  <a:pt x="37101" y="148988"/>
                  <a:pt x="31810" y="151972"/>
                </a:cubicBezTo>
                <a:cubicBezTo>
                  <a:pt x="20899" y="158292"/>
                  <a:pt x="10963" y="166142"/>
                  <a:pt x="2310" y="175279"/>
                </a:cubicBezTo>
                <a:cubicBezTo>
                  <a:pt x="1587" y="176072"/>
                  <a:pt x="0" y="177801"/>
                  <a:pt x="0" y="177801"/>
                </a:cubicBezTo>
                <a:lnTo>
                  <a:pt x="10373" y="177801"/>
                </a:lnTo>
                <a:cubicBezTo>
                  <a:pt x="17894" y="170333"/>
                  <a:pt x="26345" y="163848"/>
                  <a:pt x="35522" y="158505"/>
                </a:cubicBezTo>
                <a:cubicBezTo>
                  <a:pt x="48196" y="151032"/>
                  <a:pt x="62246" y="146144"/>
                  <a:pt x="76848" y="144126"/>
                </a:cubicBezTo>
                <a:cubicBezTo>
                  <a:pt x="85183" y="142768"/>
                  <a:pt x="104012" y="141552"/>
                  <a:pt x="115564" y="146663"/>
                </a:cubicBezTo>
                <a:cubicBezTo>
                  <a:pt x="125637" y="151377"/>
                  <a:pt x="134788" y="157825"/>
                  <a:pt x="142592" y="165709"/>
                </a:cubicBezTo>
                <a:cubicBezTo>
                  <a:pt x="146321" y="169519"/>
                  <a:pt x="149805" y="173558"/>
                  <a:pt x="153023" y="177801"/>
                </a:cubicBezTo>
                <a:lnTo>
                  <a:pt x="162287" y="177801"/>
                </a:lnTo>
                <a:cubicBezTo>
                  <a:pt x="162287" y="177801"/>
                  <a:pt x="161527" y="176707"/>
                  <a:pt x="160831" y="175763"/>
                </a:cubicBezTo>
                <a:close/>
                <a:moveTo>
                  <a:pt x="95363" y="87825"/>
                </a:moveTo>
                <a:lnTo>
                  <a:pt x="84718" y="89738"/>
                </a:lnTo>
                <a:lnTo>
                  <a:pt x="95322" y="72389"/>
                </a:lnTo>
                <a:lnTo>
                  <a:pt x="88714" y="72426"/>
                </a:lnTo>
                <a:lnTo>
                  <a:pt x="98466" y="58176"/>
                </a:lnTo>
                <a:lnTo>
                  <a:pt x="108214" y="72424"/>
                </a:lnTo>
                <a:lnTo>
                  <a:pt x="101606" y="72386"/>
                </a:lnTo>
                <a:lnTo>
                  <a:pt x="112210" y="89736"/>
                </a:lnTo>
                <a:lnTo>
                  <a:pt x="101565" y="87823"/>
                </a:lnTo>
                <a:lnTo>
                  <a:pt x="118066" y="110451"/>
                </a:lnTo>
                <a:lnTo>
                  <a:pt x="98465" y="108563"/>
                </a:lnTo>
                <a:lnTo>
                  <a:pt x="78858" y="110451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40" name="Freeform: Shape 439">
            <a:extLst>
              <a:ext uri="{FF2B5EF4-FFF2-40B4-BE49-F238E27FC236}">
                <a16:creationId xmlns:a16="http://schemas.microsoft.com/office/drawing/2014/main" id="{839EE11D-85E8-47C3-A97C-B7DDA56BE555}"/>
              </a:ext>
            </a:extLst>
          </xdr:cNvPr>
          <xdr:cNvSpPr/>
        </xdr:nvSpPr>
        <xdr:spPr>
          <a:xfrm>
            <a:off x="13148901" y="9660871"/>
            <a:ext cx="134862" cy="183195"/>
          </a:xfrm>
          <a:custGeom>
            <a:avLst/>
            <a:gdLst>
              <a:gd name="connsiteX0" fmla="*/ 134862 w 134862"/>
              <a:gd name="connsiteY0" fmla="*/ 115987 h 183195"/>
              <a:gd name="connsiteX1" fmla="*/ 111474 w 134862"/>
              <a:gd name="connsiteY1" fmla="*/ 80105 h 183195"/>
              <a:gd name="connsiteX2" fmla="*/ 131993 w 134862"/>
              <a:gd name="connsiteY2" fmla="*/ 82635 h 183195"/>
              <a:gd name="connsiteX3" fmla="*/ 75438 w 134862"/>
              <a:gd name="connsiteY3" fmla="*/ 0 h 183195"/>
              <a:gd name="connsiteX4" fmla="*/ 18885 w 134862"/>
              <a:gd name="connsiteY4" fmla="*/ 82635 h 183195"/>
              <a:gd name="connsiteX5" fmla="*/ 39404 w 134862"/>
              <a:gd name="connsiteY5" fmla="*/ 80105 h 183195"/>
              <a:gd name="connsiteX6" fmla="*/ 5480 w 134862"/>
              <a:gd name="connsiteY6" fmla="*/ 132151 h 183195"/>
              <a:gd name="connsiteX7" fmla="*/ 33372 w 134862"/>
              <a:gd name="connsiteY7" fmla="*/ 124760 h 183195"/>
              <a:gd name="connsiteX8" fmla="*/ 0 w 134862"/>
              <a:gd name="connsiteY8" fmla="*/ 176448 h 183195"/>
              <a:gd name="connsiteX9" fmla="*/ 4617 w 134862"/>
              <a:gd name="connsiteY9" fmla="*/ 183195 h 183195"/>
              <a:gd name="connsiteX10" fmla="*/ 50249 w 134862"/>
              <a:gd name="connsiteY10" fmla="*/ 112525 h 183195"/>
              <a:gd name="connsiteX11" fmla="*/ 22476 w 134862"/>
              <a:gd name="connsiteY11" fmla="*/ 119885 h 183195"/>
              <a:gd name="connsiteX12" fmla="*/ 54547 w 134862"/>
              <a:gd name="connsiteY12" fmla="*/ 70681 h 183195"/>
              <a:gd name="connsiteX13" fmla="*/ 34508 w 134862"/>
              <a:gd name="connsiteY13" fmla="*/ 73151 h 183195"/>
              <a:gd name="connsiteX14" fmla="*/ 75438 w 134862"/>
              <a:gd name="connsiteY14" fmla="*/ 13349 h 183195"/>
              <a:gd name="connsiteX15" fmla="*/ 116369 w 134862"/>
              <a:gd name="connsiteY15" fmla="*/ 73151 h 183195"/>
              <a:gd name="connsiteX16" fmla="*/ 96333 w 134862"/>
              <a:gd name="connsiteY16" fmla="*/ 70681 h 183195"/>
              <a:gd name="connsiteX17" fmla="*/ 128351 w 134862"/>
              <a:gd name="connsiteY17" fmla="*/ 119803 h 183195"/>
              <a:gd name="connsiteX18" fmla="*/ 128310 w 134862"/>
              <a:gd name="connsiteY18" fmla="*/ 119860 h 183195"/>
              <a:gd name="connsiteX19" fmla="*/ 100631 w 134862"/>
              <a:gd name="connsiteY19" fmla="*/ 112525 h 183195"/>
              <a:gd name="connsiteX20" fmla="*/ 118398 w 134862"/>
              <a:gd name="connsiteY20" fmla="*/ 140045 h 183195"/>
              <a:gd name="connsiteX21" fmla="*/ 123017 w 134862"/>
              <a:gd name="connsiteY21" fmla="*/ 133295 h 183195"/>
              <a:gd name="connsiteX22" fmla="*/ 117506 w 134862"/>
              <a:gd name="connsiteY22" fmla="*/ 124759 h 183195"/>
              <a:gd name="connsiteX23" fmla="*/ 127116 w 134862"/>
              <a:gd name="connsiteY23" fmla="*/ 127305 h 1831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</a:cxnLst>
            <a:rect l="l" t="t" r="r" b="b"/>
            <a:pathLst>
              <a:path w="134862" h="183195">
                <a:moveTo>
                  <a:pt x="134862" y="115987"/>
                </a:moveTo>
                <a:lnTo>
                  <a:pt x="111474" y="80105"/>
                </a:lnTo>
                <a:lnTo>
                  <a:pt x="131993" y="82635"/>
                </a:lnTo>
                <a:lnTo>
                  <a:pt x="75438" y="0"/>
                </a:lnTo>
                <a:lnTo>
                  <a:pt x="18885" y="82635"/>
                </a:lnTo>
                <a:lnTo>
                  <a:pt x="39404" y="80105"/>
                </a:lnTo>
                <a:lnTo>
                  <a:pt x="5480" y="132151"/>
                </a:lnTo>
                <a:lnTo>
                  <a:pt x="33372" y="124760"/>
                </a:lnTo>
                <a:lnTo>
                  <a:pt x="0" y="176448"/>
                </a:lnTo>
                <a:lnTo>
                  <a:pt x="4617" y="183195"/>
                </a:lnTo>
                <a:lnTo>
                  <a:pt x="50249" y="112525"/>
                </a:lnTo>
                <a:lnTo>
                  <a:pt x="22476" y="119885"/>
                </a:lnTo>
                <a:lnTo>
                  <a:pt x="54547" y="70681"/>
                </a:lnTo>
                <a:lnTo>
                  <a:pt x="34508" y="73151"/>
                </a:lnTo>
                <a:lnTo>
                  <a:pt x="75438" y="13349"/>
                </a:lnTo>
                <a:lnTo>
                  <a:pt x="116369" y="73151"/>
                </a:lnTo>
                <a:lnTo>
                  <a:pt x="96333" y="70681"/>
                </a:lnTo>
                <a:lnTo>
                  <a:pt x="128351" y="119803"/>
                </a:lnTo>
                <a:cubicBezTo>
                  <a:pt x="128380" y="119848"/>
                  <a:pt x="128362" y="119873"/>
                  <a:pt x="128310" y="119860"/>
                </a:cubicBezTo>
                <a:lnTo>
                  <a:pt x="100631" y="112525"/>
                </a:lnTo>
                <a:lnTo>
                  <a:pt x="118398" y="140045"/>
                </a:lnTo>
                <a:lnTo>
                  <a:pt x="123017" y="133295"/>
                </a:lnTo>
                <a:lnTo>
                  <a:pt x="117506" y="124759"/>
                </a:lnTo>
                <a:lnTo>
                  <a:pt x="127116" y="127305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41" name="Freeform: Shape 440">
            <a:extLst>
              <a:ext uri="{FF2B5EF4-FFF2-40B4-BE49-F238E27FC236}">
                <a16:creationId xmlns:a16="http://schemas.microsoft.com/office/drawing/2014/main" id="{C114B3A1-1E87-4C92-8EF0-80E9E29CA14B}"/>
              </a:ext>
            </a:extLst>
          </xdr:cNvPr>
          <xdr:cNvSpPr/>
        </xdr:nvSpPr>
        <xdr:spPr>
          <a:xfrm>
            <a:off x="13087382" y="9831232"/>
            <a:ext cx="13163" cy="11692"/>
          </a:xfrm>
          <a:custGeom>
            <a:avLst/>
            <a:gdLst>
              <a:gd name="connsiteX0" fmla="*/ 0 w 13163"/>
              <a:gd name="connsiteY0" fmla="*/ 0 h 11692"/>
              <a:gd name="connsiteX1" fmla="*/ 7549 w 13163"/>
              <a:gd name="connsiteY1" fmla="*/ 11693 h 11692"/>
              <a:gd name="connsiteX2" fmla="*/ 13164 w 13163"/>
              <a:gd name="connsiteY2" fmla="*/ 3488 h 11692"/>
              <a:gd name="connsiteX3" fmla="*/ 0 w 13163"/>
              <a:gd name="connsiteY3" fmla="*/ 0 h 116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3163" h="11692">
                <a:moveTo>
                  <a:pt x="0" y="0"/>
                </a:moveTo>
                <a:lnTo>
                  <a:pt x="7549" y="11693"/>
                </a:lnTo>
                <a:lnTo>
                  <a:pt x="13164" y="3488"/>
                </a:lnTo>
                <a:lnTo>
                  <a:pt x="0" y="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6</xdr:col>
      <xdr:colOff>140889</xdr:colOff>
      <xdr:row>18</xdr:row>
      <xdr:rowOff>119788</xdr:rowOff>
    </xdr:from>
    <xdr:to>
      <xdr:col>6</xdr:col>
      <xdr:colOff>443156</xdr:colOff>
      <xdr:row>18</xdr:row>
      <xdr:rowOff>446139</xdr:rowOff>
    </xdr:to>
    <xdr:grpSp>
      <xdr:nvGrpSpPr>
        <xdr:cNvPr id="442" name="island" descr="Tropical scene outline">
          <a:extLst>
            <a:ext uri="{FF2B5EF4-FFF2-40B4-BE49-F238E27FC236}">
              <a16:creationId xmlns:a16="http://schemas.microsoft.com/office/drawing/2014/main" id="{5AB7611F-7ACD-4E3B-A03B-A7A06A105CB8}"/>
            </a:ext>
          </a:extLst>
        </xdr:cNvPr>
        <xdr:cNvGrpSpPr>
          <a:grpSpLocks noChangeAspect="1"/>
        </xdr:cNvGrpSpPr>
      </xdr:nvGrpSpPr>
      <xdr:grpSpPr>
        <a:xfrm>
          <a:off x="5360589" y="9301888"/>
          <a:ext cx="302267" cy="326351"/>
          <a:chOff x="12404990" y="9638714"/>
          <a:chExt cx="302267" cy="326351"/>
        </a:xfrm>
        <a:solidFill>
          <a:srgbClr val="1F4E78"/>
        </a:solidFill>
      </xdr:grpSpPr>
      <xdr:sp macro="" textlink="">
        <xdr:nvSpPr>
          <xdr:cNvPr id="443" name="Freeform: Shape 442">
            <a:extLst>
              <a:ext uri="{FF2B5EF4-FFF2-40B4-BE49-F238E27FC236}">
                <a16:creationId xmlns:a16="http://schemas.microsoft.com/office/drawing/2014/main" id="{F70C6E4E-4343-4A93-99B1-21D3D9ABD5BB}"/>
              </a:ext>
            </a:extLst>
          </xdr:cNvPr>
          <xdr:cNvSpPr/>
        </xdr:nvSpPr>
        <xdr:spPr>
          <a:xfrm>
            <a:off x="12404990" y="9950037"/>
            <a:ext cx="302267" cy="15027"/>
          </a:xfrm>
          <a:custGeom>
            <a:avLst/>
            <a:gdLst>
              <a:gd name="connsiteX0" fmla="*/ 302268 w 302267"/>
              <a:gd name="connsiteY0" fmla="*/ 7020 h 15027"/>
              <a:gd name="connsiteX1" fmla="*/ 291461 w 302267"/>
              <a:gd name="connsiteY1" fmla="*/ 4013 h 15027"/>
              <a:gd name="connsiteX2" fmla="*/ 249333 w 302267"/>
              <a:gd name="connsiteY2" fmla="*/ 4013 h 15027"/>
              <a:gd name="connsiteX3" fmla="*/ 212620 w 302267"/>
              <a:gd name="connsiteY3" fmla="*/ 4013 h 15027"/>
              <a:gd name="connsiteX4" fmla="*/ 191559 w 302267"/>
              <a:gd name="connsiteY4" fmla="*/ 14 h 15027"/>
              <a:gd name="connsiteX5" fmla="*/ 170492 w 302267"/>
              <a:gd name="connsiteY5" fmla="*/ 4013 h 15027"/>
              <a:gd name="connsiteX6" fmla="*/ 152129 w 302267"/>
              <a:gd name="connsiteY6" fmla="*/ 7514 h 15027"/>
              <a:gd name="connsiteX7" fmla="*/ 133761 w 302267"/>
              <a:gd name="connsiteY7" fmla="*/ 4013 h 15027"/>
              <a:gd name="connsiteX8" fmla="*/ 112688 w 302267"/>
              <a:gd name="connsiteY8" fmla="*/ 14 h 15027"/>
              <a:gd name="connsiteX9" fmla="*/ 91621 w 302267"/>
              <a:gd name="connsiteY9" fmla="*/ 4013 h 15027"/>
              <a:gd name="connsiteX10" fmla="*/ 73258 w 302267"/>
              <a:gd name="connsiteY10" fmla="*/ 7514 h 15027"/>
              <a:gd name="connsiteX11" fmla="*/ 54883 w 302267"/>
              <a:gd name="connsiteY11" fmla="*/ 4013 h 15027"/>
              <a:gd name="connsiteX12" fmla="*/ 33800 w 302267"/>
              <a:gd name="connsiteY12" fmla="*/ 14 h 15027"/>
              <a:gd name="connsiteX13" fmla="*/ 12722 w 302267"/>
              <a:gd name="connsiteY13" fmla="*/ 4011 h 15027"/>
              <a:gd name="connsiteX14" fmla="*/ 0 w 302267"/>
              <a:gd name="connsiteY14" fmla="*/ 7251 h 15027"/>
              <a:gd name="connsiteX15" fmla="*/ 0 w 302267"/>
              <a:gd name="connsiteY15" fmla="*/ 14771 h 15027"/>
              <a:gd name="connsiteX16" fmla="*/ 15425 w 302267"/>
              <a:gd name="connsiteY16" fmla="*/ 11014 h 15027"/>
              <a:gd name="connsiteX17" fmla="*/ 33800 w 302267"/>
              <a:gd name="connsiteY17" fmla="*/ 7513 h 15027"/>
              <a:gd name="connsiteX18" fmla="*/ 52177 w 302267"/>
              <a:gd name="connsiteY18" fmla="*/ 11016 h 15027"/>
              <a:gd name="connsiteX19" fmla="*/ 73257 w 302267"/>
              <a:gd name="connsiteY19" fmla="*/ 15014 h 15027"/>
              <a:gd name="connsiteX20" fmla="*/ 94326 w 302267"/>
              <a:gd name="connsiteY20" fmla="*/ 11015 h 15027"/>
              <a:gd name="connsiteX21" fmla="*/ 112688 w 302267"/>
              <a:gd name="connsiteY21" fmla="*/ 7514 h 15027"/>
              <a:gd name="connsiteX22" fmla="*/ 131058 w 302267"/>
              <a:gd name="connsiteY22" fmla="*/ 11015 h 15027"/>
              <a:gd name="connsiteX23" fmla="*/ 152130 w 302267"/>
              <a:gd name="connsiteY23" fmla="*/ 15014 h 15027"/>
              <a:gd name="connsiteX24" fmla="*/ 173197 w 302267"/>
              <a:gd name="connsiteY24" fmla="*/ 11015 h 15027"/>
              <a:gd name="connsiteX25" fmla="*/ 209916 w 302267"/>
              <a:gd name="connsiteY25" fmla="*/ 11015 h 15027"/>
              <a:gd name="connsiteX26" fmla="*/ 252039 w 302267"/>
              <a:gd name="connsiteY26" fmla="*/ 11015 h 15027"/>
              <a:gd name="connsiteX27" fmla="*/ 288757 w 302267"/>
              <a:gd name="connsiteY27" fmla="*/ 11015 h 15027"/>
              <a:gd name="connsiteX28" fmla="*/ 302268 w 302267"/>
              <a:gd name="connsiteY28" fmla="*/ 14592 h 15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</a:cxnLst>
            <a:rect l="l" t="t" r="r" b="b"/>
            <a:pathLst>
              <a:path w="302267" h="15027">
                <a:moveTo>
                  <a:pt x="302268" y="7020"/>
                </a:moveTo>
                <a:cubicBezTo>
                  <a:pt x="298555" y="6461"/>
                  <a:pt x="294925" y="5451"/>
                  <a:pt x="291461" y="4013"/>
                </a:cubicBezTo>
                <a:cubicBezTo>
                  <a:pt x="277932" y="-1319"/>
                  <a:pt x="262862" y="-1319"/>
                  <a:pt x="249333" y="4013"/>
                </a:cubicBezTo>
                <a:cubicBezTo>
                  <a:pt x="237547" y="8681"/>
                  <a:pt x="224405" y="8681"/>
                  <a:pt x="212620" y="4013"/>
                </a:cubicBezTo>
                <a:cubicBezTo>
                  <a:pt x="205965" y="1209"/>
                  <a:pt x="198786" y="-154"/>
                  <a:pt x="191559" y="14"/>
                </a:cubicBezTo>
                <a:cubicBezTo>
                  <a:pt x="184330" y="-154"/>
                  <a:pt x="177148" y="1209"/>
                  <a:pt x="170492" y="4013"/>
                </a:cubicBezTo>
                <a:cubicBezTo>
                  <a:pt x="164695" y="6474"/>
                  <a:pt x="158432" y="7668"/>
                  <a:pt x="152129" y="7514"/>
                </a:cubicBezTo>
                <a:cubicBezTo>
                  <a:pt x="145824" y="7668"/>
                  <a:pt x="139560" y="6474"/>
                  <a:pt x="133761" y="4013"/>
                </a:cubicBezTo>
                <a:cubicBezTo>
                  <a:pt x="127103" y="1209"/>
                  <a:pt x="119919" y="-154"/>
                  <a:pt x="112688" y="14"/>
                </a:cubicBezTo>
                <a:cubicBezTo>
                  <a:pt x="105459" y="-154"/>
                  <a:pt x="98277" y="1209"/>
                  <a:pt x="91621" y="4013"/>
                </a:cubicBezTo>
                <a:cubicBezTo>
                  <a:pt x="85824" y="6474"/>
                  <a:pt x="79561" y="7668"/>
                  <a:pt x="73258" y="7514"/>
                </a:cubicBezTo>
                <a:cubicBezTo>
                  <a:pt x="66951" y="7669"/>
                  <a:pt x="60684" y="6475"/>
                  <a:pt x="54883" y="4013"/>
                </a:cubicBezTo>
                <a:cubicBezTo>
                  <a:pt x="48221" y="1209"/>
                  <a:pt x="41034" y="-154"/>
                  <a:pt x="33800" y="14"/>
                </a:cubicBezTo>
                <a:cubicBezTo>
                  <a:pt x="26568" y="-153"/>
                  <a:pt x="19383" y="1209"/>
                  <a:pt x="12722" y="4011"/>
                </a:cubicBezTo>
                <a:cubicBezTo>
                  <a:pt x="8669" y="5718"/>
                  <a:pt x="4380" y="6810"/>
                  <a:pt x="0" y="7251"/>
                </a:cubicBezTo>
                <a:lnTo>
                  <a:pt x="0" y="14771"/>
                </a:lnTo>
                <a:cubicBezTo>
                  <a:pt x="5309" y="14332"/>
                  <a:pt x="10515" y="13065"/>
                  <a:pt x="15425" y="11014"/>
                </a:cubicBezTo>
                <a:cubicBezTo>
                  <a:pt x="21226" y="8552"/>
                  <a:pt x="27493" y="7358"/>
                  <a:pt x="33800" y="7513"/>
                </a:cubicBezTo>
                <a:cubicBezTo>
                  <a:pt x="40108" y="7358"/>
                  <a:pt x="46376" y="8553"/>
                  <a:pt x="52177" y="11016"/>
                </a:cubicBezTo>
                <a:cubicBezTo>
                  <a:pt x="58839" y="13818"/>
                  <a:pt x="66024" y="15181"/>
                  <a:pt x="73257" y="15014"/>
                </a:cubicBezTo>
                <a:cubicBezTo>
                  <a:pt x="80487" y="15181"/>
                  <a:pt x="87669" y="13818"/>
                  <a:pt x="94326" y="11015"/>
                </a:cubicBezTo>
                <a:cubicBezTo>
                  <a:pt x="100122" y="8553"/>
                  <a:pt x="106385" y="7359"/>
                  <a:pt x="112688" y="7514"/>
                </a:cubicBezTo>
                <a:cubicBezTo>
                  <a:pt x="118994" y="7359"/>
                  <a:pt x="125259" y="8553"/>
                  <a:pt x="131058" y="11015"/>
                </a:cubicBezTo>
                <a:cubicBezTo>
                  <a:pt x="137716" y="13818"/>
                  <a:pt x="144899" y="15181"/>
                  <a:pt x="152130" y="15014"/>
                </a:cubicBezTo>
                <a:cubicBezTo>
                  <a:pt x="159359" y="15181"/>
                  <a:pt x="166541" y="13818"/>
                  <a:pt x="173197" y="11015"/>
                </a:cubicBezTo>
                <a:cubicBezTo>
                  <a:pt x="184985" y="6347"/>
                  <a:pt x="198128" y="6347"/>
                  <a:pt x="209916" y="11015"/>
                </a:cubicBezTo>
                <a:cubicBezTo>
                  <a:pt x="223443" y="16347"/>
                  <a:pt x="238511" y="16347"/>
                  <a:pt x="252039" y="11015"/>
                </a:cubicBezTo>
                <a:cubicBezTo>
                  <a:pt x="263826" y="6347"/>
                  <a:pt x="276970" y="6347"/>
                  <a:pt x="288757" y="11015"/>
                </a:cubicBezTo>
                <a:cubicBezTo>
                  <a:pt x="293075" y="12813"/>
                  <a:pt x="297621" y="14017"/>
                  <a:pt x="302268" y="1459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44" name="Freeform: Shape 443">
            <a:extLst>
              <a:ext uri="{FF2B5EF4-FFF2-40B4-BE49-F238E27FC236}">
                <a16:creationId xmlns:a16="http://schemas.microsoft.com/office/drawing/2014/main" id="{5614E965-283A-4FDC-9EBE-25BD6BB14AE4}"/>
              </a:ext>
            </a:extLst>
          </xdr:cNvPr>
          <xdr:cNvSpPr/>
        </xdr:nvSpPr>
        <xdr:spPr>
          <a:xfrm>
            <a:off x="12404990" y="9921912"/>
            <a:ext cx="302267" cy="15027"/>
          </a:xfrm>
          <a:custGeom>
            <a:avLst/>
            <a:gdLst>
              <a:gd name="connsiteX0" fmla="*/ 302268 w 302267"/>
              <a:gd name="connsiteY0" fmla="*/ 7020 h 15027"/>
              <a:gd name="connsiteX1" fmla="*/ 291461 w 302267"/>
              <a:gd name="connsiteY1" fmla="*/ 4013 h 15027"/>
              <a:gd name="connsiteX2" fmla="*/ 249333 w 302267"/>
              <a:gd name="connsiteY2" fmla="*/ 4013 h 15027"/>
              <a:gd name="connsiteX3" fmla="*/ 212620 w 302267"/>
              <a:gd name="connsiteY3" fmla="*/ 4013 h 15027"/>
              <a:gd name="connsiteX4" fmla="*/ 191559 w 302267"/>
              <a:gd name="connsiteY4" fmla="*/ 14 h 15027"/>
              <a:gd name="connsiteX5" fmla="*/ 170492 w 302267"/>
              <a:gd name="connsiteY5" fmla="*/ 4013 h 15027"/>
              <a:gd name="connsiteX6" fmla="*/ 152129 w 302267"/>
              <a:gd name="connsiteY6" fmla="*/ 7514 h 15027"/>
              <a:gd name="connsiteX7" fmla="*/ 133761 w 302267"/>
              <a:gd name="connsiteY7" fmla="*/ 4013 h 15027"/>
              <a:gd name="connsiteX8" fmla="*/ 112688 w 302267"/>
              <a:gd name="connsiteY8" fmla="*/ 14 h 15027"/>
              <a:gd name="connsiteX9" fmla="*/ 91621 w 302267"/>
              <a:gd name="connsiteY9" fmla="*/ 4013 h 15027"/>
              <a:gd name="connsiteX10" fmla="*/ 73258 w 302267"/>
              <a:gd name="connsiteY10" fmla="*/ 7514 h 15027"/>
              <a:gd name="connsiteX11" fmla="*/ 54883 w 302267"/>
              <a:gd name="connsiteY11" fmla="*/ 4013 h 15027"/>
              <a:gd name="connsiteX12" fmla="*/ 33800 w 302267"/>
              <a:gd name="connsiteY12" fmla="*/ 14 h 15027"/>
              <a:gd name="connsiteX13" fmla="*/ 12722 w 302267"/>
              <a:gd name="connsiteY13" fmla="*/ 4011 h 15027"/>
              <a:gd name="connsiteX14" fmla="*/ 0 w 302267"/>
              <a:gd name="connsiteY14" fmla="*/ 7251 h 15027"/>
              <a:gd name="connsiteX15" fmla="*/ 0 w 302267"/>
              <a:gd name="connsiteY15" fmla="*/ 14771 h 15027"/>
              <a:gd name="connsiteX16" fmla="*/ 15425 w 302267"/>
              <a:gd name="connsiteY16" fmla="*/ 11014 h 15027"/>
              <a:gd name="connsiteX17" fmla="*/ 33800 w 302267"/>
              <a:gd name="connsiteY17" fmla="*/ 7513 h 15027"/>
              <a:gd name="connsiteX18" fmla="*/ 52177 w 302267"/>
              <a:gd name="connsiteY18" fmla="*/ 11016 h 15027"/>
              <a:gd name="connsiteX19" fmla="*/ 73257 w 302267"/>
              <a:gd name="connsiteY19" fmla="*/ 15014 h 15027"/>
              <a:gd name="connsiteX20" fmla="*/ 94326 w 302267"/>
              <a:gd name="connsiteY20" fmla="*/ 11015 h 15027"/>
              <a:gd name="connsiteX21" fmla="*/ 112688 w 302267"/>
              <a:gd name="connsiteY21" fmla="*/ 7514 h 15027"/>
              <a:gd name="connsiteX22" fmla="*/ 131058 w 302267"/>
              <a:gd name="connsiteY22" fmla="*/ 11015 h 15027"/>
              <a:gd name="connsiteX23" fmla="*/ 152130 w 302267"/>
              <a:gd name="connsiteY23" fmla="*/ 15014 h 15027"/>
              <a:gd name="connsiteX24" fmla="*/ 173197 w 302267"/>
              <a:gd name="connsiteY24" fmla="*/ 11015 h 15027"/>
              <a:gd name="connsiteX25" fmla="*/ 209916 w 302267"/>
              <a:gd name="connsiteY25" fmla="*/ 11015 h 15027"/>
              <a:gd name="connsiteX26" fmla="*/ 252039 w 302267"/>
              <a:gd name="connsiteY26" fmla="*/ 11015 h 15027"/>
              <a:gd name="connsiteX27" fmla="*/ 288757 w 302267"/>
              <a:gd name="connsiteY27" fmla="*/ 11015 h 15027"/>
              <a:gd name="connsiteX28" fmla="*/ 302268 w 302267"/>
              <a:gd name="connsiteY28" fmla="*/ 14592 h 15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</a:cxnLst>
            <a:rect l="l" t="t" r="r" b="b"/>
            <a:pathLst>
              <a:path w="302267" h="15027">
                <a:moveTo>
                  <a:pt x="302268" y="7020"/>
                </a:moveTo>
                <a:cubicBezTo>
                  <a:pt x="298555" y="6461"/>
                  <a:pt x="294925" y="5451"/>
                  <a:pt x="291461" y="4013"/>
                </a:cubicBezTo>
                <a:cubicBezTo>
                  <a:pt x="277932" y="-1319"/>
                  <a:pt x="262862" y="-1319"/>
                  <a:pt x="249333" y="4013"/>
                </a:cubicBezTo>
                <a:cubicBezTo>
                  <a:pt x="237547" y="8681"/>
                  <a:pt x="224405" y="8681"/>
                  <a:pt x="212620" y="4013"/>
                </a:cubicBezTo>
                <a:cubicBezTo>
                  <a:pt x="205965" y="1209"/>
                  <a:pt x="198786" y="-154"/>
                  <a:pt x="191559" y="14"/>
                </a:cubicBezTo>
                <a:cubicBezTo>
                  <a:pt x="184330" y="-154"/>
                  <a:pt x="177148" y="1209"/>
                  <a:pt x="170492" y="4013"/>
                </a:cubicBezTo>
                <a:cubicBezTo>
                  <a:pt x="164695" y="6474"/>
                  <a:pt x="158432" y="7668"/>
                  <a:pt x="152129" y="7514"/>
                </a:cubicBezTo>
                <a:cubicBezTo>
                  <a:pt x="145824" y="7668"/>
                  <a:pt x="139560" y="6474"/>
                  <a:pt x="133761" y="4013"/>
                </a:cubicBezTo>
                <a:cubicBezTo>
                  <a:pt x="127103" y="1209"/>
                  <a:pt x="119919" y="-154"/>
                  <a:pt x="112688" y="14"/>
                </a:cubicBezTo>
                <a:cubicBezTo>
                  <a:pt x="105459" y="-154"/>
                  <a:pt x="98277" y="1209"/>
                  <a:pt x="91621" y="4013"/>
                </a:cubicBezTo>
                <a:cubicBezTo>
                  <a:pt x="85824" y="6474"/>
                  <a:pt x="79561" y="7668"/>
                  <a:pt x="73258" y="7514"/>
                </a:cubicBezTo>
                <a:cubicBezTo>
                  <a:pt x="66951" y="7669"/>
                  <a:pt x="60684" y="6475"/>
                  <a:pt x="54883" y="4013"/>
                </a:cubicBezTo>
                <a:cubicBezTo>
                  <a:pt x="48221" y="1209"/>
                  <a:pt x="41034" y="-154"/>
                  <a:pt x="33800" y="14"/>
                </a:cubicBezTo>
                <a:cubicBezTo>
                  <a:pt x="26568" y="-153"/>
                  <a:pt x="19383" y="1209"/>
                  <a:pt x="12722" y="4011"/>
                </a:cubicBezTo>
                <a:cubicBezTo>
                  <a:pt x="8669" y="5718"/>
                  <a:pt x="4380" y="6810"/>
                  <a:pt x="0" y="7251"/>
                </a:cubicBezTo>
                <a:lnTo>
                  <a:pt x="0" y="14771"/>
                </a:lnTo>
                <a:cubicBezTo>
                  <a:pt x="5309" y="14332"/>
                  <a:pt x="10515" y="13065"/>
                  <a:pt x="15425" y="11014"/>
                </a:cubicBezTo>
                <a:cubicBezTo>
                  <a:pt x="21226" y="8552"/>
                  <a:pt x="27493" y="7358"/>
                  <a:pt x="33800" y="7513"/>
                </a:cubicBezTo>
                <a:cubicBezTo>
                  <a:pt x="40108" y="7358"/>
                  <a:pt x="46376" y="8553"/>
                  <a:pt x="52177" y="11016"/>
                </a:cubicBezTo>
                <a:cubicBezTo>
                  <a:pt x="58839" y="13818"/>
                  <a:pt x="66024" y="15181"/>
                  <a:pt x="73257" y="15014"/>
                </a:cubicBezTo>
                <a:cubicBezTo>
                  <a:pt x="80487" y="15181"/>
                  <a:pt x="87669" y="13818"/>
                  <a:pt x="94326" y="11015"/>
                </a:cubicBezTo>
                <a:cubicBezTo>
                  <a:pt x="100122" y="8553"/>
                  <a:pt x="106385" y="7359"/>
                  <a:pt x="112688" y="7514"/>
                </a:cubicBezTo>
                <a:cubicBezTo>
                  <a:pt x="118994" y="7359"/>
                  <a:pt x="125259" y="8553"/>
                  <a:pt x="131058" y="11015"/>
                </a:cubicBezTo>
                <a:cubicBezTo>
                  <a:pt x="137716" y="13818"/>
                  <a:pt x="144899" y="15181"/>
                  <a:pt x="152130" y="15014"/>
                </a:cubicBezTo>
                <a:cubicBezTo>
                  <a:pt x="159359" y="15181"/>
                  <a:pt x="166541" y="13818"/>
                  <a:pt x="173197" y="11015"/>
                </a:cubicBezTo>
                <a:cubicBezTo>
                  <a:pt x="184985" y="6347"/>
                  <a:pt x="198128" y="6347"/>
                  <a:pt x="209916" y="11015"/>
                </a:cubicBezTo>
                <a:cubicBezTo>
                  <a:pt x="223443" y="16347"/>
                  <a:pt x="238511" y="16347"/>
                  <a:pt x="252039" y="11015"/>
                </a:cubicBezTo>
                <a:cubicBezTo>
                  <a:pt x="263826" y="6347"/>
                  <a:pt x="276970" y="6347"/>
                  <a:pt x="288757" y="11015"/>
                </a:cubicBezTo>
                <a:cubicBezTo>
                  <a:pt x="293075" y="12813"/>
                  <a:pt x="297621" y="14017"/>
                  <a:pt x="302268" y="1459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45" name="Freeform: Shape 444">
            <a:extLst>
              <a:ext uri="{FF2B5EF4-FFF2-40B4-BE49-F238E27FC236}">
                <a16:creationId xmlns:a16="http://schemas.microsoft.com/office/drawing/2014/main" id="{1578E1A7-2428-49CF-92DF-9C141C09A186}"/>
              </a:ext>
            </a:extLst>
          </xdr:cNvPr>
          <xdr:cNvSpPr/>
        </xdr:nvSpPr>
        <xdr:spPr>
          <a:xfrm>
            <a:off x="12404990" y="9893787"/>
            <a:ext cx="302267" cy="15027"/>
          </a:xfrm>
          <a:custGeom>
            <a:avLst/>
            <a:gdLst>
              <a:gd name="connsiteX0" fmla="*/ 302268 w 302267"/>
              <a:gd name="connsiteY0" fmla="*/ 7251 h 15027"/>
              <a:gd name="connsiteX1" fmla="*/ 289562 w 302267"/>
              <a:gd name="connsiteY1" fmla="*/ 4013 h 15027"/>
              <a:gd name="connsiteX2" fmla="*/ 247433 w 302267"/>
              <a:gd name="connsiteY2" fmla="*/ 4013 h 15027"/>
              <a:gd name="connsiteX3" fmla="*/ 210720 w 302267"/>
              <a:gd name="connsiteY3" fmla="*/ 4013 h 15027"/>
              <a:gd name="connsiteX4" fmla="*/ 189659 w 302267"/>
              <a:gd name="connsiteY4" fmla="*/ 14 h 15027"/>
              <a:gd name="connsiteX5" fmla="*/ 168592 w 302267"/>
              <a:gd name="connsiteY5" fmla="*/ 4013 h 15027"/>
              <a:gd name="connsiteX6" fmla="*/ 150229 w 302267"/>
              <a:gd name="connsiteY6" fmla="*/ 7514 h 15027"/>
              <a:gd name="connsiteX7" fmla="*/ 131860 w 302267"/>
              <a:gd name="connsiteY7" fmla="*/ 4013 h 15027"/>
              <a:gd name="connsiteX8" fmla="*/ 110788 w 302267"/>
              <a:gd name="connsiteY8" fmla="*/ 14 h 15027"/>
              <a:gd name="connsiteX9" fmla="*/ 89721 w 302267"/>
              <a:gd name="connsiteY9" fmla="*/ 4013 h 15027"/>
              <a:gd name="connsiteX10" fmla="*/ 71358 w 302267"/>
              <a:gd name="connsiteY10" fmla="*/ 7514 h 15027"/>
              <a:gd name="connsiteX11" fmla="*/ 52983 w 302267"/>
              <a:gd name="connsiteY11" fmla="*/ 4013 h 15027"/>
              <a:gd name="connsiteX12" fmla="*/ 31900 w 302267"/>
              <a:gd name="connsiteY12" fmla="*/ 14 h 15027"/>
              <a:gd name="connsiteX13" fmla="*/ 10822 w 302267"/>
              <a:gd name="connsiteY13" fmla="*/ 4011 h 15027"/>
              <a:gd name="connsiteX14" fmla="*/ 0 w 302267"/>
              <a:gd name="connsiteY14" fmla="*/ 7020 h 15027"/>
              <a:gd name="connsiteX15" fmla="*/ 0 w 302267"/>
              <a:gd name="connsiteY15" fmla="*/ 14593 h 15027"/>
              <a:gd name="connsiteX16" fmla="*/ 13526 w 302267"/>
              <a:gd name="connsiteY16" fmla="*/ 11015 h 15027"/>
              <a:gd name="connsiteX17" fmla="*/ 31902 w 302267"/>
              <a:gd name="connsiteY17" fmla="*/ 7514 h 15027"/>
              <a:gd name="connsiteX18" fmla="*/ 50278 w 302267"/>
              <a:gd name="connsiteY18" fmla="*/ 11017 h 15027"/>
              <a:gd name="connsiteX19" fmla="*/ 71357 w 302267"/>
              <a:gd name="connsiteY19" fmla="*/ 15014 h 15027"/>
              <a:gd name="connsiteX20" fmla="*/ 92425 w 302267"/>
              <a:gd name="connsiteY20" fmla="*/ 11015 h 15027"/>
              <a:gd name="connsiteX21" fmla="*/ 110788 w 302267"/>
              <a:gd name="connsiteY21" fmla="*/ 7514 h 15027"/>
              <a:gd name="connsiteX22" fmla="*/ 129156 w 302267"/>
              <a:gd name="connsiteY22" fmla="*/ 11015 h 15027"/>
              <a:gd name="connsiteX23" fmla="*/ 150230 w 302267"/>
              <a:gd name="connsiteY23" fmla="*/ 15014 h 15027"/>
              <a:gd name="connsiteX24" fmla="*/ 171297 w 302267"/>
              <a:gd name="connsiteY24" fmla="*/ 11015 h 15027"/>
              <a:gd name="connsiteX25" fmla="*/ 208016 w 302267"/>
              <a:gd name="connsiteY25" fmla="*/ 11015 h 15027"/>
              <a:gd name="connsiteX26" fmla="*/ 250138 w 302267"/>
              <a:gd name="connsiteY26" fmla="*/ 11015 h 15027"/>
              <a:gd name="connsiteX27" fmla="*/ 286857 w 302267"/>
              <a:gd name="connsiteY27" fmla="*/ 11015 h 15027"/>
              <a:gd name="connsiteX28" fmla="*/ 302268 w 302267"/>
              <a:gd name="connsiteY28" fmla="*/ 14772 h 15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</a:cxnLst>
            <a:rect l="l" t="t" r="r" b="b"/>
            <a:pathLst>
              <a:path w="302267" h="15027">
                <a:moveTo>
                  <a:pt x="302268" y="7251"/>
                </a:moveTo>
                <a:cubicBezTo>
                  <a:pt x="297893" y="6810"/>
                  <a:pt x="293609" y="5719"/>
                  <a:pt x="289562" y="4013"/>
                </a:cubicBezTo>
                <a:cubicBezTo>
                  <a:pt x="276033" y="-1319"/>
                  <a:pt x="260962" y="-1319"/>
                  <a:pt x="247433" y="4013"/>
                </a:cubicBezTo>
                <a:cubicBezTo>
                  <a:pt x="235647" y="8681"/>
                  <a:pt x="222506" y="8681"/>
                  <a:pt x="210720" y="4013"/>
                </a:cubicBezTo>
                <a:cubicBezTo>
                  <a:pt x="204066" y="1210"/>
                  <a:pt x="196886" y="-154"/>
                  <a:pt x="189659" y="14"/>
                </a:cubicBezTo>
                <a:cubicBezTo>
                  <a:pt x="182430" y="-154"/>
                  <a:pt x="175248" y="1209"/>
                  <a:pt x="168592" y="4013"/>
                </a:cubicBezTo>
                <a:cubicBezTo>
                  <a:pt x="162795" y="6474"/>
                  <a:pt x="156532" y="7668"/>
                  <a:pt x="150229" y="7514"/>
                </a:cubicBezTo>
                <a:cubicBezTo>
                  <a:pt x="143924" y="7669"/>
                  <a:pt x="137659" y="6475"/>
                  <a:pt x="131860" y="4013"/>
                </a:cubicBezTo>
                <a:cubicBezTo>
                  <a:pt x="125201" y="1210"/>
                  <a:pt x="118018" y="-154"/>
                  <a:pt x="110788" y="14"/>
                </a:cubicBezTo>
                <a:cubicBezTo>
                  <a:pt x="103559" y="-154"/>
                  <a:pt x="96377" y="1209"/>
                  <a:pt x="89721" y="4013"/>
                </a:cubicBezTo>
                <a:cubicBezTo>
                  <a:pt x="83924" y="6474"/>
                  <a:pt x="77661" y="7668"/>
                  <a:pt x="71358" y="7514"/>
                </a:cubicBezTo>
                <a:cubicBezTo>
                  <a:pt x="65051" y="7669"/>
                  <a:pt x="58784" y="6475"/>
                  <a:pt x="52983" y="4013"/>
                </a:cubicBezTo>
                <a:cubicBezTo>
                  <a:pt x="46321" y="1209"/>
                  <a:pt x="39134" y="-154"/>
                  <a:pt x="31900" y="14"/>
                </a:cubicBezTo>
                <a:cubicBezTo>
                  <a:pt x="24668" y="-153"/>
                  <a:pt x="17483" y="1209"/>
                  <a:pt x="10822" y="4011"/>
                </a:cubicBezTo>
                <a:cubicBezTo>
                  <a:pt x="7353" y="5451"/>
                  <a:pt x="3718" y="6462"/>
                  <a:pt x="0" y="7020"/>
                </a:cubicBezTo>
                <a:lnTo>
                  <a:pt x="0" y="14593"/>
                </a:lnTo>
                <a:cubicBezTo>
                  <a:pt x="4652" y="14019"/>
                  <a:pt x="9203" y="12814"/>
                  <a:pt x="13526" y="11015"/>
                </a:cubicBezTo>
                <a:cubicBezTo>
                  <a:pt x="19327" y="8553"/>
                  <a:pt x="25595" y="7359"/>
                  <a:pt x="31902" y="7514"/>
                </a:cubicBezTo>
                <a:cubicBezTo>
                  <a:pt x="38210" y="7359"/>
                  <a:pt x="44477" y="8553"/>
                  <a:pt x="50278" y="11017"/>
                </a:cubicBezTo>
                <a:cubicBezTo>
                  <a:pt x="56939" y="13818"/>
                  <a:pt x="64125" y="15181"/>
                  <a:pt x="71357" y="15014"/>
                </a:cubicBezTo>
                <a:cubicBezTo>
                  <a:pt x="78586" y="15181"/>
                  <a:pt x="85768" y="13818"/>
                  <a:pt x="92425" y="11015"/>
                </a:cubicBezTo>
                <a:cubicBezTo>
                  <a:pt x="98222" y="8553"/>
                  <a:pt x="104485" y="7359"/>
                  <a:pt x="110788" y="7514"/>
                </a:cubicBezTo>
                <a:cubicBezTo>
                  <a:pt x="117093" y="7359"/>
                  <a:pt x="123357" y="8553"/>
                  <a:pt x="129156" y="11015"/>
                </a:cubicBezTo>
                <a:cubicBezTo>
                  <a:pt x="135814" y="13818"/>
                  <a:pt x="142999" y="15181"/>
                  <a:pt x="150230" y="15014"/>
                </a:cubicBezTo>
                <a:cubicBezTo>
                  <a:pt x="157458" y="15181"/>
                  <a:pt x="164640" y="13818"/>
                  <a:pt x="171297" y="11015"/>
                </a:cubicBezTo>
                <a:cubicBezTo>
                  <a:pt x="183084" y="6347"/>
                  <a:pt x="196228" y="6347"/>
                  <a:pt x="208016" y="11015"/>
                </a:cubicBezTo>
                <a:cubicBezTo>
                  <a:pt x="221542" y="16347"/>
                  <a:pt x="236611" y="16347"/>
                  <a:pt x="250138" y="11015"/>
                </a:cubicBezTo>
                <a:cubicBezTo>
                  <a:pt x="261926" y="6347"/>
                  <a:pt x="275069" y="6347"/>
                  <a:pt x="286857" y="11015"/>
                </a:cubicBezTo>
                <a:cubicBezTo>
                  <a:pt x="291763" y="13065"/>
                  <a:pt x="296963" y="14333"/>
                  <a:pt x="302268" y="1477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46" name="Freeform: Shape 445">
            <a:extLst>
              <a:ext uri="{FF2B5EF4-FFF2-40B4-BE49-F238E27FC236}">
                <a16:creationId xmlns:a16="http://schemas.microsoft.com/office/drawing/2014/main" id="{D9C973D0-4AD2-4AA9-9363-68C8DEFD4AE6}"/>
              </a:ext>
            </a:extLst>
          </xdr:cNvPr>
          <xdr:cNvSpPr/>
        </xdr:nvSpPr>
        <xdr:spPr>
          <a:xfrm>
            <a:off x="12437367" y="9638714"/>
            <a:ext cx="235088" cy="238924"/>
          </a:xfrm>
          <a:custGeom>
            <a:avLst/>
            <a:gdLst>
              <a:gd name="connsiteX0" fmla="*/ 225054 w 235088"/>
              <a:gd name="connsiteY0" fmla="*/ 227237 h 238924"/>
              <a:gd name="connsiteX1" fmla="*/ 198609 w 235088"/>
              <a:gd name="connsiteY1" fmla="*/ 207358 h 238924"/>
              <a:gd name="connsiteX2" fmla="*/ 169601 w 235088"/>
              <a:gd name="connsiteY2" fmla="*/ 197158 h 238924"/>
              <a:gd name="connsiteX3" fmla="*/ 158961 w 235088"/>
              <a:gd name="connsiteY3" fmla="*/ 81199 h 238924"/>
              <a:gd name="connsiteX4" fmla="*/ 153979 w 235088"/>
              <a:gd name="connsiteY4" fmla="*/ 64524 h 238924"/>
              <a:gd name="connsiteX5" fmla="*/ 154025 w 235088"/>
              <a:gd name="connsiteY5" fmla="*/ 64481 h 238924"/>
              <a:gd name="connsiteX6" fmla="*/ 164765 w 235088"/>
              <a:gd name="connsiteY6" fmla="*/ 69733 h 238924"/>
              <a:gd name="connsiteX7" fmla="*/ 174157 w 235088"/>
              <a:gd name="connsiteY7" fmla="*/ 78851 h 238924"/>
              <a:gd name="connsiteX8" fmla="*/ 194019 w 235088"/>
              <a:gd name="connsiteY8" fmla="*/ 109039 h 238924"/>
              <a:gd name="connsiteX9" fmla="*/ 199109 w 235088"/>
              <a:gd name="connsiteY9" fmla="*/ 110653 h 238924"/>
              <a:gd name="connsiteX10" fmla="*/ 201146 w 235088"/>
              <a:gd name="connsiteY10" fmla="*/ 107585 h 238924"/>
              <a:gd name="connsiteX11" fmla="*/ 199597 w 235088"/>
              <a:gd name="connsiteY11" fmla="*/ 70848 h 238924"/>
              <a:gd name="connsiteX12" fmla="*/ 195649 w 235088"/>
              <a:gd name="connsiteY12" fmla="*/ 59917 h 238924"/>
              <a:gd name="connsiteX13" fmla="*/ 195696 w 235088"/>
              <a:gd name="connsiteY13" fmla="*/ 59866 h 238924"/>
              <a:gd name="connsiteX14" fmla="*/ 224579 w 235088"/>
              <a:gd name="connsiteY14" fmla="*/ 74241 h 238924"/>
              <a:gd name="connsiteX15" fmla="*/ 229757 w 235088"/>
              <a:gd name="connsiteY15" fmla="*/ 72932 h 238924"/>
              <a:gd name="connsiteX16" fmla="*/ 229861 w 235088"/>
              <a:gd name="connsiteY16" fmla="*/ 69288 h 238924"/>
              <a:gd name="connsiteX17" fmla="*/ 205009 w 235088"/>
              <a:gd name="connsiteY17" fmla="*/ 32712 h 238924"/>
              <a:gd name="connsiteX18" fmla="*/ 181408 w 235088"/>
              <a:gd name="connsiteY18" fmla="*/ 20100 h 238924"/>
              <a:gd name="connsiteX19" fmla="*/ 181398 w 235088"/>
              <a:gd name="connsiteY19" fmla="*/ 20030 h 238924"/>
              <a:gd name="connsiteX20" fmla="*/ 202227 w 235088"/>
              <a:gd name="connsiteY20" fmla="*/ 10675 h 238924"/>
              <a:gd name="connsiteX21" fmla="*/ 204399 w 235088"/>
              <a:gd name="connsiteY21" fmla="*/ 5830 h 238924"/>
              <a:gd name="connsiteX22" fmla="*/ 201650 w 235088"/>
              <a:gd name="connsiteY22" fmla="*/ 3505 h 238924"/>
              <a:gd name="connsiteX23" fmla="*/ 162702 w 235088"/>
              <a:gd name="connsiteY23" fmla="*/ 59 h 238924"/>
              <a:gd name="connsiteX24" fmla="*/ 132900 w 235088"/>
              <a:gd name="connsiteY24" fmla="*/ 22590 h 238924"/>
              <a:gd name="connsiteX25" fmla="*/ 132010 w 235088"/>
              <a:gd name="connsiteY25" fmla="*/ 33465 h 238924"/>
              <a:gd name="connsiteX26" fmla="*/ 131950 w 235088"/>
              <a:gd name="connsiteY26" fmla="*/ 33497 h 238924"/>
              <a:gd name="connsiteX27" fmla="*/ 118368 w 235088"/>
              <a:gd name="connsiteY27" fmla="*/ 26110 h 238924"/>
              <a:gd name="connsiteX28" fmla="*/ 78149 w 235088"/>
              <a:gd name="connsiteY28" fmla="*/ 40435 h 238924"/>
              <a:gd name="connsiteX29" fmla="*/ 59089 w 235088"/>
              <a:gd name="connsiteY29" fmla="*/ 79810 h 238924"/>
              <a:gd name="connsiteX30" fmla="*/ 61482 w 235088"/>
              <a:gd name="connsiteY30" fmla="*/ 84552 h 238924"/>
              <a:gd name="connsiteX31" fmla="*/ 64919 w 235088"/>
              <a:gd name="connsiteY31" fmla="*/ 84010 h 238924"/>
              <a:gd name="connsiteX32" fmla="*/ 98300 w 235088"/>
              <a:gd name="connsiteY32" fmla="*/ 64007 h 238924"/>
              <a:gd name="connsiteX33" fmla="*/ 98347 w 235088"/>
              <a:gd name="connsiteY33" fmla="*/ 64058 h 238924"/>
              <a:gd name="connsiteX34" fmla="*/ 94084 w 235088"/>
              <a:gd name="connsiteY34" fmla="*/ 83862 h 238924"/>
              <a:gd name="connsiteX35" fmla="*/ 102644 w 235088"/>
              <a:gd name="connsiteY35" fmla="*/ 122965 h 238924"/>
              <a:gd name="connsiteX36" fmla="*/ 106216 w 235088"/>
              <a:gd name="connsiteY36" fmla="*/ 125499 h 238924"/>
              <a:gd name="connsiteX37" fmla="*/ 106397 w 235088"/>
              <a:gd name="connsiteY37" fmla="*/ 125495 h 238924"/>
              <a:gd name="connsiteX38" fmla="*/ 109893 w 235088"/>
              <a:gd name="connsiteY38" fmla="*/ 122622 h 238924"/>
              <a:gd name="connsiteX39" fmla="*/ 123304 w 235088"/>
              <a:gd name="connsiteY39" fmla="*/ 85122 h 238924"/>
              <a:gd name="connsiteX40" fmla="*/ 129559 w 235088"/>
              <a:gd name="connsiteY40" fmla="*/ 74712 h 238924"/>
              <a:gd name="connsiteX41" fmla="*/ 135937 w 235088"/>
              <a:gd name="connsiteY41" fmla="*/ 68210 h 238924"/>
              <a:gd name="connsiteX42" fmla="*/ 135993 w 235088"/>
              <a:gd name="connsiteY42" fmla="*/ 68220 h 238924"/>
              <a:gd name="connsiteX43" fmla="*/ 140246 w 235088"/>
              <a:gd name="connsiteY43" fmla="*/ 82939 h 238924"/>
              <a:gd name="connsiteX44" fmla="*/ 140817 w 235088"/>
              <a:gd name="connsiteY44" fmla="*/ 195285 h 238924"/>
              <a:gd name="connsiteX45" fmla="*/ 113530 w 235088"/>
              <a:gd name="connsiteY45" fmla="*/ 198987 h 238924"/>
              <a:gd name="connsiteX46" fmla="*/ 81099 w 235088"/>
              <a:gd name="connsiteY46" fmla="*/ 209300 h 238924"/>
              <a:gd name="connsiteX47" fmla="*/ 68533 w 235088"/>
              <a:gd name="connsiteY47" fmla="*/ 207598 h 238924"/>
              <a:gd name="connsiteX48" fmla="*/ 61055 w 235088"/>
              <a:gd name="connsiteY48" fmla="*/ 138181 h 238924"/>
              <a:gd name="connsiteX49" fmla="*/ 64491 w 235088"/>
              <a:gd name="connsiteY49" fmla="*/ 140705 h 238924"/>
              <a:gd name="connsiteX50" fmla="*/ 68640 w 235088"/>
              <a:gd name="connsiteY50" fmla="*/ 146048 h 238924"/>
              <a:gd name="connsiteX51" fmla="*/ 78437 w 235088"/>
              <a:gd name="connsiteY51" fmla="*/ 165670 h 238924"/>
              <a:gd name="connsiteX52" fmla="*/ 81446 w 235088"/>
              <a:gd name="connsiteY52" fmla="*/ 167750 h 238924"/>
              <a:gd name="connsiteX53" fmla="*/ 81680 w 235088"/>
              <a:gd name="connsiteY53" fmla="*/ 167740 h 238924"/>
              <a:gd name="connsiteX54" fmla="*/ 84589 w 235088"/>
              <a:gd name="connsiteY54" fmla="*/ 165228 h 238924"/>
              <a:gd name="connsiteX55" fmla="*/ 86726 w 235088"/>
              <a:gd name="connsiteY55" fmla="*/ 142636 h 238924"/>
              <a:gd name="connsiteX56" fmla="*/ 84464 w 235088"/>
              <a:gd name="connsiteY56" fmla="*/ 134026 h 238924"/>
              <a:gd name="connsiteX57" fmla="*/ 84510 w 235088"/>
              <a:gd name="connsiteY57" fmla="*/ 133975 h 238924"/>
              <a:gd name="connsiteX58" fmla="*/ 101309 w 235088"/>
              <a:gd name="connsiteY58" fmla="*/ 141792 h 238924"/>
              <a:gd name="connsiteX59" fmla="*/ 105688 w 235088"/>
              <a:gd name="connsiteY59" fmla="*/ 140593 h 238924"/>
              <a:gd name="connsiteX60" fmla="*/ 105798 w 235088"/>
              <a:gd name="connsiteY60" fmla="*/ 137658 h 238924"/>
              <a:gd name="connsiteX61" fmla="*/ 92369 w 235088"/>
              <a:gd name="connsiteY61" fmla="*/ 116778 h 238924"/>
              <a:gd name="connsiteX62" fmla="*/ 67827 w 235088"/>
              <a:gd name="connsiteY62" fmla="*/ 111216 h 238924"/>
              <a:gd name="connsiteX63" fmla="*/ 62119 w 235088"/>
              <a:gd name="connsiteY63" fmla="*/ 114844 h 238924"/>
              <a:gd name="connsiteX64" fmla="*/ 62059 w 235088"/>
              <a:gd name="connsiteY64" fmla="*/ 114822 h 238924"/>
              <a:gd name="connsiteX65" fmla="*/ 60936 w 235088"/>
              <a:gd name="connsiteY65" fmla="*/ 110796 h 238924"/>
              <a:gd name="connsiteX66" fmla="*/ 41795 w 235088"/>
              <a:gd name="connsiteY66" fmla="*/ 99609 h 238924"/>
              <a:gd name="connsiteX67" fmla="*/ 20090 w 235088"/>
              <a:gd name="connsiteY67" fmla="*/ 104168 h 238924"/>
              <a:gd name="connsiteX68" fmla="*/ 18079 w 235088"/>
              <a:gd name="connsiteY68" fmla="*/ 108210 h 238924"/>
              <a:gd name="connsiteX69" fmla="*/ 20337 w 235088"/>
              <a:gd name="connsiteY69" fmla="*/ 110278 h 238924"/>
              <a:gd name="connsiteX70" fmla="*/ 29364 w 235088"/>
              <a:gd name="connsiteY70" fmla="*/ 112970 h 238924"/>
              <a:gd name="connsiteX71" fmla="*/ 29370 w 235088"/>
              <a:gd name="connsiteY71" fmla="*/ 113040 h 238924"/>
              <a:gd name="connsiteX72" fmla="*/ 19656 w 235088"/>
              <a:gd name="connsiteY72" fmla="*/ 121014 h 238924"/>
              <a:gd name="connsiteX73" fmla="*/ 8176 w 235088"/>
              <a:gd name="connsiteY73" fmla="*/ 143246 h 238924"/>
              <a:gd name="connsiteX74" fmla="*/ 10053 w 235088"/>
              <a:gd name="connsiteY74" fmla="*/ 147351 h 238924"/>
              <a:gd name="connsiteX75" fmla="*/ 13140 w 235088"/>
              <a:gd name="connsiteY75" fmla="*/ 146893 h 238924"/>
              <a:gd name="connsiteX76" fmla="*/ 25582 w 235088"/>
              <a:gd name="connsiteY76" fmla="*/ 138513 h 238924"/>
              <a:gd name="connsiteX77" fmla="*/ 25638 w 235088"/>
              <a:gd name="connsiteY77" fmla="*/ 138554 h 238924"/>
              <a:gd name="connsiteX78" fmla="*/ 25030 w 235088"/>
              <a:gd name="connsiteY78" fmla="*/ 142406 h 238924"/>
              <a:gd name="connsiteX79" fmla="*/ 26667 w 235088"/>
              <a:gd name="connsiteY79" fmla="*/ 163208 h 238924"/>
              <a:gd name="connsiteX80" fmla="*/ 29554 w 235088"/>
              <a:gd name="connsiteY80" fmla="*/ 165781 h 238924"/>
              <a:gd name="connsiteX81" fmla="*/ 32831 w 235088"/>
              <a:gd name="connsiteY81" fmla="*/ 163716 h 238924"/>
              <a:gd name="connsiteX82" fmla="*/ 41699 w 235088"/>
              <a:gd name="connsiteY82" fmla="*/ 145866 h 238924"/>
              <a:gd name="connsiteX83" fmla="*/ 46186 w 235088"/>
              <a:gd name="connsiteY83" fmla="*/ 140312 h 238924"/>
              <a:gd name="connsiteX84" fmla="*/ 48300 w 235088"/>
              <a:gd name="connsiteY84" fmla="*/ 138747 h 238924"/>
              <a:gd name="connsiteX85" fmla="*/ 50213 w 235088"/>
              <a:gd name="connsiteY85" fmla="*/ 208753 h 238924"/>
              <a:gd name="connsiteX86" fmla="*/ 40545 w 235088"/>
              <a:gd name="connsiteY86" fmla="*/ 210426 h 238924"/>
              <a:gd name="connsiteX87" fmla="*/ 4021 w 235088"/>
              <a:gd name="connsiteY87" fmla="*/ 230363 h 238924"/>
              <a:gd name="connsiteX88" fmla="*/ 0 w 235088"/>
              <a:gd name="connsiteY88" fmla="*/ 238925 h 238924"/>
              <a:gd name="connsiteX89" fmla="*/ 8002 w 235088"/>
              <a:gd name="connsiteY89" fmla="*/ 238925 h 238924"/>
              <a:gd name="connsiteX90" fmla="*/ 9985 w 235088"/>
              <a:gd name="connsiteY90" fmla="*/ 234969 h 238924"/>
              <a:gd name="connsiteX91" fmla="*/ 42112 w 235088"/>
              <a:gd name="connsiteY91" fmla="*/ 217762 h 238924"/>
              <a:gd name="connsiteX92" fmla="*/ 65809 w 235088"/>
              <a:gd name="connsiteY92" fmla="*/ 215041 h 238924"/>
              <a:gd name="connsiteX93" fmla="*/ 75938 w 235088"/>
              <a:gd name="connsiteY93" fmla="*/ 215799 h 238924"/>
              <a:gd name="connsiteX94" fmla="*/ 79471 w 235088"/>
              <a:gd name="connsiteY94" fmla="*/ 216517 h 238924"/>
              <a:gd name="connsiteX95" fmla="*/ 81913 w 235088"/>
              <a:gd name="connsiteY95" fmla="*/ 217196 h 238924"/>
              <a:gd name="connsiteX96" fmla="*/ 97605 w 235088"/>
              <a:gd name="connsiteY96" fmla="*/ 227307 h 238924"/>
              <a:gd name="connsiteX97" fmla="*/ 102924 w 235088"/>
              <a:gd name="connsiteY97" fmla="*/ 227815 h 238924"/>
              <a:gd name="connsiteX98" fmla="*/ 103436 w 235088"/>
              <a:gd name="connsiteY98" fmla="*/ 222537 h 238924"/>
              <a:gd name="connsiteX99" fmla="*/ 103317 w 235088"/>
              <a:gd name="connsiteY99" fmla="*/ 222400 h 238924"/>
              <a:gd name="connsiteX100" fmla="*/ 91602 w 235088"/>
              <a:gd name="connsiteY100" fmla="*/ 213338 h 238924"/>
              <a:gd name="connsiteX101" fmla="*/ 115088 w 235088"/>
              <a:gd name="connsiteY101" fmla="*/ 206325 h 238924"/>
              <a:gd name="connsiteX102" fmla="*/ 149626 w 235088"/>
              <a:gd name="connsiteY102" fmla="*/ 202475 h 238924"/>
              <a:gd name="connsiteX103" fmla="*/ 156273 w 235088"/>
              <a:gd name="connsiteY103" fmla="*/ 202762 h 238924"/>
              <a:gd name="connsiteX104" fmla="*/ 195039 w 235088"/>
              <a:gd name="connsiteY104" fmla="*/ 213971 h 238924"/>
              <a:gd name="connsiteX105" fmla="*/ 219525 w 235088"/>
              <a:gd name="connsiteY105" fmla="*/ 232350 h 238924"/>
              <a:gd name="connsiteX106" fmla="*/ 225280 w 235088"/>
              <a:gd name="connsiteY106" fmla="*/ 238924 h 238924"/>
              <a:gd name="connsiteX107" fmla="*/ 235088 w 235088"/>
              <a:gd name="connsiteY107" fmla="*/ 238924 h 238924"/>
              <a:gd name="connsiteX108" fmla="*/ 225054 w 235088"/>
              <a:gd name="connsiteY108" fmla="*/ 227237 h 238924"/>
              <a:gd name="connsiteX109" fmla="*/ 41612 w 235088"/>
              <a:gd name="connsiteY109" fmla="*/ 135834 h 238924"/>
              <a:gd name="connsiteX110" fmla="*/ 41612 w 235088"/>
              <a:gd name="connsiteY110" fmla="*/ 135836 h 238924"/>
              <a:gd name="connsiteX111" fmla="*/ 36452 w 235088"/>
              <a:gd name="connsiteY111" fmla="*/ 142190 h 238924"/>
              <a:gd name="connsiteX112" fmla="*/ 31582 w 235088"/>
              <a:gd name="connsiteY112" fmla="*/ 150582 h 238924"/>
              <a:gd name="connsiteX113" fmla="*/ 31511 w 235088"/>
              <a:gd name="connsiteY113" fmla="*/ 150568 h 238924"/>
              <a:gd name="connsiteX114" fmla="*/ 31438 w 235088"/>
              <a:gd name="connsiteY114" fmla="*/ 142864 h 238924"/>
              <a:gd name="connsiteX115" fmla="*/ 36772 w 235088"/>
              <a:gd name="connsiteY115" fmla="*/ 133015 h 238924"/>
              <a:gd name="connsiteX116" fmla="*/ 37748 w 235088"/>
              <a:gd name="connsiteY116" fmla="*/ 128612 h 238924"/>
              <a:gd name="connsiteX117" fmla="*/ 33894 w 235088"/>
              <a:gd name="connsiteY117" fmla="*/ 127352 h 238924"/>
              <a:gd name="connsiteX118" fmla="*/ 31468 w 235088"/>
              <a:gd name="connsiteY118" fmla="*/ 128312 h 238924"/>
              <a:gd name="connsiteX119" fmla="*/ 18820 w 235088"/>
              <a:gd name="connsiteY119" fmla="*/ 135180 h 238924"/>
              <a:gd name="connsiteX120" fmla="*/ 18766 w 235088"/>
              <a:gd name="connsiteY120" fmla="*/ 135133 h 238924"/>
              <a:gd name="connsiteX121" fmla="*/ 24860 w 235088"/>
              <a:gd name="connsiteY121" fmla="*/ 124751 h 238924"/>
              <a:gd name="connsiteX122" fmla="*/ 40913 w 235088"/>
              <a:gd name="connsiteY122" fmla="*/ 118276 h 238924"/>
              <a:gd name="connsiteX123" fmla="*/ 43193 w 235088"/>
              <a:gd name="connsiteY123" fmla="*/ 119229 h 238924"/>
              <a:gd name="connsiteX124" fmla="*/ 47558 w 235088"/>
              <a:gd name="connsiteY124" fmla="*/ 117984 h 238924"/>
              <a:gd name="connsiteX125" fmla="*/ 46436 w 235088"/>
              <a:gd name="connsiteY125" fmla="*/ 113728 h 238924"/>
              <a:gd name="connsiteX126" fmla="*/ 43577 w 235088"/>
              <a:gd name="connsiteY126" fmla="*/ 112058 h 238924"/>
              <a:gd name="connsiteX127" fmla="*/ 32794 w 235088"/>
              <a:gd name="connsiteY127" fmla="*/ 107399 h 238924"/>
              <a:gd name="connsiteX128" fmla="*/ 32799 w 235088"/>
              <a:gd name="connsiteY128" fmla="*/ 107328 h 238924"/>
              <a:gd name="connsiteX129" fmla="*/ 42121 w 235088"/>
              <a:gd name="connsiteY129" fmla="*/ 105975 h 238924"/>
              <a:gd name="connsiteX130" fmla="*/ 55054 w 235088"/>
              <a:gd name="connsiteY130" fmla="*/ 113356 h 238924"/>
              <a:gd name="connsiteX131" fmla="*/ 54822 w 235088"/>
              <a:gd name="connsiteY131" fmla="*/ 124173 h 238924"/>
              <a:gd name="connsiteX132" fmla="*/ 56980 w 235088"/>
              <a:gd name="connsiteY132" fmla="*/ 128139 h 238924"/>
              <a:gd name="connsiteX133" fmla="*/ 60673 w 235088"/>
              <a:gd name="connsiteY133" fmla="*/ 126690 h 238924"/>
              <a:gd name="connsiteX134" fmla="*/ 70262 w 235088"/>
              <a:gd name="connsiteY134" fmla="*/ 117114 h 238924"/>
              <a:gd name="connsiteX135" fmla="*/ 87617 w 235088"/>
              <a:gd name="connsiteY135" fmla="*/ 121065 h 238924"/>
              <a:gd name="connsiteX136" fmla="*/ 95080 w 235088"/>
              <a:gd name="connsiteY136" fmla="*/ 131409 h 238924"/>
              <a:gd name="connsiteX137" fmla="*/ 95033 w 235088"/>
              <a:gd name="connsiteY137" fmla="*/ 131461 h 238924"/>
              <a:gd name="connsiteX138" fmla="*/ 80246 w 235088"/>
              <a:gd name="connsiteY138" fmla="*/ 125975 h 238924"/>
              <a:gd name="connsiteX139" fmla="*/ 72633 w 235088"/>
              <a:gd name="connsiteY139" fmla="*/ 124415 h 238924"/>
              <a:gd name="connsiteX140" fmla="*/ 69035 w 235088"/>
              <a:gd name="connsiteY140" fmla="*/ 126826 h 238924"/>
              <a:gd name="connsiteX141" fmla="*/ 71262 w 235088"/>
              <a:gd name="connsiteY141" fmla="*/ 130633 h 238924"/>
              <a:gd name="connsiteX142" fmla="*/ 80317 w 235088"/>
              <a:gd name="connsiteY142" fmla="*/ 143029 h 238924"/>
              <a:gd name="connsiteX143" fmla="*/ 79987 w 235088"/>
              <a:gd name="connsiteY143" fmla="*/ 152906 h 238924"/>
              <a:gd name="connsiteX144" fmla="*/ 79917 w 235088"/>
              <a:gd name="connsiteY144" fmla="*/ 152918 h 238924"/>
              <a:gd name="connsiteX145" fmla="*/ 73830 w 235088"/>
              <a:gd name="connsiteY145" fmla="*/ 142290 h 238924"/>
              <a:gd name="connsiteX146" fmla="*/ 69251 w 235088"/>
              <a:gd name="connsiteY146" fmla="*/ 136423 h 238924"/>
              <a:gd name="connsiteX147" fmla="*/ 56074 w 235088"/>
              <a:gd name="connsiteY147" fmla="*/ 130103 h 238924"/>
              <a:gd name="connsiteX148" fmla="*/ 55567 w 235088"/>
              <a:gd name="connsiteY148" fmla="*/ 130120 h 238924"/>
              <a:gd name="connsiteX149" fmla="*/ 41612 w 235088"/>
              <a:gd name="connsiteY149" fmla="*/ 135834 h 238924"/>
              <a:gd name="connsiteX150" fmla="*/ 54277 w 235088"/>
              <a:gd name="connsiteY150" fmla="*/ 147471 h 238924"/>
              <a:gd name="connsiteX151" fmla="*/ 55341 w 235088"/>
              <a:gd name="connsiteY151" fmla="*/ 170083 h 238924"/>
              <a:gd name="connsiteX152" fmla="*/ 61941 w 235088"/>
              <a:gd name="connsiteY152" fmla="*/ 207646 h 238924"/>
              <a:gd name="connsiteX153" fmla="*/ 56594 w 235088"/>
              <a:gd name="connsiteY153" fmla="*/ 208005 h 238924"/>
              <a:gd name="connsiteX154" fmla="*/ 54123 w 235088"/>
              <a:gd name="connsiteY154" fmla="*/ 158375 h 238924"/>
              <a:gd name="connsiteX155" fmla="*/ 54277 w 235088"/>
              <a:gd name="connsiteY155" fmla="*/ 147471 h 238924"/>
              <a:gd name="connsiteX156" fmla="*/ 123393 w 235088"/>
              <a:gd name="connsiteY156" fmla="*/ 70376 h 238924"/>
              <a:gd name="connsiteX157" fmla="*/ 116592 w 235088"/>
              <a:gd name="connsiteY157" fmla="*/ 81675 h 238924"/>
              <a:gd name="connsiteX158" fmla="*/ 106134 w 235088"/>
              <a:gd name="connsiteY158" fmla="*/ 108007 h 238924"/>
              <a:gd name="connsiteX159" fmla="*/ 106063 w 235088"/>
              <a:gd name="connsiteY159" fmla="*/ 108007 h 238924"/>
              <a:gd name="connsiteX160" fmla="*/ 101632 w 235088"/>
              <a:gd name="connsiteY160" fmla="*/ 83430 h 238924"/>
              <a:gd name="connsiteX161" fmla="*/ 116007 w 235088"/>
              <a:gd name="connsiteY161" fmla="*/ 57705 h 238924"/>
              <a:gd name="connsiteX162" fmla="*/ 116396 w 235088"/>
              <a:gd name="connsiteY162" fmla="*/ 57551 h 238924"/>
              <a:gd name="connsiteX163" fmla="*/ 118300 w 235088"/>
              <a:gd name="connsiteY163" fmla="*/ 52596 h 238924"/>
              <a:gd name="connsiteX164" fmla="*/ 113769 w 235088"/>
              <a:gd name="connsiteY164" fmla="*/ 50536 h 238924"/>
              <a:gd name="connsiteX165" fmla="*/ 100730 w 235088"/>
              <a:gd name="connsiteY165" fmla="*/ 54874 h 238924"/>
              <a:gd name="connsiteX166" fmla="*/ 70598 w 235088"/>
              <a:gd name="connsiteY166" fmla="*/ 71009 h 238924"/>
              <a:gd name="connsiteX167" fmla="*/ 70544 w 235088"/>
              <a:gd name="connsiteY167" fmla="*/ 70965 h 238924"/>
              <a:gd name="connsiteX168" fmla="*/ 84308 w 235088"/>
              <a:gd name="connsiteY168" fmla="*/ 44777 h 238924"/>
              <a:gd name="connsiteX169" fmla="*/ 116361 w 235088"/>
              <a:gd name="connsiteY169" fmla="*/ 33340 h 238924"/>
              <a:gd name="connsiteX170" fmla="*/ 136480 w 235088"/>
              <a:gd name="connsiteY170" fmla="*/ 49001 h 238924"/>
              <a:gd name="connsiteX171" fmla="*/ 141771 w 235088"/>
              <a:gd name="connsiteY171" fmla="*/ 49738 h 238924"/>
              <a:gd name="connsiteX172" fmla="*/ 142957 w 235088"/>
              <a:gd name="connsiteY172" fmla="*/ 45238 h 238924"/>
              <a:gd name="connsiteX173" fmla="*/ 140133 w 235088"/>
              <a:gd name="connsiteY173" fmla="*/ 24765 h 238924"/>
              <a:gd name="connsiteX174" fmla="*/ 163228 w 235088"/>
              <a:gd name="connsiteY174" fmla="*/ 7540 h 238924"/>
              <a:gd name="connsiteX175" fmla="*/ 187303 w 235088"/>
              <a:gd name="connsiteY175" fmla="*/ 8755 h 238924"/>
              <a:gd name="connsiteX176" fmla="*/ 187314 w 235088"/>
              <a:gd name="connsiteY176" fmla="*/ 8824 h 238924"/>
              <a:gd name="connsiteX177" fmla="*/ 163250 w 235088"/>
              <a:gd name="connsiteY177" fmla="*/ 22150 h 238924"/>
              <a:gd name="connsiteX178" fmla="*/ 158590 w 235088"/>
              <a:gd name="connsiteY178" fmla="*/ 25684 h 238924"/>
              <a:gd name="connsiteX179" fmla="*/ 157973 w 235088"/>
              <a:gd name="connsiteY179" fmla="*/ 30952 h 238924"/>
              <a:gd name="connsiteX180" fmla="*/ 163165 w 235088"/>
              <a:gd name="connsiteY180" fmla="*/ 31651 h 238924"/>
              <a:gd name="connsiteX181" fmla="*/ 167435 w 235088"/>
              <a:gd name="connsiteY181" fmla="*/ 29238 h 238924"/>
              <a:gd name="connsiteX182" fmla="*/ 199466 w 235088"/>
              <a:gd name="connsiteY182" fmla="*/ 37805 h 238924"/>
              <a:gd name="connsiteX183" fmla="*/ 216522 w 235088"/>
              <a:gd name="connsiteY183" fmla="*/ 61205 h 238924"/>
              <a:gd name="connsiteX184" fmla="*/ 216474 w 235088"/>
              <a:gd name="connsiteY184" fmla="*/ 61256 h 238924"/>
              <a:gd name="connsiteX185" fmla="*/ 186540 w 235088"/>
              <a:gd name="connsiteY185" fmla="*/ 48717 h 238924"/>
              <a:gd name="connsiteX186" fmla="*/ 182085 w 235088"/>
              <a:gd name="connsiteY186" fmla="*/ 47539 h 238924"/>
              <a:gd name="connsiteX187" fmla="*/ 177483 w 235088"/>
              <a:gd name="connsiteY187" fmla="*/ 50235 h 238924"/>
              <a:gd name="connsiteX188" fmla="*/ 179520 w 235088"/>
              <a:gd name="connsiteY188" fmla="*/ 54558 h 238924"/>
              <a:gd name="connsiteX189" fmla="*/ 192180 w 235088"/>
              <a:gd name="connsiteY189" fmla="*/ 72282 h 238924"/>
              <a:gd name="connsiteX190" fmla="*/ 193950 w 235088"/>
              <a:gd name="connsiteY190" fmla="*/ 93521 h 238924"/>
              <a:gd name="connsiteX191" fmla="*/ 193882 w 235088"/>
              <a:gd name="connsiteY191" fmla="*/ 93540 h 238924"/>
              <a:gd name="connsiteX192" fmla="*/ 179764 w 235088"/>
              <a:gd name="connsiteY192" fmla="*/ 73824 h 238924"/>
              <a:gd name="connsiteX193" fmla="*/ 169472 w 235088"/>
              <a:gd name="connsiteY193" fmla="*/ 63867 h 238924"/>
              <a:gd name="connsiteX194" fmla="*/ 144759 w 235088"/>
              <a:gd name="connsiteY194" fmla="*/ 55555 h 238924"/>
              <a:gd name="connsiteX195" fmla="*/ 123393 w 235088"/>
              <a:gd name="connsiteY195" fmla="*/ 70376 h 238924"/>
              <a:gd name="connsiteX196" fmla="*/ 149626 w 235088"/>
              <a:gd name="connsiteY196" fmla="*/ 194975 h 238924"/>
              <a:gd name="connsiteX197" fmla="*/ 148482 w 235088"/>
              <a:gd name="connsiteY197" fmla="*/ 194995 h 238924"/>
              <a:gd name="connsiteX198" fmla="*/ 147644 w 235088"/>
              <a:gd name="connsiteY198" fmla="*/ 81412 h 238924"/>
              <a:gd name="connsiteX199" fmla="*/ 142581 w 235088"/>
              <a:gd name="connsiteY199" fmla="*/ 63856 h 238924"/>
              <a:gd name="connsiteX200" fmla="*/ 145317 w 235088"/>
              <a:gd name="connsiteY200" fmla="*/ 63042 h 238924"/>
              <a:gd name="connsiteX201" fmla="*/ 145669 w 235088"/>
              <a:gd name="connsiteY201" fmla="*/ 63892 h 238924"/>
              <a:gd name="connsiteX202" fmla="*/ 151585 w 235088"/>
              <a:gd name="connsiteY202" fmla="*/ 82830 h 238924"/>
              <a:gd name="connsiteX203" fmla="*/ 162019 w 235088"/>
              <a:gd name="connsiteY203" fmla="*/ 195890 h 238924"/>
              <a:gd name="connsiteX204" fmla="*/ 157045 w 235088"/>
              <a:gd name="connsiteY204" fmla="*/ 195300 h 238924"/>
              <a:gd name="connsiteX205" fmla="*/ 149626 w 235088"/>
              <a:gd name="connsiteY205" fmla="*/ 194975 h 2389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</a:cxnLst>
            <a:rect l="l" t="t" r="r" b="b"/>
            <a:pathLst>
              <a:path w="235088" h="238924">
                <a:moveTo>
                  <a:pt x="225054" y="227237"/>
                </a:moveTo>
                <a:cubicBezTo>
                  <a:pt x="217368" y="219249"/>
                  <a:pt x="208439" y="212537"/>
                  <a:pt x="198609" y="207358"/>
                </a:cubicBezTo>
                <a:cubicBezTo>
                  <a:pt x="189510" y="202533"/>
                  <a:pt x="179731" y="199095"/>
                  <a:pt x="169601" y="197158"/>
                </a:cubicBezTo>
                <a:cubicBezTo>
                  <a:pt x="169299" y="180858"/>
                  <a:pt x="167629" y="121571"/>
                  <a:pt x="158961" y="81199"/>
                </a:cubicBezTo>
                <a:cubicBezTo>
                  <a:pt x="157619" y="75551"/>
                  <a:pt x="155956" y="69984"/>
                  <a:pt x="153979" y="64524"/>
                </a:cubicBezTo>
                <a:cubicBezTo>
                  <a:pt x="153965" y="64486"/>
                  <a:pt x="153986" y="64469"/>
                  <a:pt x="154025" y="64481"/>
                </a:cubicBezTo>
                <a:cubicBezTo>
                  <a:pt x="157900" y="65561"/>
                  <a:pt x="161541" y="67341"/>
                  <a:pt x="164765" y="69733"/>
                </a:cubicBezTo>
                <a:cubicBezTo>
                  <a:pt x="168130" y="72525"/>
                  <a:pt x="171270" y="75573"/>
                  <a:pt x="174157" y="78851"/>
                </a:cubicBezTo>
                <a:cubicBezTo>
                  <a:pt x="181790" y="88220"/>
                  <a:pt x="188445" y="98335"/>
                  <a:pt x="194019" y="109039"/>
                </a:cubicBezTo>
                <a:cubicBezTo>
                  <a:pt x="194975" y="110880"/>
                  <a:pt x="197254" y="111602"/>
                  <a:pt x="199109" y="110653"/>
                </a:cubicBezTo>
                <a:cubicBezTo>
                  <a:pt x="200281" y="110053"/>
                  <a:pt x="201053" y="108890"/>
                  <a:pt x="201146" y="107585"/>
                </a:cubicBezTo>
                <a:cubicBezTo>
                  <a:pt x="201983" y="95320"/>
                  <a:pt x="201463" y="83001"/>
                  <a:pt x="199597" y="70848"/>
                </a:cubicBezTo>
                <a:cubicBezTo>
                  <a:pt x="198875" y="67020"/>
                  <a:pt x="197542" y="63329"/>
                  <a:pt x="195649" y="59917"/>
                </a:cubicBezTo>
                <a:cubicBezTo>
                  <a:pt x="195620" y="59866"/>
                  <a:pt x="195642" y="59842"/>
                  <a:pt x="195696" y="59866"/>
                </a:cubicBezTo>
                <a:cubicBezTo>
                  <a:pt x="205614" y="64060"/>
                  <a:pt x="215260" y="68861"/>
                  <a:pt x="224579" y="74241"/>
                </a:cubicBezTo>
                <a:cubicBezTo>
                  <a:pt x="226373" y="75299"/>
                  <a:pt x="228691" y="74712"/>
                  <a:pt x="229757" y="72932"/>
                </a:cubicBezTo>
                <a:cubicBezTo>
                  <a:pt x="230424" y="71817"/>
                  <a:pt x="230463" y="70439"/>
                  <a:pt x="229861" y="69288"/>
                </a:cubicBezTo>
                <a:cubicBezTo>
                  <a:pt x="222974" y="56217"/>
                  <a:pt x="214639" y="43948"/>
                  <a:pt x="205009" y="32712"/>
                </a:cubicBezTo>
                <a:cubicBezTo>
                  <a:pt x="198979" y="25762"/>
                  <a:pt x="190574" y="21270"/>
                  <a:pt x="181408" y="20100"/>
                </a:cubicBezTo>
                <a:cubicBezTo>
                  <a:pt x="181340" y="20093"/>
                  <a:pt x="181337" y="20063"/>
                  <a:pt x="181398" y="20030"/>
                </a:cubicBezTo>
                <a:cubicBezTo>
                  <a:pt x="191841" y="14658"/>
                  <a:pt x="202078" y="10730"/>
                  <a:pt x="202227" y="10675"/>
                </a:cubicBezTo>
                <a:cubicBezTo>
                  <a:pt x="204175" y="9933"/>
                  <a:pt x="205148" y="7763"/>
                  <a:pt x="204399" y="5830"/>
                </a:cubicBezTo>
                <a:cubicBezTo>
                  <a:pt x="203940" y="4642"/>
                  <a:pt x="202905" y="3767"/>
                  <a:pt x="201650" y="3505"/>
                </a:cubicBezTo>
                <a:cubicBezTo>
                  <a:pt x="188844" y="872"/>
                  <a:pt x="175775" y="-285"/>
                  <a:pt x="162702" y="59"/>
                </a:cubicBezTo>
                <a:cubicBezTo>
                  <a:pt x="148912" y="404"/>
                  <a:pt x="136898" y="9486"/>
                  <a:pt x="132900" y="22590"/>
                </a:cubicBezTo>
                <a:cubicBezTo>
                  <a:pt x="131895" y="26124"/>
                  <a:pt x="131593" y="29817"/>
                  <a:pt x="132010" y="33465"/>
                </a:cubicBezTo>
                <a:cubicBezTo>
                  <a:pt x="132014" y="33514"/>
                  <a:pt x="131988" y="33528"/>
                  <a:pt x="131950" y="33497"/>
                </a:cubicBezTo>
                <a:cubicBezTo>
                  <a:pt x="127983" y="30133"/>
                  <a:pt x="123359" y="27618"/>
                  <a:pt x="118368" y="26110"/>
                </a:cubicBezTo>
                <a:cubicBezTo>
                  <a:pt x="103247" y="21615"/>
                  <a:pt x="86939" y="27423"/>
                  <a:pt x="78149" y="40435"/>
                </a:cubicBezTo>
                <a:cubicBezTo>
                  <a:pt x="70184" y="52730"/>
                  <a:pt x="63783" y="65955"/>
                  <a:pt x="59089" y="79810"/>
                </a:cubicBezTo>
                <a:cubicBezTo>
                  <a:pt x="58431" y="81775"/>
                  <a:pt x="59502" y="83898"/>
                  <a:pt x="61482" y="84552"/>
                </a:cubicBezTo>
                <a:cubicBezTo>
                  <a:pt x="62648" y="84937"/>
                  <a:pt x="63930" y="84735"/>
                  <a:pt x="64919" y="84010"/>
                </a:cubicBezTo>
                <a:cubicBezTo>
                  <a:pt x="75443" y="76397"/>
                  <a:pt x="86611" y="69704"/>
                  <a:pt x="98300" y="64007"/>
                </a:cubicBezTo>
                <a:cubicBezTo>
                  <a:pt x="98358" y="63980"/>
                  <a:pt x="98379" y="64003"/>
                  <a:pt x="98347" y="64058"/>
                </a:cubicBezTo>
                <a:cubicBezTo>
                  <a:pt x="94989" y="70097"/>
                  <a:pt x="93505" y="76988"/>
                  <a:pt x="94084" y="83862"/>
                </a:cubicBezTo>
                <a:cubicBezTo>
                  <a:pt x="95437" y="97176"/>
                  <a:pt x="98308" y="110294"/>
                  <a:pt x="102644" y="122965"/>
                </a:cubicBezTo>
                <a:cubicBezTo>
                  <a:pt x="103167" y="124480"/>
                  <a:pt x="104602" y="125499"/>
                  <a:pt x="106216" y="125499"/>
                </a:cubicBezTo>
                <a:lnTo>
                  <a:pt x="106397" y="125495"/>
                </a:lnTo>
                <a:cubicBezTo>
                  <a:pt x="108076" y="125415"/>
                  <a:pt x="109500" y="124245"/>
                  <a:pt x="109893" y="122622"/>
                </a:cubicBezTo>
                <a:cubicBezTo>
                  <a:pt x="113035" y="109693"/>
                  <a:pt x="117529" y="97125"/>
                  <a:pt x="123304" y="85122"/>
                </a:cubicBezTo>
                <a:cubicBezTo>
                  <a:pt x="125178" y="81532"/>
                  <a:pt x="127267" y="78055"/>
                  <a:pt x="129559" y="74712"/>
                </a:cubicBezTo>
                <a:cubicBezTo>
                  <a:pt x="131402" y="72288"/>
                  <a:pt x="133545" y="70103"/>
                  <a:pt x="135937" y="68210"/>
                </a:cubicBezTo>
                <a:cubicBezTo>
                  <a:pt x="135959" y="68192"/>
                  <a:pt x="135983" y="68193"/>
                  <a:pt x="135993" y="68220"/>
                </a:cubicBezTo>
                <a:cubicBezTo>
                  <a:pt x="137769" y="73017"/>
                  <a:pt x="139191" y="77937"/>
                  <a:pt x="140246" y="82939"/>
                </a:cubicBezTo>
                <a:cubicBezTo>
                  <a:pt x="146997" y="115181"/>
                  <a:pt x="147158" y="152986"/>
                  <a:pt x="140817" y="195285"/>
                </a:cubicBezTo>
                <a:cubicBezTo>
                  <a:pt x="131647" y="195896"/>
                  <a:pt x="122529" y="197133"/>
                  <a:pt x="113530" y="198987"/>
                </a:cubicBezTo>
                <a:cubicBezTo>
                  <a:pt x="102472" y="201605"/>
                  <a:pt x="91631" y="205053"/>
                  <a:pt x="81099" y="209300"/>
                </a:cubicBezTo>
                <a:cubicBezTo>
                  <a:pt x="77007" y="208174"/>
                  <a:pt x="72780" y="207602"/>
                  <a:pt x="68533" y="207598"/>
                </a:cubicBezTo>
                <a:cubicBezTo>
                  <a:pt x="62464" y="184978"/>
                  <a:pt x="59942" y="161564"/>
                  <a:pt x="61055" y="138181"/>
                </a:cubicBezTo>
                <a:cubicBezTo>
                  <a:pt x="62327" y="138838"/>
                  <a:pt x="63486" y="139690"/>
                  <a:pt x="64491" y="140705"/>
                </a:cubicBezTo>
                <a:cubicBezTo>
                  <a:pt x="65979" y="142404"/>
                  <a:pt x="67364" y="144187"/>
                  <a:pt x="68640" y="146048"/>
                </a:cubicBezTo>
                <a:cubicBezTo>
                  <a:pt x="72580" y="152235"/>
                  <a:pt x="75863" y="158811"/>
                  <a:pt x="78437" y="165670"/>
                </a:cubicBezTo>
                <a:cubicBezTo>
                  <a:pt x="78903" y="166919"/>
                  <a:pt x="80103" y="167749"/>
                  <a:pt x="81446" y="167750"/>
                </a:cubicBezTo>
                <a:cubicBezTo>
                  <a:pt x="81521" y="167750"/>
                  <a:pt x="81602" y="167746"/>
                  <a:pt x="81680" y="167740"/>
                </a:cubicBezTo>
                <a:cubicBezTo>
                  <a:pt x="83105" y="167638"/>
                  <a:pt x="84290" y="166614"/>
                  <a:pt x="84589" y="165228"/>
                </a:cubicBezTo>
                <a:cubicBezTo>
                  <a:pt x="86160" y="157802"/>
                  <a:pt x="86877" y="150223"/>
                  <a:pt x="86726" y="142636"/>
                </a:cubicBezTo>
                <a:cubicBezTo>
                  <a:pt x="86569" y="139644"/>
                  <a:pt x="85799" y="136714"/>
                  <a:pt x="84464" y="134026"/>
                </a:cubicBezTo>
                <a:cubicBezTo>
                  <a:pt x="84440" y="133979"/>
                  <a:pt x="84461" y="133957"/>
                  <a:pt x="84510" y="133975"/>
                </a:cubicBezTo>
                <a:cubicBezTo>
                  <a:pt x="90284" y="136194"/>
                  <a:pt x="95898" y="138806"/>
                  <a:pt x="101309" y="141792"/>
                </a:cubicBezTo>
                <a:cubicBezTo>
                  <a:pt x="102852" y="142661"/>
                  <a:pt x="104812" y="142125"/>
                  <a:pt x="105688" y="140593"/>
                </a:cubicBezTo>
                <a:cubicBezTo>
                  <a:pt x="106204" y="139691"/>
                  <a:pt x="106245" y="138596"/>
                  <a:pt x="105798" y="137658"/>
                </a:cubicBezTo>
                <a:cubicBezTo>
                  <a:pt x="102206" y="130176"/>
                  <a:pt x="97695" y="123163"/>
                  <a:pt x="92369" y="116778"/>
                </a:cubicBezTo>
                <a:cubicBezTo>
                  <a:pt x="86302" y="109785"/>
                  <a:pt x="76352" y="107530"/>
                  <a:pt x="67827" y="111216"/>
                </a:cubicBezTo>
                <a:cubicBezTo>
                  <a:pt x="65735" y="112103"/>
                  <a:pt x="63806" y="113329"/>
                  <a:pt x="62119" y="114844"/>
                </a:cubicBezTo>
                <a:cubicBezTo>
                  <a:pt x="62091" y="114869"/>
                  <a:pt x="62065" y="114859"/>
                  <a:pt x="62059" y="114822"/>
                </a:cubicBezTo>
                <a:cubicBezTo>
                  <a:pt x="61871" y="113436"/>
                  <a:pt x="61493" y="112081"/>
                  <a:pt x="60936" y="110796"/>
                </a:cubicBezTo>
                <a:cubicBezTo>
                  <a:pt x="57658" y="103357"/>
                  <a:pt x="49940" y="98846"/>
                  <a:pt x="41795" y="99609"/>
                </a:cubicBezTo>
                <a:cubicBezTo>
                  <a:pt x="34407" y="100294"/>
                  <a:pt x="27124" y="101824"/>
                  <a:pt x="20090" y="104168"/>
                </a:cubicBezTo>
                <a:cubicBezTo>
                  <a:pt x="18410" y="104733"/>
                  <a:pt x="17510" y="106542"/>
                  <a:pt x="18079" y="108210"/>
                </a:cubicBezTo>
                <a:cubicBezTo>
                  <a:pt x="18428" y="109235"/>
                  <a:pt x="19279" y="110014"/>
                  <a:pt x="20337" y="110278"/>
                </a:cubicBezTo>
                <a:cubicBezTo>
                  <a:pt x="20409" y="110296"/>
                  <a:pt x="24491" y="111325"/>
                  <a:pt x="29364" y="112970"/>
                </a:cubicBezTo>
                <a:cubicBezTo>
                  <a:pt x="29416" y="112987"/>
                  <a:pt x="29421" y="113019"/>
                  <a:pt x="29370" y="113040"/>
                </a:cubicBezTo>
                <a:cubicBezTo>
                  <a:pt x="25448" y="114750"/>
                  <a:pt x="22085" y="117511"/>
                  <a:pt x="19656" y="121014"/>
                </a:cubicBezTo>
                <a:cubicBezTo>
                  <a:pt x="15008" y="127977"/>
                  <a:pt x="11157" y="135434"/>
                  <a:pt x="8176" y="143246"/>
                </a:cubicBezTo>
                <a:cubicBezTo>
                  <a:pt x="7552" y="144894"/>
                  <a:pt x="8392" y="146732"/>
                  <a:pt x="10053" y="147351"/>
                </a:cubicBezTo>
                <a:cubicBezTo>
                  <a:pt x="11092" y="147739"/>
                  <a:pt x="12260" y="147565"/>
                  <a:pt x="13140" y="146893"/>
                </a:cubicBezTo>
                <a:cubicBezTo>
                  <a:pt x="13223" y="146832"/>
                  <a:pt x="19035" y="142415"/>
                  <a:pt x="25582" y="138513"/>
                </a:cubicBezTo>
                <a:cubicBezTo>
                  <a:pt x="25625" y="138488"/>
                  <a:pt x="25650" y="138506"/>
                  <a:pt x="25638" y="138554"/>
                </a:cubicBezTo>
                <a:cubicBezTo>
                  <a:pt x="25325" y="139818"/>
                  <a:pt x="25121" y="141107"/>
                  <a:pt x="25030" y="142406"/>
                </a:cubicBezTo>
                <a:cubicBezTo>
                  <a:pt x="24807" y="149379"/>
                  <a:pt x="25356" y="156354"/>
                  <a:pt x="26667" y="163208"/>
                </a:cubicBezTo>
                <a:cubicBezTo>
                  <a:pt x="26940" y="164611"/>
                  <a:pt x="28120" y="165663"/>
                  <a:pt x="29554" y="165781"/>
                </a:cubicBezTo>
                <a:cubicBezTo>
                  <a:pt x="30995" y="165920"/>
                  <a:pt x="32345" y="165069"/>
                  <a:pt x="32831" y="163716"/>
                </a:cubicBezTo>
                <a:cubicBezTo>
                  <a:pt x="35170" y="157483"/>
                  <a:pt x="38141" y="151502"/>
                  <a:pt x="41699" y="145866"/>
                </a:cubicBezTo>
                <a:cubicBezTo>
                  <a:pt x="43047" y="143902"/>
                  <a:pt x="44548" y="142045"/>
                  <a:pt x="46186" y="140312"/>
                </a:cubicBezTo>
                <a:cubicBezTo>
                  <a:pt x="46817" y="139699"/>
                  <a:pt x="47528" y="139173"/>
                  <a:pt x="48300" y="138747"/>
                </a:cubicBezTo>
                <a:cubicBezTo>
                  <a:pt x="47323" y="162099"/>
                  <a:pt x="47962" y="185489"/>
                  <a:pt x="50213" y="208753"/>
                </a:cubicBezTo>
                <a:cubicBezTo>
                  <a:pt x="47190" y="209180"/>
                  <a:pt x="44024" y="209694"/>
                  <a:pt x="40545" y="210426"/>
                </a:cubicBezTo>
                <a:cubicBezTo>
                  <a:pt x="20246" y="214696"/>
                  <a:pt x="9693" y="222741"/>
                  <a:pt x="4021" y="230363"/>
                </a:cubicBezTo>
                <a:cubicBezTo>
                  <a:pt x="2084" y="232901"/>
                  <a:pt x="713" y="235820"/>
                  <a:pt x="0" y="238925"/>
                </a:cubicBezTo>
                <a:lnTo>
                  <a:pt x="8002" y="238925"/>
                </a:lnTo>
                <a:cubicBezTo>
                  <a:pt x="8519" y="237540"/>
                  <a:pt x="9184" y="236213"/>
                  <a:pt x="9985" y="234969"/>
                </a:cubicBezTo>
                <a:cubicBezTo>
                  <a:pt x="13467" y="229775"/>
                  <a:pt x="22693" y="221847"/>
                  <a:pt x="42112" y="217762"/>
                </a:cubicBezTo>
                <a:cubicBezTo>
                  <a:pt x="49895" y="216046"/>
                  <a:pt x="57836" y="215134"/>
                  <a:pt x="65809" y="215041"/>
                </a:cubicBezTo>
                <a:cubicBezTo>
                  <a:pt x="69200" y="215011"/>
                  <a:pt x="72589" y="215264"/>
                  <a:pt x="75938" y="215799"/>
                </a:cubicBezTo>
                <a:cubicBezTo>
                  <a:pt x="76899" y="215962"/>
                  <a:pt x="78253" y="216224"/>
                  <a:pt x="79471" y="216517"/>
                </a:cubicBezTo>
                <a:cubicBezTo>
                  <a:pt x="80485" y="216762"/>
                  <a:pt x="81406" y="217040"/>
                  <a:pt x="81913" y="217196"/>
                </a:cubicBezTo>
                <a:cubicBezTo>
                  <a:pt x="87887" y="219265"/>
                  <a:pt x="93270" y="222733"/>
                  <a:pt x="97605" y="227307"/>
                </a:cubicBezTo>
                <a:cubicBezTo>
                  <a:pt x="98933" y="228905"/>
                  <a:pt x="101314" y="229133"/>
                  <a:pt x="102924" y="227815"/>
                </a:cubicBezTo>
                <a:cubicBezTo>
                  <a:pt x="104534" y="226498"/>
                  <a:pt x="104764" y="224135"/>
                  <a:pt x="103436" y="222537"/>
                </a:cubicBezTo>
                <a:cubicBezTo>
                  <a:pt x="103398" y="222490"/>
                  <a:pt x="103358" y="222444"/>
                  <a:pt x="103317" y="222400"/>
                </a:cubicBezTo>
                <a:cubicBezTo>
                  <a:pt x="99951" y="218749"/>
                  <a:pt x="95991" y="215686"/>
                  <a:pt x="91602" y="213338"/>
                </a:cubicBezTo>
                <a:cubicBezTo>
                  <a:pt x="99266" y="210487"/>
                  <a:pt x="107112" y="208145"/>
                  <a:pt x="115088" y="206325"/>
                </a:cubicBezTo>
                <a:cubicBezTo>
                  <a:pt x="126450" y="203949"/>
                  <a:pt x="138016" y="202659"/>
                  <a:pt x="149626" y="202475"/>
                </a:cubicBezTo>
                <a:cubicBezTo>
                  <a:pt x="152160" y="202475"/>
                  <a:pt x="154396" y="202572"/>
                  <a:pt x="156273" y="202762"/>
                </a:cubicBezTo>
                <a:cubicBezTo>
                  <a:pt x="169824" y="203866"/>
                  <a:pt x="183011" y="207679"/>
                  <a:pt x="195039" y="213971"/>
                </a:cubicBezTo>
                <a:cubicBezTo>
                  <a:pt x="204144" y="218749"/>
                  <a:pt x="212412" y="224956"/>
                  <a:pt x="219525" y="232350"/>
                </a:cubicBezTo>
                <a:cubicBezTo>
                  <a:pt x="221040" y="233962"/>
                  <a:pt x="223123" y="236368"/>
                  <a:pt x="225280" y="238924"/>
                </a:cubicBezTo>
                <a:lnTo>
                  <a:pt x="235088" y="238924"/>
                </a:lnTo>
                <a:cubicBezTo>
                  <a:pt x="231677" y="234791"/>
                  <a:pt x="227630" y="229980"/>
                  <a:pt x="225054" y="227237"/>
                </a:cubicBezTo>
                <a:close/>
                <a:moveTo>
                  <a:pt x="41612" y="135834"/>
                </a:moveTo>
                <a:lnTo>
                  <a:pt x="41612" y="135836"/>
                </a:lnTo>
                <a:cubicBezTo>
                  <a:pt x="39727" y="137816"/>
                  <a:pt x="38001" y="139941"/>
                  <a:pt x="36452" y="142190"/>
                </a:cubicBezTo>
                <a:cubicBezTo>
                  <a:pt x="34619" y="144862"/>
                  <a:pt x="32991" y="147667"/>
                  <a:pt x="31582" y="150582"/>
                </a:cubicBezTo>
                <a:cubicBezTo>
                  <a:pt x="31548" y="150649"/>
                  <a:pt x="31517" y="150643"/>
                  <a:pt x="31511" y="150568"/>
                </a:cubicBezTo>
                <a:cubicBezTo>
                  <a:pt x="31308" y="148005"/>
                  <a:pt x="31284" y="145430"/>
                  <a:pt x="31438" y="142864"/>
                </a:cubicBezTo>
                <a:cubicBezTo>
                  <a:pt x="31463" y="138907"/>
                  <a:pt x="33460" y="135219"/>
                  <a:pt x="36772" y="133015"/>
                </a:cubicBezTo>
                <a:cubicBezTo>
                  <a:pt x="38266" y="132067"/>
                  <a:pt x="38703" y="130096"/>
                  <a:pt x="37748" y="128612"/>
                </a:cubicBezTo>
                <a:cubicBezTo>
                  <a:pt x="36927" y="127338"/>
                  <a:pt x="35317" y="126811"/>
                  <a:pt x="33894" y="127352"/>
                </a:cubicBezTo>
                <a:cubicBezTo>
                  <a:pt x="33093" y="127658"/>
                  <a:pt x="32287" y="127975"/>
                  <a:pt x="31468" y="128312"/>
                </a:cubicBezTo>
                <a:cubicBezTo>
                  <a:pt x="27064" y="130243"/>
                  <a:pt x="22833" y="132541"/>
                  <a:pt x="18820" y="135180"/>
                </a:cubicBezTo>
                <a:cubicBezTo>
                  <a:pt x="18757" y="135220"/>
                  <a:pt x="18733" y="135199"/>
                  <a:pt x="18766" y="135133"/>
                </a:cubicBezTo>
                <a:cubicBezTo>
                  <a:pt x="20511" y="131515"/>
                  <a:pt x="22549" y="128043"/>
                  <a:pt x="24860" y="124751"/>
                </a:cubicBezTo>
                <a:cubicBezTo>
                  <a:pt x="28204" y="119336"/>
                  <a:pt x="34711" y="116712"/>
                  <a:pt x="40913" y="118276"/>
                </a:cubicBezTo>
                <a:cubicBezTo>
                  <a:pt x="41710" y="118496"/>
                  <a:pt x="42477" y="118816"/>
                  <a:pt x="43193" y="119229"/>
                </a:cubicBezTo>
                <a:cubicBezTo>
                  <a:pt x="44745" y="120081"/>
                  <a:pt x="46699" y="119524"/>
                  <a:pt x="47558" y="117984"/>
                </a:cubicBezTo>
                <a:cubicBezTo>
                  <a:pt x="48388" y="116495"/>
                  <a:pt x="47895" y="114622"/>
                  <a:pt x="46436" y="113728"/>
                </a:cubicBezTo>
                <a:cubicBezTo>
                  <a:pt x="45514" y="113170"/>
                  <a:pt x="44564" y="112609"/>
                  <a:pt x="43577" y="112058"/>
                </a:cubicBezTo>
                <a:cubicBezTo>
                  <a:pt x="40118" y="110214"/>
                  <a:pt x="36511" y="108655"/>
                  <a:pt x="32794" y="107399"/>
                </a:cubicBezTo>
                <a:cubicBezTo>
                  <a:pt x="32726" y="107375"/>
                  <a:pt x="32728" y="107344"/>
                  <a:pt x="32799" y="107328"/>
                </a:cubicBezTo>
                <a:cubicBezTo>
                  <a:pt x="35866" y="106634"/>
                  <a:pt x="38983" y="106182"/>
                  <a:pt x="42121" y="105975"/>
                </a:cubicBezTo>
                <a:cubicBezTo>
                  <a:pt x="47602" y="105326"/>
                  <a:pt x="52862" y="108328"/>
                  <a:pt x="55054" y="113356"/>
                </a:cubicBezTo>
                <a:cubicBezTo>
                  <a:pt x="56133" y="116895"/>
                  <a:pt x="56051" y="120682"/>
                  <a:pt x="54822" y="124173"/>
                </a:cubicBezTo>
                <a:cubicBezTo>
                  <a:pt x="54314" y="125859"/>
                  <a:pt x="55280" y="127635"/>
                  <a:pt x="56980" y="128139"/>
                </a:cubicBezTo>
                <a:cubicBezTo>
                  <a:pt x="58400" y="128560"/>
                  <a:pt x="59927" y="127961"/>
                  <a:pt x="60673" y="126690"/>
                </a:cubicBezTo>
                <a:cubicBezTo>
                  <a:pt x="62875" y="122649"/>
                  <a:pt x="66204" y="119324"/>
                  <a:pt x="70262" y="117114"/>
                </a:cubicBezTo>
                <a:cubicBezTo>
                  <a:pt x="76291" y="114478"/>
                  <a:pt x="83348" y="116085"/>
                  <a:pt x="87617" y="121065"/>
                </a:cubicBezTo>
                <a:cubicBezTo>
                  <a:pt x="90424" y="124275"/>
                  <a:pt x="92923" y="127738"/>
                  <a:pt x="95080" y="131409"/>
                </a:cubicBezTo>
                <a:cubicBezTo>
                  <a:pt x="95115" y="131466"/>
                  <a:pt x="95094" y="131489"/>
                  <a:pt x="95033" y="131461"/>
                </a:cubicBezTo>
                <a:cubicBezTo>
                  <a:pt x="90285" y="129184"/>
                  <a:pt x="85335" y="127347"/>
                  <a:pt x="80246" y="125975"/>
                </a:cubicBezTo>
                <a:cubicBezTo>
                  <a:pt x="77843" y="125391"/>
                  <a:pt x="75280" y="124865"/>
                  <a:pt x="72633" y="124415"/>
                </a:cubicBezTo>
                <a:cubicBezTo>
                  <a:pt x="70977" y="124136"/>
                  <a:pt x="69393" y="125198"/>
                  <a:pt x="69035" y="126826"/>
                </a:cubicBezTo>
                <a:cubicBezTo>
                  <a:pt x="68666" y="128477"/>
                  <a:pt x="69635" y="130132"/>
                  <a:pt x="71262" y="130633"/>
                </a:cubicBezTo>
                <a:cubicBezTo>
                  <a:pt x="76695" y="132344"/>
                  <a:pt x="80368" y="137372"/>
                  <a:pt x="80317" y="143029"/>
                </a:cubicBezTo>
                <a:cubicBezTo>
                  <a:pt x="80467" y="146325"/>
                  <a:pt x="80357" y="149627"/>
                  <a:pt x="79987" y="152906"/>
                </a:cubicBezTo>
                <a:cubicBezTo>
                  <a:pt x="79979" y="152978"/>
                  <a:pt x="79949" y="152983"/>
                  <a:pt x="79917" y="152918"/>
                </a:cubicBezTo>
                <a:cubicBezTo>
                  <a:pt x="78185" y="149215"/>
                  <a:pt x="76149" y="145661"/>
                  <a:pt x="73830" y="142290"/>
                </a:cubicBezTo>
                <a:cubicBezTo>
                  <a:pt x="72422" y="140245"/>
                  <a:pt x="70893" y="138286"/>
                  <a:pt x="69251" y="136423"/>
                </a:cubicBezTo>
                <a:cubicBezTo>
                  <a:pt x="65724" y="132872"/>
                  <a:pt x="61069" y="130639"/>
                  <a:pt x="56074" y="130103"/>
                </a:cubicBezTo>
                <a:cubicBezTo>
                  <a:pt x="55902" y="130103"/>
                  <a:pt x="55734" y="130109"/>
                  <a:pt x="55567" y="130120"/>
                </a:cubicBezTo>
                <a:cubicBezTo>
                  <a:pt x="50413" y="130469"/>
                  <a:pt x="45515" y="132475"/>
                  <a:pt x="41612" y="135834"/>
                </a:cubicBezTo>
                <a:close/>
                <a:moveTo>
                  <a:pt x="54277" y="147471"/>
                </a:moveTo>
                <a:cubicBezTo>
                  <a:pt x="54487" y="147471"/>
                  <a:pt x="54424" y="158625"/>
                  <a:pt x="55341" y="170083"/>
                </a:cubicBezTo>
                <a:cubicBezTo>
                  <a:pt x="56553" y="182755"/>
                  <a:pt x="58759" y="195315"/>
                  <a:pt x="61941" y="207646"/>
                </a:cubicBezTo>
                <a:cubicBezTo>
                  <a:pt x="60273" y="207712"/>
                  <a:pt x="58483" y="207837"/>
                  <a:pt x="56594" y="208005"/>
                </a:cubicBezTo>
                <a:cubicBezTo>
                  <a:pt x="55780" y="198818"/>
                  <a:pt x="54167" y="178142"/>
                  <a:pt x="54123" y="158375"/>
                </a:cubicBezTo>
                <a:cubicBezTo>
                  <a:pt x="54115" y="154681"/>
                  <a:pt x="54048" y="147471"/>
                  <a:pt x="54277" y="147471"/>
                </a:cubicBezTo>
                <a:close/>
                <a:moveTo>
                  <a:pt x="123393" y="70376"/>
                </a:moveTo>
                <a:cubicBezTo>
                  <a:pt x="120901" y="74004"/>
                  <a:pt x="118629" y="77777"/>
                  <a:pt x="116592" y="81675"/>
                </a:cubicBezTo>
                <a:cubicBezTo>
                  <a:pt x="112282" y="90108"/>
                  <a:pt x="108780" y="98923"/>
                  <a:pt x="106134" y="108007"/>
                </a:cubicBezTo>
                <a:cubicBezTo>
                  <a:pt x="106113" y="108076"/>
                  <a:pt x="106082" y="108075"/>
                  <a:pt x="106063" y="108007"/>
                </a:cubicBezTo>
                <a:cubicBezTo>
                  <a:pt x="103817" y="99969"/>
                  <a:pt x="102334" y="91741"/>
                  <a:pt x="101632" y="83430"/>
                </a:cubicBezTo>
                <a:cubicBezTo>
                  <a:pt x="100248" y="72659"/>
                  <a:pt x="106068" y="62243"/>
                  <a:pt x="116007" y="57705"/>
                </a:cubicBezTo>
                <a:cubicBezTo>
                  <a:pt x="116099" y="57672"/>
                  <a:pt x="116310" y="57589"/>
                  <a:pt x="116396" y="57551"/>
                </a:cubicBezTo>
                <a:cubicBezTo>
                  <a:pt x="118301" y="56704"/>
                  <a:pt x="119153" y="54486"/>
                  <a:pt x="118300" y="52596"/>
                </a:cubicBezTo>
                <a:cubicBezTo>
                  <a:pt x="117525" y="50878"/>
                  <a:pt x="115586" y="49996"/>
                  <a:pt x="113769" y="50536"/>
                </a:cubicBezTo>
                <a:cubicBezTo>
                  <a:pt x="109224" y="51878"/>
                  <a:pt x="104836" y="53337"/>
                  <a:pt x="100730" y="54874"/>
                </a:cubicBezTo>
                <a:cubicBezTo>
                  <a:pt x="90162" y="59227"/>
                  <a:pt x="80066" y="64633"/>
                  <a:pt x="70598" y="71009"/>
                </a:cubicBezTo>
                <a:cubicBezTo>
                  <a:pt x="70541" y="71046"/>
                  <a:pt x="70518" y="71027"/>
                  <a:pt x="70544" y="70965"/>
                </a:cubicBezTo>
                <a:cubicBezTo>
                  <a:pt x="74189" y="61779"/>
                  <a:pt x="78803" y="53001"/>
                  <a:pt x="84308" y="44777"/>
                </a:cubicBezTo>
                <a:cubicBezTo>
                  <a:pt x="91269" y="34350"/>
                  <a:pt x="104304" y="29698"/>
                  <a:pt x="116361" y="33340"/>
                </a:cubicBezTo>
                <a:cubicBezTo>
                  <a:pt x="125964" y="35965"/>
                  <a:pt x="134189" y="45990"/>
                  <a:pt x="136480" y="49001"/>
                </a:cubicBezTo>
                <a:cubicBezTo>
                  <a:pt x="137736" y="50655"/>
                  <a:pt x="140105" y="50985"/>
                  <a:pt x="141771" y="49738"/>
                </a:cubicBezTo>
                <a:cubicBezTo>
                  <a:pt x="143169" y="48692"/>
                  <a:pt x="143660" y="46830"/>
                  <a:pt x="142957" y="45238"/>
                </a:cubicBezTo>
                <a:cubicBezTo>
                  <a:pt x="141701" y="42385"/>
                  <a:pt x="137784" y="32477"/>
                  <a:pt x="140133" y="24765"/>
                </a:cubicBezTo>
                <a:cubicBezTo>
                  <a:pt x="143179" y="14609"/>
                  <a:pt x="152551" y="7619"/>
                  <a:pt x="163228" y="7540"/>
                </a:cubicBezTo>
                <a:cubicBezTo>
                  <a:pt x="171274" y="7190"/>
                  <a:pt x="179335" y="7597"/>
                  <a:pt x="187303" y="8755"/>
                </a:cubicBezTo>
                <a:cubicBezTo>
                  <a:pt x="187375" y="8765"/>
                  <a:pt x="187379" y="8793"/>
                  <a:pt x="187314" y="8824"/>
                </a:cubicBezTo>
                <a:cubicBezTo>
                  <a:pt x="178888" y="12505"/>
                  <a:pt x="170831" y="16967"/>
                  <a:pt x="163250" y="22150"/>
                </a:cubicBezTo>
                <a:cubicBezTo>
                  <a:pt x="161638" y="23323"/>
                  <a:pt x="160090" y="24506"/>
                  <a:pt x="158590" y="25684"/>
                </a:cubicBezTo>
                <a:cubicBezTo>
                  <a:pt x="156954" y="26969"/>
                  <a:pt x="156678" y="29328"/>
                  <a:pt x="157973" y="30952"/>
                </a:cubicBezTo>
                <a:cubicBezTo>
                  <a:pt x="159233" y="32531"/>
                  <a:pt x="161526" y="32840"/>
                  <a:pt x="163165" y="31651"/>
                </a:cubicBezTo>
                <a:cubicBezTo>
                  <a:pt x="164478" y="30669"/>
                  <a:pt x="165913" y="29857"/>
                  <a:pt x="167435" y="29238"/>
                </a:cubicBezTo>
                <a:cubicBezTo>
                  <a:pt x="172724" y="27158"/>
                  <a:pt x="186440" y="23834"/>
                  <a:pt x="199466" y="37805"/>
                </a:cubicBezTo>
                <a:cubicBezTo>
                  <a:pt x="205876" y="45059"/>
                  <a:pt x="211587" y="52893"/>
                  <a:pt x="216522" y="61205"/>
                </a:cubicBezTo>
                <a:cubicBezTo>
                  <a:pt x="216560" y="61268"/>
                  <a:pt x="216540" y="61290"/>
                  <a:pt x="216474" y="61256"/>
                </a:cubicBezTo>
                <a:cubicBezTo>
                  <a:pt x="206916" y="56149"/>
                  <a:pt x="196894" y="51951"/>
                  <a:pt x="186540" y="48717"/>
                </a:cubicBezTo>
                <a:cubicBezTo>
                  <a:pt x="185037" y="48299"/>
                  <a:pt x="183555" y="47911"/>
                  <a:pt x="182085" y="47539"/>
                </a:cubicBezTo>
                <a:cubicBezTo>
                  <a:pt x="180064" y="47022"/>
                  <a:pt x="178004" y="48229"/>
                  <a:pt x="177483" y="50235"/>
                </a:cubicBezTo>
                <a:cubicBezTo>
                  <a:pt x="177031" y="51974"/>
                  <a:pt x="177886" y="53787"/>
                  <a:pt x="179520" y="54558"/>
                </a:cubicBezTo>
                <a:cubicBezTo>
                  <a:pt x="186438" y="58020"/>
                  <a:pt x="191179" y="64658"/>
                  <a:pt x="192180" y="72282"/>
                </a:cubicBezTo>
                <a:cubicBezTo>
                  <a:pt x="193390" y="79297"/>
                  <a:pt x="193982" y="86404"/>
                  <a:pt x="193950" y="93521"/>
                </a:cubicBezTo>
                <a:cubicBezTo>
                  <a:pt x="193950" y="93596"/>
                  <a:pt x="193921" y="93605"/>
                  <a:pt x="193882" y="93540"/>
                </a:cubicBezTo>
                <a:cubicBezTo>
                  <a:pt x="189779" y="86563"/>
                  <a:pt x="185054" y="79964"/>
                  <a:pt x="179764" y="73824"/>
                </a:cubicBezTo>
                <a:cubicBezTo>
                  <a:pt x="176601" y="70242"/>
                  <a:pt x="173160" y="66913"/>
                  <a:pt x="169472" y="63867"/>
                </a:cubicBezTo>
                <a:cubicBezTo>
                  <a:pt x="162312" y="58600"/>
                  <a:pt x="153669" y="55693"/>
                  <a:pt x="144759" y="55555"/>
                </a:cubicBezTo>
                <a:cubicBezTo>
                  <a:pt x="137927" y="55902"/>
                  <a:pt x="127542" y="64564"/>
                  <a:pt x="123393" y="70376"/>
                </a:cubicBezTo>
                <a:close/>
                <a:moveTo>
                  <a:pt x="149626" y="194975"/>
                </a:moveTo>
                <a:cubicBezTo>
                  <a:pt x="149259" y="194975"/>
                  <a:pt x="148858" y="194991"/>
                  <a:pt x="148482" y="194995"/>
                </a:cubicBezTo>
                <a:cubicBezTo>
                  <a:pt x="154741" y="152383"/>
                  <a:pt x="154500" y="114162"/>
                  <a:pt x="147644" y="81412"/>
                </a:cubicBezTo>
                <a:cubicBezTo>
                  <a:pt x="146367" y="75451"/>
                  <a:pt x="144676" y="69585"/>
                  <a:pt x="142581" y="63856"/>
                </a:cubicBezTo>
                <a:cubicBezTo>
                  <a:pt x="143427" y="63402"/>
                  <a:pt x="144359" y="63125"/>
                  <a:pt x="145317" y="63042"/>
                </a:cubicBezTo>
                <a:lnTo>
                  <a:pt x="145669" y="63892"/>
                </a:lnTo>
                <a:cubicBezTo>
                  <a:pt x="148075" y="70063"/>
                  <a:pt x="150052" y="76390"/>
                  <a:pt x="151585" y="82830"/>
                </a:cubicBezTo>
                <a:cubicBezTo>
                  <a:pt x="159869" y="121413"/>
                  <a:pt x="161653" y="177993"/>
                  <a:pt x="162019" y="195890"/>
                </a:cubicBezTo>
                <a:cubicBezTo>
                  <a:pt x="160327" y="195662"/>
                  <a:pt x="158665" y="195465"/>
                  <a:pt x="157045" y="195300"/>
                </a:cubicBezTo>
                <a:cubicBezTo>
                  <a:pt x="154579" y="195069"/>
                  <a:pt x="152103" y="194960"/>
                  <a:pt x="149626" y="19497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8</xdr:col>
      <xdr:colOff>206460</xdr:colOff>
      <xdr:row>10</xdr:row>
      <xdr:rowOff>132846</xdr:rowOff>
    </xdr:from>
    <xdr:to>
      <xdr:col>8</xdr:col>
      <xdr:colOff>372707</xdr:colOff>
      <xdr:row>10</xdr:row>
      <xdr:rowOff>432846</xdr:rowOff>
    </xdr:to>
    <xdr:grpSp>
      <xdr:nvGrpSpPr>
        <xdr:cNvPr id="447" name="luggage" descr="Luggage outline">
          <a:extLst>
            <a:ext uri="{FF2B5EF4-FFF2-40B4-BE49-F238E27FC236}">
              <a16:creationId xmlns:a16="http://schemas.microsoft.com/office/drawing/2014/main" id="{7C548CDE-81E2-4111-B496-758E21BE495E}"/>
            </a:ext>
          </a:extLst>
        </xdr:cNvPr>
        <xdr:cNvGrpSpPr>
          <a:grpSpLocks noChangeAspect="1"/>
        </xdr:cNvGrpSpPr>
      </xdr:nvGrpSpPr>
      <xdr:grpSpPr>
        <a:xfrm>
          <a:off x="7321635" y="4285746"/>
          <a:ext cx="166247" cy="300000"/>
          <a:chOff x="13748977" y="9658264"/>
          <a:chExt cx="166247" cy="300000"/>
        </a:xfrm>
        <a:solidFill>
          <a:srgbClr val="1F4E78"/>
        </a:solidFill>
      </xdr:grpSpPr>
      <xdr:sp macro="" textlink="">
        <xdr:nvSpPr>
          <xdr:cNvPr id="448" name="Freeform: Shape 447">
            <a:extLst>
              <a:ext uri="{FF2B5EF4-FFF2-40B4-BE49-F238E27FC236}">
                <a16:creationId xmlns:a16="http://schemas.microsoft.com/office/drawing/2014/main" id="{5103CCC5-7A54-4BD6-8DF2-43D066786F57}"/>
              </a:ext>
            </a:extLst>
          </xdr:cNvPr>
          <xdr:cNvSpPr/>
        </xdr:nvSpPr>
        <xdr:spPr>
          <a:xfrm>
            <a:off x="13789458" y="9770769"/>
            <a:ext cx="44627" cy="45971"/>
          </a:xfrm>
          <a:custGeom>
            <a:avLst/>
            <a:gdLst>
              <a:gd name="connsiteX0" fmla="*/ 43650 w 44627"/>
              <a:gd name="connsiteY0" fmla="*/ 35553 h 45971"/>
              <a:gd name="connsiteX1" fmla="*/ 43235 w 44627"/>
              <a:gd name="connsiteY1" fmla="*/ 28302 h 45971"/>
              <a:gd name="connsiteX2" fmla="*/ 38072 w 44627"/>
              <a:gd name="connsiteY2" fmla="*/ 21702 h 45971"/>
              <a:gd name="connsiteX3" fmla="*/ 41871 w 44627"/>
              <a:gd name="connsiteY3" fmla="*/ 14400 h 45971"/>
              <a:gd name="connsiteX4" fmla="*/ 39173 w 44627"/>
              <a:gd name="connsiteY4" fmla="*/ 5867 h 45971"/>
              <a:gd name="connsiteX5" fmla="*/ 33944 w 44627"/>
              <a:gd name="connsiteY5" fmla="*/ 5567 h 45971"/>
              <a:gd name="connsiteX6" fmla="*/ 26855 w 44627"/>
              <a:gd name="connsiteY6" fmla="*/ 8325 h 45971"/>
              <a:gd name="connsiteX7" fmla="*/ 21873 w 44627"/>
              <a:gd name="connsiteY7" fmla="*/ 2338 h 45971"/>
              <a:gd name="connsiteX8" fmla="*/ 16521 w 44627"/>
              <a:gd name="connsiteY8" fmla="*/ 13 h 45971"/>
              <a:gd name="connsiteX9" fmla="*/ 10661 w 44627"/>
              <a:gd name="connsiteY9" fmla="*/ 6638 h 45971"/>
              <a:gd name="connsiteX10" fmla="*/ 11101 w 44627"/>
              <a:gd name="connsiteY10" fmla="*/ 14456 h 45971"/>
              <a:gd name="connsiteX11" fmla="*/ 3960 w 44627"/>
              <a:gd name="connsiteY11" fmla="*/ 17221 h 45971"/>
              <a:gd name="connsiteX12" fmla="*/ 477 w 44627"/>
              <a:gd name="connsiteY12" fmla="*/ 25472 h 45971"/>
              <a:gd name="connsiteX13" fmla="*/ 619 w 44627"/>
              <a:gd name="connsiteY13" fmla="*/ 25791 h 45971"/>
              <a:gd name="connsiteX14" fmla="*/ 4196 w 44627"/>
              <a:gd name="connsiteY14" fmla="*/ 29013 h 45971"/>
              <a:gd name="connsiteX15" fmla="*/ 12000 w 44627"/>
              <a:gd name="connsiteY15" fmla="*/ 31859 h 45971"/>
              <a:gd name="connsiteX16" fmla="*/ 12712 w 44627"/>
              <a:gd name="connsiteY16" fmla="*/ 40058 h 45971"/>
              <a:gd name="connsiteX17" fmla="*/ 15518 w 44627"/>
              <a:gd name="connsiteY17" fmla="*/ 44918 h 45971"/>
              <a:gd name="connsiteX18" fmla="*/ 24286 w 44627"/>
              <a:gd name="connsiteY18" fmla="*/ 43174 h 45971"/>
              <a:gd name="connsiteX19" fmla="*/ 24293 w 44627"/>
              <a:gd name="connsiteY19" fmla="*/ 43164 h 45971"/>
              <a:gd name="connsiteX20" fmla="*/ 28814 w 44627"/>
              <a:gd name="connsiteY20" fmla="*/ 36369 h 45971"/>
              <a:gd name="connsiteX21" fmla="*/ 36817 w 44627"/>
              <a:gd name="connsiteY21" fmla="*/ 38332 h 45971"/>
              <a:gd name="connsiteX22" fmla="*/ 43650 w 44627"/>
              <a:gd name="connsiteY22" fmla="*/ 35553 h 45971"/>
              <a:gd name="connsiteX23" fmla="*/ 29743 w 44627"/>
              <a:gd name="connsiteY23" fmla="*/ 28869 h 45971"/>
              <a:gd name="connsiteX24" fmla="*/ 23006 w 44627"/>
              <a:gd name="connsiteY24" fmla="*/ 31488 h 45971"/>
              <a:gd name="connsiteX25" fmla="*/ 19971 w 44627"/>
              <a:gd name="connsiteY25" fmla="*/ 36046 h 45971"/>
              <a:gd name="connsiteX26" fmla="*/ 19948 w 44627"/>
              <a:gd name="connsiteY26" fmla="*/ 36040 h 45971"/>
              <a:gd name="connsiteX27" fmla="*/ 19462 w 44627"/>
              <a:gd name="connsiteY27" fmla="*/ 30444 h 45971"/>
              <a:gd name="connsiteX28" fmla="*/ 18148 w 44627"/>
              <a:gd name="connsiteY28" fmla="*/ 27134 h 45971"/>
              <a:gd name="connsiteX29" fmla="*/ 15302 w 44627"/>
              <a:gd name="connsiteY29" fmla="*/ 25071 h 45971"/>
              <a:gd name="connsiteX30" fmla="*/ 9757 w 44627"/>
              <a:gd name="connsiteY30" fmla="*/ 23050 h 45971"/>
              <a:gd name="connsiteX31" fmla="*/ 9757 w 44627"/>
              <a:gd name="connsiteY31" fmla="*/ 23027 h 45971"/>
              <a:gd name="connsiteX32" fmla="*/ 14735 w 44627"/>
              <a:gd name="connsiteY32" fmla="*/ 21098 h 45971"/>
              <a:gd name="connsiteX33" fmla="*/ 18694 w 44627"/>
              <a:gd name="connsiteY33" fmla="*/ 14905 h 45971"/>
              <a:gd name="connsiteX34" fmla="*/ 18418 w 44627"/>
              <a:gd name="connsiteY34" fmla="*/ 9999 h 45971"/>
              <a:gd name="connsiteX35" fmla="*/ 18440 w 44627"/>
              <a:gd name="connsiteY35" fmla="*/ 9991 h 45971"/>
              <a:gd name="connsiteX36" fmla="*/ 21582 w 44627"/>
              <a:gd name="connsiteY36" fmla="*/ 13767 h 45971"/>
              <a:gd name="connsiteX37" fmla="*/ 28764 w 44627"/>
              <a:gd name="connsiteY37" fmla="*/ 15638 h 45971"/>
              <a:gd name="connsiteX38" fmla="*/ 33695 w 44627"/>
              <a:gd name="connsiteY38" fmla="*/ 13720 h 45971"/>
              <a:gd name="connsiteX39" fmla="*/ 33711 w 44627"/>
              <a:gd name="connsiteY39" fmla="*/ 13737 h 45971"/>
              <a:gd name="connsiteX40" fmla="*/ 30994 w 44627"/>
              <a:gd name="connsiteY40" fmla="*/ 18959 h 45971"/>
              <a:gd name="connsiteX41" fmla="*/ 31651 w 44627"/>
              <a:gd name="connsiteY41" fmla="*/ 25723 h 45971"/>
              <a:gd name="connsiteX42" fmla="*/ 35127 w 44627"/>
              <a:gd name="connsiteY42" fmla="*/ 30170 h 45971"/>
              <a:gd name="connsiteX43" fmla="*/ 35114 w 44627"/>
              <a:gd name="connsiteY43" fmla="*/ 30190 h 4597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</a:cxnLst>
            <a:rect l="l" t="t" r="r" b="b"/>
            <a:pathLst>
              <a:path w="44627" h="45971">
                <a:moveTo>
                  <a:pt x="43650" y="35553"/>
                </a:moveTo>
                <a:cubicBezTo>
                  <a:pt x="45093" y="33298"/>
                  <a:pt x="44925" y="30381"/>
                  <a:pt x="43235" y="28302"/>
                </a:cubicBezTo>
                <a:lnTo>
                  <a:pt x="38072" y="21702"/>
                </a:lnTo>
                <a:lnTo>
                  <a:pt x="41871" y="14400"/>
                </a:lnTo>
                <a:cubicBezTo>
                  <a:pt x="43500" y="11304"/>
                  <a:pt x="42292" y="7484"/>
                  <a:pt x="39173" y="5867"/>
                </a:cubicBezTo>
                <a:cubicBezTo>
                  <a:pt x="37554" y="5028"/>
                  <a:pt x="35650" y="4918"/>
                  <a:pt x="33944" y="5567"/>
                </a:cubicBezTo>
                <a:lnTo>
                  <a:pt x="26855" y="8325"/>
                </a:lnTo>
                <a:lnTo>
                  <a:pt x="21873" y="2338"/>
                </a:lnTo>
                <a:cubicBezTo>
                  <a:pt x="20574" y="748"/>
                  <a:pt x="18579" y="-118"/>
                  <a:pt x="16521" y="13"/>
                </a:cubicBezTo>
                <a:cubicBezTo>
                  <a:pt x="13068" y="252"/>
                  <a:pt x="10453" y="3208"/>
                  <a:pt x="10661" y="6638"/>
                </a:cubicBezTo>
                <a:lnTo>
                  <a:pt x="11101" y="14456"/>
                </a:lnTo>
                <a:lnTo>
                  <a:pt x="3960" y="17221"/>
                </a:lnTo>
                <a:cubicBezTo>
                  <a:pt x="703" y="18545"/>
                  <a:pt x="-857" y="22239"/>
                  <a:pt x="477" y="25472"/>
                </a:cubicBezTo>
                <a:cubicBezTo>
                  <a:pt x="521" y="25579"/>
                  <a:pt x="568" y="25686"/>
                  <a:pt x="619" y="25791"/>
                </a:cubicBezTo>
                <a:cubicBezTo>
                  <a:pt x="1330" y="27295"/>
                  <a:pt x="2618" y="28456"/>
                  <a:pt x="4196" y="29013"/>
                </a:cubicBezTo>
                <a:lnTo>
                  <a:pt x="12000" y="31859"/>
                </a:lnTo>
                <a:lnTo>
                  <a:pt x="12712" y="40058"/>
                </a:lnTo>
                <a:cubicBezTo>
                  <a:pt x="12832" y="42024"/>
                  <a:pt x="13870" y="43822"/>
                  <a:pt x="15518" y="44918"/>
                </a:cubicBezTo>
                <a:cubicBezTo>
                  <a:pt x="18424" y="46839"/>
                  <a:pt x="22350" y="46058"/>
                  <a:pt x="24286" y="43174"/>
                </a:cubicBezTo>
                <a:cubicBezTo>
                  <a:pt x="24288" y="43170"/>
                  <a:pt x="24290" y="43167"/>
                  <a:pt x="24293" y="43164"/>
                </a:cubicBezTo>
                <a:lnTo>
                  <a:pt x="28814" y="36369"/>
                </a:lnTo>
                <a:lnTo>
                  <a:pt x="36817" y="38332"/>
                </a:lnTo>
                <a:cubicBezTo>
                  <a:pt x="39460" y="38960"/>
                  <a:pt x="42211" y="37842"/>
                  <a:pt x="43650" y="35553"/>
                </a:cubicBezTo>
                <a:close/>
                <a:moveTo>
                  <a:pt x="29743" y="28869"/>
                </a:moveTo>
                <a:cubicBezTo>
                  <a:pt x="27167" y="28260"/>
                  <a:pt x="24480" y="29304"/>
                  <a:pt x="23006" y="31488"/>
                </a:cubicBezTo>
                <a:lnTo>
                  <a:pt x="19971" y="36046"/>
                </a:lnTo>
                <a:lnTo>
                  <a:pt x="19948" y="36040"/>
                </a:lnTo>
                <a:lnTo>
                  <a:pt x="19462" y="30444"/>
                </a:lnTo>
                <a:cubicBezTo>
                  <a:pt x="19343" y="29241"/>
                  <a:pt x="18888" y="28094"/>
                  <a:pt x="18148" y="27134"/>
                </a:cubicBezTo>
                <a:cubicBezTo>
                  <a:pt x="17413" y="26195"/>
                  <a:pt x="16426" y="25480"/>
                  <a:pt x="15302" y="25071"/>
                </a:cubicBezTo>
                <a:lnTo>
                  <a:pt x="9757" y="23050"/>
                </a:lnTo>
                <a:lnTo>
                  <a:pt x="9757" y="23027"/>
                </a:lnTo>
                <a:lnTo>
                  <a:pt x="14735" y="21098"/>
                </a:lnTo>
                <a:cubicBezTo>
                  <a:pt x="17265" y="20100"/>
                  <a:pt x="18862" y="17602"/>
                  <a:pt x="18694" y="14905"/>
                </a:cubicBezTo>
                <a:lnTo>
                  <a:pt x="18418" y="9999"/>
                </a:lnTo>
                <a:lnTo>
                  <a:pt x="18440" y="9991"/>
                </a:lnTo>
                <a:lnTo>
                  <a:pt x="21582" y="13767"/>
                </a:lnTo>
                <a:cubicBezTo>
                  <a:pt x="23317" y="15865"/>
                  <a:pt x="26214" y="16620"/>
                  <a:pt x="28764" y="15638"/>
                </a:cubicBezTo>
                <a:lnTo>
                  <a:pt x="33695" y="13720"/>
                </a:lnTo>
                <a:lnTo>
                  <a:pt x="33711" y="13737"/>
                </a:lnTo>
                <a:lnTo>
                  <a:pt x="30994" y="18959"/>
                </a:lnTo>
                <a:cubicBezTo>
                  <a:pt x="29883" y="21151"/>
                  <a:pt x="30139" y="23782"/>
                  <a:pt x="31651" y="25723"/>
                </a:cubicBezTo>
                <a:lnTo>
                  <a:pt x="35127" y="30170"/>
                </a:lnTo>
                <a:lnTo>
                  <a:pt x="35114" y="3019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49" name="Freeform: Shape 448">
            <a:extLst>
              <a:ext uri="{FF2B5EF4-FFF2-40B4-BE49-F238E27FC236}">
                <a16:creationId xmlns:a16="http://schemas.microsoft.com/office/drawing/2014/main" id="{606823BE-CE51-4491-B2AF-9CCAB48B2B3E}"/>
              </a:ext>
            </a:extLst>
          </xdr:cNvPr>
          <xdr:cNvSpPr/>
        </xdr:nvSpPr>
        <xdr:spPr>
          <a:xfrm>
            <a:off x="13831197" y="9846065"/>
            <a:ext cx="47295" cy="44696"/>
          </a:xfrm>
          <a:custGeom>
            <a:avLst/>
            <a:gdLst>
              <a:gd name="connsiteX0" fmla="*/ 42008 w 47295"/>
              <a:gd name="connsiteY0" fmla="*/ 5770 h 44696"/>
              <a:gd name="connsiteX1" fmla="*/ 33382 w 47295"/>
              <a:gd name="connsiteY1" fmla="*/ 153 h 44696"/>
              <a:gd name="connsiteX2" fmla="*/ 33381 w 47295"/>
              <a:gd name="connsiteY2" fmla="*/ 153 h 44696"/>
              <a:gd name="connsiteX3" fmla="*/ 5809 w 47295"/>
              <a:gd name="connsiteY3" fmla="*/ 5853 h 44696"/>
              <a:gd name="connsiteX4" fmla="*/ 151 w 47295"/>
              <a:gd name="connsiteY4" fmla="*/ 14411 h 44696"/>
              <a:gd name="connsiteX5" fmla="*/ 5288 w 47295"/>
              <a:gd name="connsiteY5" fmla="*/ 38929 h 44696"/>
              <a:gd name="connsiteX6" fmla="*/ 12435 w 47295"/>
              <a:gd name="connsiteY6" fmla="*/ 44697 h 44696"/>
              <a:gd name="connsiteX7" fmla="*/ 13910 w 47295"/>
              <a:gd name="connsiteY7" fmla="*/ 44550 h 44696"/>
              <a:gd name="connsiteX8" fmla="*/ 41492 w 47295"/>
              <a:gd name="connsiteY8" fmla="*/ 38859 h 44696"/>
              <a:gd name="connsiteX9" fmla="*/ 41498 w 47295"/>
              <a:gd name="connsiteY9" fmla="*/ 38856 h 44696"/>
              <a:gd name="connsiteX10" fmla="*/ 47141 w 47295"/>
              <a:gd name="connsiteY10" fmla="*/ 30290 h 44696"/>
              <a:gd name="connsiteX11" fmla="*/ 12686 w 47295"/>
              <a:gd name="connsiteY11" fmla="*/ 37404 h 44696"/>
              <a:gd name="connsiteX12" fmla="*/ 7350 w 47295"/>
              <a:gd name="connsiteY12" fmla="*/ 13193 h 44696"/>
              <a:gd name="connsiteX13" fmla="*/ 34610 w 47295"/>
              <a:gd name="connsiteY13" fmla="*/ 7294 h 44696"/>
              <a:gd name="connsiteX14" fmla="*/ 39693 w 47295"/>
              <a:gd name="connsiteY14" fmla="*/ 31570 h 446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47295" h="44696">
                <a:moveTo>
                  <a:pt x="42008" y="5770"/>
                </a:moveTo>
                <a:cubicBezTo>
                  <a:pt x="41189" y="1855"/>
                  <a:pt x="37327" y="-660"/>
                  <a:pt x="33382" y="153"/>
                </a:cubicBezTo>
                <a:cubicBezTo>
                  <a:pt x="33381" y="153"/>
                  <a:pt x="33381" y="153"/>
                  <a:pt x="33381" y="153"/>
                </a:cubicBezTo>
                <a:lnTo>
                  <a:pt x="5809" y="5853"/>
                </a:lnTo>
                <a:cubicBezTo>
                  <a:pt x="1870" y="6672"/>
                  <a:pt x="-660" y="10499"/>
                  <a:pt x="151" y="14411"/>
                </a:cubicBezTo>
                <a:lnTo>
                  <a:pt x="5288" y="38929"/>
                </a:lnTo>
                <a:cubicBezTo>
                  <a:pt x="5996" y="42287"/>
                  <a:pt x="8978" y="44693"/>
                  <a:pt x="12435" y="44697"/>
                </a:cubicBezTo>
                <a:cubicBezTo>
                  <a:pt x="12930" y="44697"/>
                  <a:pt x="13425" y="44648"/>
                  <a:pt x="13910" y="44550"/>
                </a:cubicBezTo>
                <a:lnTo>
                  <a:pt x="41492" y="38859"/>
                </a:lnTo>
                <a:lnTo>
                  <a:pt x="41498" y="38856"/>
                </a:lnTo>
                <a:cubicBezTo>
                  <a:pt x="45436" y="38032"/>
                  <a:pt x="47960" y="34201"/>
                  <a:pt x="47141" y="30290"/>
                </a:cubicBezTo>
                <a:close/>
                <a:moveTo>
                  <a:pt x="12686" y="37404"/>
                </a:moveTo>
                <a:lnTo>
                  <a:pt x="7350" y="13193"/>
                </a:lnTo>
                <a:lnTo>
                  <a:pt x="34610" y="7294"/>
                </a:lnTo>
                <a:lnTo>
                  <a:pt x="39693" y="3157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50" name="Freeform: Shape 449">
            <a:extLst>
              <a:ext uri="{FF2B5EF4-FFF2-40B4-BE49-F238E27FC236}">
                <a16:creationId xmlns:a16="http://schemas.microsoft.com/office/drawing/2014/main" id="{9BC858F4-5C35-446F-886F-FB1277E53661}"/>
              </a:ext>
            </a:extLst>
          </xdr:cNvPr>
          <xdr:cNvSpPr/>
        </xdr:nvSpPr>
        <xdr:spPr>
          <a:xfrm>
            <a:off x="13770352" y="9833400"/>
            <a:ext cx="33963" cy="33708"/>
          </a:xfrm>
          <a:custGeom>
            <a:avLst/>
            <a:gdLst>
              <a:gd name="connsiteX0" fmla="*/ 16983 w 33963"/>
              <a:gd name="connsiteY0" fmla="*/ 0 h 33708"/>
              <a:gd name="connsiteX1" fmla="*/ 0 w 33963"/>
              <a:gd name="connsiteY1" fmla="*/ 16853 h 33708"/>
              <a:gd name="connsiteX2" fmla="*/ 16980 w 33963"/>
              <a:gd name="connsiteY2" fmla="*/ 33709 h 33708"/>
              <a:gd name="connsiteX3" fmla="*/ 33964 w 33963"/>
              <a:gd name="connsiteY3" fmla="*/ 16856 h 33708"/>
              <a:gd name="connsiteX4" fmla="*/ 33964 w 33963"/>
              <a:gd name="connsiteY4" fmla="*/ 16853 h 33708"/>
              <a:gd name="connsiteX5" fmla="*/ 16983 w 33963"/>
              <a:gd name="connsiteY5" fmla="*/ 0 h 33708"/>
              <a:gd name="connsiteX6" fmla="*/ 16983 w 33963"/>
              <a:gd name="connsiteY6" fmla="*/ 26206 h 33708"/>
              <a:gd name="connsiteX7" fmla="*/ 7554 w 33963"/>
              <a:gd name="connsiteY7" fmla="*/ 16853 h 33708"/>
              <a:gd name="connsiteX8" fmla="*/ 16977 w 33963"/>
              <a:gd name="connsiteY8" fmla="*/ 7494 h 33708"/>
              <a:gd name="connsiteX9" fmla="*/ 26407 w 33963"/>
              <a:gd name="connsiteY9" fmla="*/ 16847 h 33708"/>
              <a:gd name="connsiteX10" fmla="*/ 26407 w 33963"/>
              <a:gd name="connsiteY10" fmla="*/ 16860 h 33708"/>
              <a:gd name="connsiteX11" fmla="*/ 16983 w 33963"/>
              <a:gd name="connsiteY11" fmla="*/ 26206 h 3370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33963" h="33708">
                <a:moveTo>
                  <a:pt x="16983" y="0"/>
                </a:moveTo>
                <a:cubicBezTo>
                  <a:pt x="7605" y="-1"/>
                  <a:pt x="1" y="7545"/>
                  <a:pt x="0" y="16853"/>
                </a:cubicBezTo>
                <a:cubicBezTo>
                  <a:pt x="-1" y="26161"/>
                  <a:pt x="7602" y="33708"/>
                  <a:pt x="16980" y="33709"/>
                </a:cubicBezTo>
                <a:cubicBezTo>
                  <a:pt x="26359" y="33710"/>
                  <a:pt x="33963" y="26164"/>
                  <a:pt x="33964" y="16856"/>
                </a:cubicBezTo>
                <a:cubicBezTo>
                  <a:pt x="33964" y="16855"/>
                  <a:pt x="33964" y="16854"/>
                  <a:pt x="33964" y="16853"/>
                </a:cubicBezTo>
                <a:cubicBezTo>
                  <a:pt x="33954" y="7550"/>
                  <a:pt x="26357" y="10"/>
                  <a:pt x="16983" y="0"/>
                </a:cubicBezTo>
                <a:close/>
                <a:moveTo>
                  <a:pt x="16983" y="26206"/>
                </a:moveTo>
                <a:cubicBezTo>
                  <a:pt x="11777" y="26208"/>
                  <a:pt x="7555" y="22020"/>
                  <a:pt x="7554" y="16853"/>
                </a:cubicBezTo>
                <a:cubicBezTo>
                  <a:pt x="7552" y="11686"/>
                  <a:pt x="11771" y="7496"/>
                  <a:pt x="16977" y="7494"/>
                </a:cubicBezTo>
                <a:cubicBezTo>
                  <a:pt x="22183" y="7493"/>
                  <a:pt x="26405" y="11680"/>
                  <a:pt x="26407" y="16847"/>
                </a:cubicBezTo>
                <a:cubicBezTo>
                  <a:pt x="26407" y="16852"/>
                  <a:pt x="26407" y="16856"/>
                  <a:pt x="26407" y="16860"/>
                </a:cubicBezTo>
                <a:cubicBezTo>
                  <a:pt x="26394" y="22020"/>
                  <a:pt x="22182" y="26198"/>
                  <a:pt x="16983" y="2620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51" name="Freeform: Shape 450">
            <a:extLst>
              <a:ext uri="{FF2B5EF4-FFF2-40B4-BE49-F238E27FC236}">
                <a16:creationId xmlns:a16="http://schemas.microsoft.com/office/drawing/2014/main" id="{5F8B0847-05C3-431E-9DE2-03FE77702F96}"/>
              </a:ext>
            </a:extLst>
          </xdr:cNvPr>
          <xdr:cNvSpPr/>
        </xdr:nvSpPr>
        <xdr:spPr>
          <a:xfrm>
            <a:off x="13748977" y="9658264"/>
            <a:ext cx="166247" cy="300000"/>
          </a:xfrm>
          <a:custGeom>
            <a:avLst/>
            <a:gdLst>
              <a:gd name="connsiteX0" fmla="*/ 151134 w 166247"/>
              <a:gd name="connsiteY0" fmla="*/ 78750 h 300000"/>
              <a:gd name="connsiteX1" fmla="*/ 113350 w 166247"/>
              <a:gd name="connsiteY1" fmla="*/ 78750 h 300000"/>
              <a:gd name="connsiteX2" fmla="*/ 113350 w 166247"/>
              <a:gd name="connsiteY2" fmla="*/ 18750 h 300000"/>
              <a:gd name="connsiteX3" fmla="*/ 94459 w 166247"/>
              <a:gd name="connsiteY3" fmla="*/ 0 h 300000"/>
              <a:gd name="connsiteX4" fmla="*/ 71789 w 166247"/>
              <a:gd name="connsiteY4" fmla="*/ 0 h 300000"/>
              <a:gd name="connsiteX5" fmla="*/ 52897 w 166247"/>
              <a:gd name="connsiteY5" fmla="*/ 18750 h 300000"/>
              <a:gd name="connsiteX6" fmla="*/ 52897 w 166247"/>
              <a:gd name="connsiteY6" fmla="*/ 78750 h 300000"/>
              <a:gd name="connsiteX7" fmla="*/ 15113 w 166247"/>
              <a:gd name="connsiteY7" fmla="*/ 78750 h 300000"/>
              <a:gd name="connsiteX8" fmla="*/ 0 w 166247"/>
              <a:gd name="connsiteY8" fmla="*/ 93750 h 300000"/>
              <a:gd name="connsiteX9" fmla="*/ 0 w 166247"/>
              <a:gd name="connsiteY9" fmla="*/ 266250 h 300000"/>
              <a:gd name="connsiteX10" fmla="*/ 15113 w 166247"/>
              <a:gd name="connsiteY10" fmla="*/ 281250 h 300000"/>
              <a:gd name="connsiteX11" fmla="*/ 30227 w 166247"/>
              <a:gd name="connsiteY11" fmla="*/ 281250 h 300000"/>
              <a:gd name="connsiteX12" fmla="*/ 30227 w 166247"/>
              <a:gd name="connsiteY12" fmla="*/ 289125 h 300000"/>
              <a:gd name="connsiteX13" fmla="*/ 41184 w 166247"/>
              <a:gd name="connsiteY13" fmla="*/ 300000 h 300000"/>
              <a:gd name="connsiteX14" fmla="*/ 41940 w 166247"/>
              <a:gd name="connsiteY14" fmla="*/ 300000 h 300000"/>
              <a:gd name="connsiteX15" fmla="*/ 52897 w 166247"/>
              <a:gd name="connsiteY15" fmla="*/ 289125 h 300000"/>
              <a:gd name="connsiteX16" fmla="*/ 52897 w 166247"/>
              <a:gd name="connsiteY16" fmla="*/ 281250 h 300000"/>
              <a:gd name="connsiteX17" fmla="*/ 113350 w 166247"/>
              <a:gd name="connsiteY17" fmla="*/ 281250 h 300000"/>
              <a:gd name="connsiteX18" fmla="*/ 113350 w 166247"/>
              <a:gd name="connsiteY18" fmla="*/ 289125 h 300000"/>
              <a:gd name="connsiteX19" fmla="*/ 124308 w 166247"/>
              <a:gd name="connsiteY19" fmla="*/ 300000 h 300000"/>
              <a:gd name="connsiteX20" fmla="*/ 125063 w 166247"/>
              <a:gd name="connsiteY20" fmla="*/ 300000 h 300000"/>
              <a:gd name="connsiteX21" fmla="*/ 136020 w 166247"/>
              <a:gd name="connsiteY21" fmla="*/ 289125 h 300000"/>
              <a:gd name="connsiteX22" fmla="*/ 136020 w 166247"/>
              <a:gd name="connsiteY22" fmla="*/ 281250 h 300000"/>
              <a:gd name="connsiteX23" fmla="*/ 151134 w 166247"/>
              <a:gd name="connsiteY23" fmla="*/ 281250 h 300000"/>
              <a:gd name="connsiteX24" fmla="*/ 166247 w 166247"/>
              <a:gd name="connsiteY24" fmla="*/ 266250 h 300000"/>
              <a:gd name="connsiteX25" fmla="*/ 166247 w 166247"/>
              <a:gd name="connsiteY25" fmla="*/ 93750 h 300000"/>
              <a:gd name="connsiteX26" fmla="*/ 151134 w 166247"/>
              <a:gd name="connsiteY26" fmla="*/ 78750 h 300000"/>
              <a:gd name="connsiteX27" fmla="*/ 60454 w 166247"/>
              <a:gd name="connsiteY27" fmla="*/ 18750 h 300000"/>
              <a:gd name="connsiteX28" fmla="*/ 71789 w 166247"/>
              <a:gd name="connsiteY28" fmla="*/ 7500 h 300000"/>
              <a:gd name="connsiteX29" fmla="*/ 94459 w 166247"/>
              <a:gd name="connsiteY29" fmla="*/ 7500 h 300000"/>
              <a:gd name="connsiteX30" fmla="*/ 105794 w 166247"/>
              <a:gd name="connsiteY30" fmla="*/ 18750 h 300000"/>
              <a:gd name="connsiteX31" fmla="*/ 105794 w 166247"/>
              <a:gd name="connsiteY31" fmla="*/ 78750 h 300000"/>
              <a:gd name="connsiteX32" fmla="*/ 60454 w 166247"/>
              <a:gd name="connsiteY32" fmla="*/ 78750 h 300000"/>
              <a:gd name="connsiteX33" fmla="*/ 45340 w 166247"/>
              <a:gd name="connsiteY33" fmla="*/ 289125 h 300000"/>
              <a:gd name="connsiteX34" fmla="*/ 41940 w 166247"/>
              <a:gd name="connsiteY34" fmla="*/ 292500 h 300000"/>
              <a:gd name="connsiteX35" fmla="*/ 41184 w 166247"/>
              <a:gd name="connsiteY35" fmla="*/ 292500 h 300000"/>
              <a:gd name="connsiteX36" fmla="*/ 37783 w 166247"/>
              <a:gd name="connsiteY36" fmla="*/ 289125 h 300000"/>
              <a:gd name="connsiteX37" fmla="*/ 37783 w 166247"/>
              <a:gd name="connsiteY37" fmla="*/ 281250 h 300000"/>
              <a:gd name="connsiteX38" fmla="*/ 45340 w 166247"/>
              <a:gd name="connsiteY38" fmla="*/ 281250 h 300000"/>
              <a:gd name="connsiteX39" fmla="*/ 128464 w 166247"/>
              <a:gd name="connsiteY39" fmla="*/ 289125 h 300000"/>
              <a:gd name="connsiteX40" fmla="*/ 125063 w 166247"/>
              <a:gd name="connsiteY40" fmla="*/ 292500 h 300000"/>
              <a:gd name="connsiteX41" fmla="*/ 124308 w 166247"/>
              <a:gd name="connsiteY41" fmla="*/ 292500 h 300000"/>
              <a:gd name="connsiteX42" fmla="*/ 120907 w 166247"/>
              <a:gd name="connsiteY42" fmla="*/ 289125 h 300000"/>
              <a:gd name="connsiteX43" fmla="*/ 120907 w 166247"/>
              <a:gd name="connsiteY43" fmla="*/ 281250 h 300000"/>
              <a:gd name="connsiteX44" fmla="*/ 128464 w 166247"/>
              <a:gd name="connsiteY44" fmla="*/ 281250 h 300000"/>
              <a:gd name="connsiteX45" fmla="*/ 158690 w 166247"/>
              <a:gd name="connsiteY45" fmla="*/ 266250 h 300000"/>
              <a:gd name="connsiteX46" fmla="*/ 151134 w 166247"/>
              <a:gd name="connsiteY46" fmla="*/ 273750 h 300000"/>
              <a:gd name="connsiteX47" fmla="*/ 15113 w 166247"/>
              <a:gd name="connsiteY47" fmla="*/ 273750 h 300000"/>
              <a:gd name="connsiteX48" fmla="*/ 7557 w 166247"/>
              <a:gd name="connsiteY48" fmla="*/ 266250 h 300000"/>
              <a:gd name="connsiteX49" fmla="*/ 7557 w 166247"/>
              <a:gd name="connsiteY49" fmla="*/ 93750 h 300000"/>
              <a:gd name="connsiteX50" fmla="*/ 15113 w 166247"/>
              <a:gd name="connsiteY50" fmla="*/ 86250 h 300000"/>
              <a:gd name="connsiteX51" fmla="*/ 128464 w 166247"/>
              <a:gd name="connsiteY51" fmla="*/ 86250 h 300000"/>
              <a:gd name="connsiteX52" fmla="*/ 128464 w 166247"/>
              <a:gd name="connsiteY52" fmla="*/ 97500 h 300000"/>
              <a:gd name="connsiteX53" fmla="*/ 113350 w 166247"/>
              <a:gd name="connsiteY53" fmla="*/ 97500 h 300000"/>
              <a:gd name="connsiteX54" fmla="*/ 113350 w 166247"/>
              <a:gd name="connsiteY54" fmla="*/ 153779 h 300000"/>
              <a:gd name="connsiteX55" fmla="*/ 149883 w 166247"/>
              <a:gd name="connsiteY55" fmla="*/ 153779 h 300000"/>
              <a:gd name="connsiteX56" fmla="*/ 149883 w 166247"/>
              <a:gd name="connsiteY56" fmla="*/ 97500 h 300000"/>
              <a:gd name="connsiteX57" fmla="*/ 136020 w 166247"/>
              <a:gd name="connsiteY57" fmla="*/ 97500 h 300000"/>
              <a:gd name="connsiteX58" fmla="*/ 136020 w 166247"/>
              <a:gd name="connsiteY58" fmla="*/ 86250 h 300000"/>
              <a:gd name="connsiteX59" fmla="*/ 151134 w 166247"/>
              <a:gd name="connsiteY59" fmla="*/ 86250 h 300000"/>
              <a:gd name="connsiteX60" fmla="*/ 158690 w 166247"/>
              <a:gd name="connsiteY60" fmla="*/ 93750 h 300000"/>
              <a:gd name="connsiteX61" fmla="*/ 142326 w 166247"/>
              <a:gd name="connsiteY61" fmla="*/ 105000 h 300000"/>
              <a:gd name="connsiteX62" fmla="*/ 142326 w 166247"/>
              <a:gd name="connsiteY62" fmla="*/ 146279 h 300000"/>
              <a:gd name="connsiteX63" fmla="*/ 120907 w 166247"/>
              <a:gd name="connsiteY63" fmla="*/ 146279 h 300000"/>
              <a:gd name="connsiteX64" fmla="*/ 120907 w 166247"/>
              <a:gd name="connsiteY64" fmla="*/ 105000 h 30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</a:cxnLst>
            <a:rect l="l" t="t" r="r" b="b"/>
            <a:pathLst>
              <a:path w="166247" h="300000">
                <a:moveTo>
                  <a:pt x="151134" y="78750"/>
                </a:moveTo>
                <a:lnTo>
                  <a:pt x="113350" y="78750"/>
                </a:lnTo>
                <a:lnTo>
                  <a:pt x="113350" y="18750"/>
                </a:lnTo>
                <a:cubicBezTo>
                  <a:pt x="113350" y="8395"/>
                  <a:pt x="104892" y="0"/>
                  <a:pt x="94459" y="0"/>
                </a:cubicBezTo>
                <a:lnTo>
                  <a:pt x="71789" y="0"/>
                </a:lnTo>
                <a:cubicBezTo>
                  <a:pt x="61355" y="0"/>
                  <a:pt x="52897" y="8395"/>
                  <a:pt x="52897" y="18750"/>
                </a:cubicBezTo>
                <a:lnTo>
                  <a:pt x="52897" y="78750"/>
                </a:lnTo>
                <a:lnTo>
                  <a:pt x="15113" y="78750"/>
                </a:lnTo>
                <a:cubicBezTo>
                  <a:pt x="6767" y="78750"/>
                  <a:pt x="0" y="85466"/>
                  <a:pt x="0" y="93750"/>
                </a:cubicBezTo>
                <a:lnTo>
                  <a:pt x="0" y="266250"/>
                </a:lnTo>
                <a:cubicBezTo>
                  <a:pt x="0" y="274534"/>
                  <a:pt x="6767" y="281250"/>
                  <a:pt x="15113" y="281250"/>
                </a:cubicBezTo>
                <a:lnTo>
                  <a:pt x="30227" y="281250"/>
                </a:lnTo>
                <a:lnTo>
                  <a:pt x="30227" y="289125"/>
                </a:lnTo>
                <a:cubicBezTo>
                  <a:pt x="30227" y="295131"/>
                  <a:pt x="35133" y="300000"/>
                  <a:pt x="41184" y="300000"/>
                </a:cubicBezTo>
                <a:lnTo>
                  <a:pt x="41940" y="300000"/>
                </a:lnTo>
                <a:cubicBezTo>
                  <a:pt x="47991" y="300000"/>
                  <a:pt x="52897" y="295131"/>
                  <a:pt x="52897" y="289125"/>
                </a:cubicBezTo>
                <a:lnTo>
                  <a:pt x="52897" y="281250"/>
                </a:lnTo>
                <a:lnTo>
                  <a:pt x="113350" y="281250"/>
                </a:lnTo>
                <a:lnTo>
                  <a:pt x="113350" y="289125"/>
                </a:lnTo>
                <a:cubicBezTo>
                  <a:pt x="113350" y="295131"/>
                  <a:pt x="118256" y="300000"/>
                  <a:pt x="124308" y="300000"/>
                </a:cubicBezTo>
                <a:lnTo>
                  <a:pt x="125063" y="300000"/>
                </a:lnTo>
                <a:cubicBezTo>
                  <a:pt x="131115" y="300000"/>
                  <a:pt x="136020" y="295131"/>
                  <a:pt x="136020" y="289125"/>
                </a:cubicBezTo>
                <a:lnTo>
                  <a:pt x="136020" y="281250"/>
                </a:lnTo>
                <a:lnTo>
                  <a:pt x="151134" y="281250"/>
                </a:lnTo>
                <a:cubicBezTo>
                  <a:pt x="159480" y="281250"/>
                  <a:pt x="166247" y="274534"/>
                  <a:pt x="166247" y="266250"/>
                </a:cubicBezTo>
                <a:lnTo>
                  <a:pt x="166247" y="93750"/>
                </a:lnTo>
                <a:cubicBezTo>
                  <a:pt x="166247" y="85466"/>
                  <a:pt x="159480" y="78750"/>
                  <a:pt x="151134" y="78750"/>
                </a:cubicBezTo>
                <a:close/>
                <a:moveTo>
                  <a:pt x="60454" y="18750"/>
                </a:moveTo>
                <a:cubicBezTo>
                  <a:pt x="60454" y="12537"/>
                  <a:pt x="65528" y="7500"/>
                  <a:pt x="71789" y="7500"/>
                </a:cubicBezTo>
                <a:lnTo>
                  <a:pt x="94459" y="7500"/>
                </a:lnTo>
                <a:cubicBezTo>
                  <a:pt x="100719" y="7500"/>
                  <a:pt x="105794" y="12537"/>
                  <a:pt x="105794" y="18750"/>
                </a:cubicBezTo>
                <a:lnTo>
                  <a:pt x="105794" y="78750"/>
                </a:lnTo>
                <a:lnTo>
                  <a:pt x="60454" y="78750"/>
                </a:lnTo>
                <a:close/>
                <a:moveTo>
                  <a:pt x="45340" y="289125"/>
                </a:moveTo>
                <a:cubicBezTo>
                  <a:pt x="45334" y="290987"/>
                  <a:pt x="43815" y="292494"/>
                  <a:pt x="41940" y="292500"/>
                </a:cubicBezTo>
                <a:lnTo>
                  <a:pt x="41184" y="292500"/>
                </a:lnTo>
                <a:cubicBezTo>
                  <a:pt x="39306" y="292500"/>
                  <a:pt x="37783" y="290989"/>
                  <a:pt x="37783" y="289125"/>
                </a:cubicBezTo>
                <a:lnTo>
                  <a:pt x="37783" y="281250"/>
                </a:lnTo>
                <a:lnTo>
                  <a:pt x="45340" y="281250"/>
                </a:lnTo>
                <a:close/>
                <a:moveTo>
                  <a:pt x="128464" y="289125"/>
                </a:moveTo>
                <a:cubicBezTo>
                  <a:pt x="128457" y="290987"/>
                  <a:pt x="126939" y="292494"/>
                  <a:pt x="125063" y="292500"/>
                </a:cubicBezTo>
                <a:lnTo>
                  <a:pt x="124308" y="292500"/>
                </a:lnTo>
                <a:cubicBezTo>
                  <a:pt x="122429" y="292500"/>
                  <a:pt x="120907" y="290989"/>
                  <a:pt x="120907" y="289125"/>
                </a:cubicBezTo>
                <a:lnTo>
                  <a:pt x="120907" y="281250"/>
                </a:lnTo>
                <a:lnTo>
                  <a:pt x="128464" y="281250"/>
                </a:lnTo>
                <a:close/>
                <a:moveTo>
                  <a:pt x="158690" y="266250"/>
                </a:moveTo>
                <a:cubicBezTo>
                  <a:pt x="158690" y="270392"/>
                  <a:pt x="155307" y="273750"/>
                  <a:pt x="151134" y="273750"/>
                </a:cubicBezTo>
                <a:lnTo>
                  <a:pt x="15113" y="273750"/>
                </a:lnTo>
                <a:cubicBezTo>
                  <a:pt x="10940" y="273750"/>
                  <a:pt x="7557" y="270392"/>
                  <a:pt x="7557" y="266250"/>
                </a:cubicBezTo>
                <a:lnTo>
                  <a:pt x="7557" y="93750"/>
                </a:lnTo>
                <a:cubicBezTo>
                  <a:pt x="7557" y="89608"/>
                  <a:pt x="10940" y="86250"/>
                  <a:pt x="15113" y="86250"/>
                </a:cubicBezTo>
                <a:lnTo>
                  <a:pt x="128464" y="86250"/>
                </a:lnTo>
                <a:lnTo>
                  <a:pt x="128464" y="97500"/>
                </a:lnTo>
                <a:lnTo>
                  <a:pt x="113350" y="97500"/>
                </a:lnTo>
                <a:lnTo>
                  <a:pt x="113350" y="153779"/>
                </a:lnTo>
                <a:lnTo>
                  <a:pt x="149883" y="153779"/>
                </a:lnTo>
                <a:lnTo>
                  <a:pt x="149883" y="97500"/>
                </a:lnTo>
                <a:lnTo>
                  <a:pt x="136020" y="97500"/>
                </a:lnTo>
                <a:lnTo>
                  <a:pt x="136020" y="86250"/>
                </a:lnTo>
                <a:lnTo>
                  <a:pt x="151134" y="86250"/>
                </a:lnTo>
                <a:cubicBezTo>
                  <a:pt x="155307" y="86250"/>
                  <a:pt x="158690" y="89608"/>
                  <a:pt x="158690" y="93750"/>
                </a:cubicBezTo>
                <a:close/>
                <a:moveTo>
                  <a:pt x="142326" y="105000"/>
                </a:moveTo>
                <a:lnTo>
                  <a:pt x="142326" y="146279"/>
                </a:lnTo>
                <a:lnTo>
                  <a:pt x="120907" y="146279"/>
                </a:lnTo>
                <a:lnTo>
                  <a:pt x="120907" y="10500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2</xdr:col>
      <xdr:colOff>102360</xdr:colOff>
      <xdr:row>7</xdr:row>
      <xdr:rowOff>106096</xdr:rowOff>
    </xdr:from>
    <xdr:to>
      <xdr:col>2</xdr:col>
      <xdr:colOff>466442</xdr:colOff>
      <xdr:row>7</xdr:row>
      <xdr:rowOff>466096</xdr:rowOff>
    </xdr:to>
    <xdr:grpSp>
      <xdr:nvGrpSpPr>
        <xdr:cNvPr id="452" name="attention" descr="Megaphone1 outline">
          <a:extLst>
            <a:ext uri="{FF2B5EF4-FFF2-40B4-BE49-F238E27FC236}">
              <a16:creationId xmlns:a16="http://schemas.microsoft.com/office/drawing/2014/main" id="{FB924178-2293-4F9A-8A2D-2C4E3382D165}"/>
            </a:ext>
          </a:extLst>
        </xdr:cNvPr>
        <xdr:cNvGrpSpPr>
          <a:grpSpLocks noChangeAspect="1"/>
        </xdr:cNvGrpSpPr>
      </xdr:nvGrpSpPr>
      <xdr:grpSpPr>
        <a:xfrm>
          <a:off x="1531110" y="2373046"/>
          <a:ext cx="364082" cy="360000"/>
          <a:chOff x="9182100" y="10535314"/>
          <a:chExt cx="364082" cy="360000"/>
        </a:xfrm>
      </xdr:grpSpPr>
      <xdr:sp macro="" textlink="">
        <xdr:nvSpPr>
          <xdr:cNvPr id="453" name="Freeform: Shape 452">
            <a:extLst>
              <a:ext uri="{FF2B5EF4-FFF2-40B4-BE49-F238E27FC236}">
                <a16:creationId xmlns:a16="http://schemas.microsoft.com/office/drawing/2014/main" id="{2F4BA177-E0CE-4352-B10B-6BD842315C0C}"/>
              </a:ext>
            </a:extLst>
          </xdr:cNvPr>
          <xdr:cNvSpPr/>
        </xdr:nvSpPr>
        <xdr:spPr>
          <a:xfrm>
            <a:off x="9224071" y="10621560"/>
            <a:ext cx="243272" cy="195738"/>
          </a:xfrm>
          <a:custGeom>
            <a:avLst/>
            <a:gdLst>
              <a:gd name="connsiteX0" fmla="*/ 174084 w 243272"/>
              <a:gd name="connsiteY0" fmla="*/ 4627 h 195738"/>
              <a:gd name="connsiteX1" fmla="*/ 166719 w 243272"/>
              <a:gd name="connsiteY1" fmla="*/ 63 h 195738"/>
              <a:gd name="connsiteX2" fmla="*/ 158880 w 243272"/>
              <a:gd name="connsiteY2" fmla="*/ 2748 h 195738"/>
              <a:gd name="connsiteX3" fmla="*/ 20939 w 243272"/>
              <a:gd name="connsiteY3" fmla="*/ 134373 h 195738"/>
              <a:gd name="connsiteX4" fmla="*/ 0 w 243272"/>
              <a:gd name="connsiteY4" fmla="*/ 154207 h 195738"/>
              <a:gd name="connsiteX5" fmla="*/ 24238 w 243272"/>
              <a:gd name="connsiteY5" fmla="*/ 195738 h 195738"/>
              <a:gd name="connsiteX6" fmla="*/ 51992 w 243272"/>
              <a:gd name="connsiteY6" fmla="*/ 187192 h 195738"/>
              <a:gd name="connsiteX7" fmla="*/ 88973 w 243272"/>
              <a:gd name="connsiteY7" fmla="*/ 176820 h 195738"/>
              <a:gd name="connsiteX8" fmla="*/ 88737 w 243272"/>
              <a:gd name="connsiteY8" fmla="*/ 177033 h 195738"/>
              <a:gd name="connsiteX9" fmla="*/ 105743 w 243272"/>
              <a:gd name="connsiteY9" fmla="*/ 195577 h 195738"/>
              <a:gd name="connsiteX10" fmla="*/ 159320 w 243272"/>
              <a:gd name="connsiteY10" fmla="*/ 180952 h 195738"/>
              <a:gd name="connsiteX11" fmla="*/ 164250 w 243272"/>
              <a:gd name="connsiteY11" fmla="*/ 155891 h 195738"/>
              <a:gd name="connsiteX12" fmla="*/ 163871 w 243272"/>
              <a:gd name="connsiteY12" fmla="*/ 155820 h 195738"/>
              <a:gd name="connsiteX13" fmla="*/ 236278 w 243272"/>
              <a:gd name="connsiteY13" fmla="*/ 135513 h 195738"/>
              <a:gd name="connsiteX14" fmla="*/ 236703 w 243272"/>
              <a:gd name="connsiteY14" fmla="*/ 135367 h 195738"/>
              <a:gd name="connsiteX15" fmla="*/ 242790 w 243272"/>
              <a:gd name="connsiteY15" fmla="*/ 128756 h 195738"/>
              <a:gd name="connsiteX16" fmla="*/ 241853 w 243272"/>
              <a:gd name="connsiteY16" fmla="*/ 120765 h 195738"/>
              <a:gd name="connsiteX17" fmla="*/ 9546 w 243272"/>
              <a:gd name="connsiteY17" fmla="*/ 155542 h 195738"/>
              <a:gd name="connsiteX18" fmla="*/ 22820 w 243272"/>
              <a:gd name="connsiteY18" fmla="*/ 142980 h 195738"/>
              <a:gd name="connsiteX19" fmla="*/ 45241 w 243272"/>
              <a:gd name="connsiteY19" fmla="*/ 181406 h 195738"/>
              <a:gd name="connsiteX20" fmla="*/ 27795 w 243272"/>
              <a:gd name="connsiteY20" fmla="*/ 186783 h 195738"/>
              <a:gd name="connsiteX21" fmla="*/ 152774 w 243272"/>
              <a:gd name="connsiteY21" fmla="*/ 174933 h 195738"/>
              <a:gd name="connsiteX22" fmla="*/ 108212 w 243272"/>
              <a:gd name="connsiteY22" fmla="*/ 187106 h 195738"/>
              <a:gd name="connsiteX23" fmla="*/ 96759 w 243272"/>
              <a:gd name="connsiteY23" fmla="*/ 174618 h 195738"/>
              <a:gd name="connsiteX24" fmla="*/ 156112 w 243272"/>
              <a:gd name="connsiteY24" fmla="*/ 157972 h 195738"/>
              <a:gd name="connsiteX25" fmla="*/ 235580 w 243272"/>
              <a:gd name="connsiteY25" fmla="*/ 126483 h 195738"/>
              <a:gd name="connsiteX26" fmla="*/ 233972 w 243272"/>
              <a:gd name="connsiteY26" fmla="*/ 128358 h 195738"/>
              <a:gd name="connsiteX27" fmla="*/ 52689 w 243272"/>
              <a:gd name="connsiteY27" fmla="*/ 179197 h 195738"/>
              <a:gd name="connsiteX28" fmla="*/ 28436 w 243272"/>
              <a:gd name="connsiteY28" fmla="*/ 137628 h 195738"/>
              <a:gd name="connsiteX29" fmla="*/ 164209 w 243272"/>
              <a:gd name="connsiteY29" fmla="*/ 8103 h 195738"/>
              <a:gd name="connsiteX30" fmla="*/ 165892 w 243272"/>
              <a:gd name="connsiteY30" fmla="*/ 7503 h 195738"/>
              <a:gd name="connsiteX31" fmla="*/ 167603 w 243272"/>
              <a:gd name="connsiteY31" fmla="*/ 8505 h 195738"/>
              <a:gd name="connsiteX32" fmla="*/ 235398 w 243272"/>
              <a:gd name="connsiteY32" fmla="*/ 124627 h 195738"/>
              <a:gd name="connsiteX33" fmla="*/ 235580 w 243272"/>
              <a:gd name="connsiteY33" fmla="*/ 126483 h 19573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</a:cxnLst>
            <a:rect l="l" t="t" r="r" b="b"/>
            <a:pathLst>
              <a:path w="243272" h="195738">
                <a:moveTo>
                  <a:pt x="174084" y="4627"/>
                </a:moveTo>
                <a:cubicBezTo>
                  <a:pt x="172461" y="2075"/>
                  <a:pt x="169749" y="395"/>
                  <a:pt x="166719" y="63"/>
                </a:cubicBezTo>
                <a:cubicBezTo>
                  <a:pt x="163829" y="-269"/>
                  <a:pt x="160943" y="719"/>
                  <a:pt x="158880" y="2748"/>
                </a:cubicBezTo>
                <a:lnTo>
                  <a:pt x="20939" y="134373"/>
                </a:lnTo>
                <a:lnTo>
                  <a:pt x="0" y="154207"/>
                </a:lnTo>
                <a:lnTo>
                  <a:pt x="24238" y="195738"/>
                </a:lnTo>
                <a:lnTo>
                  <a:pt x="51992" y="187192"/>
                </a:lnTo>
                <a:lnTo>
                  <a:pt x="88973" y="176820"/>
                </a:lnTo>
                <a:lnTo>
                  <a:pt x="88737" y="177033"/>
                </a:lnTo>
                <a:lnTo>
                  <a:pt x="105743" y="195577"/>
                </a:lnTo>
                <a:lnTo>
                  <a:pt x="159320" y="180952"/>
                </a:lnTo>
                <a:lnTo>
                  <a:pt x="164250" y="155891"/>
                </a:lnTo>
                <a:lnTo>
                  <a:pt x="163871" y="155820"/>
                </a:lnTo>
                <a:lnTo>
                  <a:pt x="236278" y="135513"/>
                </a:lnTo>
                <a:lnTo>
                  <a:pt x="236703" y="135367"/>
                </a:lnTo>
                <a:cubicBezTo>
                  <a:pt x="239610" y="134147"/>
                  <a:pt x="241833" y="131732"/>
                  <a:pt x="242790" y="128756"/>
                </a:cubicBezTo>
                <a:cubicBezTo>
                  <a:pt x="243675" y="126085"/>
                  <a:pt x="243333" y="123165"/>
                  <a:pt x="241853" y="120765"/>
                </a:cubicBezTo>
                <a:close/>
                <a:moveTo>
                  <a:pt x="9546" y="155542"/>
                </a:moveTo>
                <a:lnTo>
                  <a:pt x="22820" y="142980"/>
                </a:lnTo>
                <a:lnTo>
                  <a:pt x="45241" y="181406"/>
                </a:lnTo>
                <a:lnTo>
                  <a:pt x="27795" y="186783"/>
                </a:lnTo>
                <a:close/>
                <a:moveTo>
                  <a:pt x="152774" y="174933"/>
                </a:moveTo>
                <a:lnTo>
                  <a:pt x="108212" y="187106"/>
                </a:lnTo>
                <a:lnTo>
                  <a:pt x="96759" y="174618"/>
                </a:lnTo>
                <a:lnTo>
                  <a:pt x="156112" y="157972"/>
                </a:lnTo>
                <a:close/>
                <a:moveTo>
                  <a:pt x="235580" y="126483"/>
                </a:moveTo>
                <a:cubicBezTo>
                  <a:pt x="235319" y="127296"/>
                  <a:pt x="234740" y="127971"/>
                  <a:pt x="233972" y="128358"/>
                </a:cubicBezTo>
                <a:lnTo>
                  <a:pt x="52689" y="179197"/>
                </a:lnTo>
                <a:lnTo>
                  <a:pt x="28436" y="137628"/>
                </a:lnTo>
                <a:lnTo>
                  <a:pt x="164209" y="8103"/>
                </a:lnTo>
                <a:cubicBezTo>
                  <a:pt x="164647" y="7658"/>
                  <a:pt x="165268" y="7436"/>
                  <a:pt x="165892" y="7503"/>
                </a:cubicBezTo>
                <a:cubicBezTo>
                  <a:pt x="166583" y="7575"/>
                  <a:pt x="167207" y="7941"/>
                  <a:pt x="167603" y="8505"/>
                </a:cubicBezTo>
                <a:lnTo>
                  <a:pt x="235398" y="124627"/>
                </a:lnTo>
                <a:cubicBezTo>
                  <a:pt x="235735" y="125188"/>
                  <a:pt x="235802" y="125869"/>
                  <a:pt x="235580" y="12648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54" name="Freeform: Shape 453">
            <a:extLst>
              <a:ext uri="{FF2B5EF4-FFF2-40B4-BE49-F238E27FC236}">
                <a16:creationId xmlns:a16="http://schemas.microsoft.com/office/drawing/2014/main" id="{8FE86E63-D6CA-4F36-80AA-667078EE7340}"/>
              </a:ext>
            </a:extLst>
          </xdr:cNvPr>
          <xdr:cNvSpPr/>
        </xdr:nvSpPr>
        <xdr:spPr>
          <a:xfrm rot="-1761779">
            <a:off x="9462780" y="10651210"/>
            <a:ext cx="43386" cy="7496"/>
          </a:xfrm>
          <a:custGeom>
            <a:avLst/>
            <a:gdLst>
              <a:gd name="connsiteX0" fmla="*/ 0 w 43386"/>
              <a:gd name="connsiteY0" fmla="*/ 0 h 7496"/>
              <a:gd name="connsiteX1" fmla="*/ 43386 w 43386"/>
              <a:gd name="connsiteY1" fmla="*/ 0 h 7496"/>
              <a:gd name="connsiteX2" fmla="*/ 43386 w 43386"/>
              <a:gd name="connsiteY2" fmla="*/ 7496 h 7496"/>
              <a:gd name="connsiteX3" fmla="*/ 0 w 43386"/>
              <a:gd name="connsiteY3" fmla="*/ 7496 h 74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386" h="7496">
                <a:moveTo>
                  <a:pt x="0" y="0"/>
                </a:moveTo>
                <a:lnTo>
                  <a:pt x="43386" y="0"/>
                </a:lnTo>
                <a:lnTo>
                  <a:pt x="43386" y="7496"/>
                </a:lnTo>
                <a:lnTo>
                  <a:pt x="0" y="7496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55" name="Freeform: Shape 454">
            <a:extLst>
              <a:ext uri="{FF2B5EF4-FFF2-40B4-BE49-F238E27FC236}">
                <a16:creationId xmlns:a16="http://schemas.microsoft.com/office/drawing/2014/main" id="{A5BBE7CB-0F7B-4AEA-BD4C-1A95E61E4582}"/>
              </a:ext>
            </a:extLst>
          </xdr:cNvPr>
          <xdr:cNvSpPr/>
        </xdr:nvSpPr>
        <xdr:spPr>
          <a:xfrm rot="-4460274">
            <a:off x="9487506" y="10676690"/>
            <a:ext cx="7586" cy="42905"/>
          </a:xfrm>
          <a:custGeom>
            <a:avLst/>
            <a:gdLst>
              <a:gd name="connsiteX0" fmla="*/ 0 w 7586"/>
              <a:gd name="connsiteY0" fmla="*/ 0 h 42905"/>
              <a:gd name="connsiteX1" fmla="*/ 7586 w 7586"/>
              <a:gd name="connsiteY1" fmla="*/ 0 h 42905"/>
              <a:gd name="connsiteX2" fmla="*/ 7586 w 7586"/>
              <a:gd name="connsiteY2" fmla="*/ 42906 h 42905"/>
              <a:gd name="connsiteX3" fmla="*/ 0 w 7586"/>
              <a:gd name="connsiteY3" fmla="*/ 42906 h 429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586" h="42905">
                <a:moveTo>
                  <a:pt x="0" y="0"/>
                </a:moveTo>
                <a:lnTo>
                  <a:pt x="7586" y="0"/>
                </a:lnTo>
                <a:lnTo>
                  <a:pt x="7586" y="42906"/>
                </a:lnTo>
                <a:lnTo>
                  <a:pt x="0" y="42906"/>
                </a:lnTo>
                <a:close/>
              </a:path>
            </a:pathLst>
          </a:custGeom>
          <a:solidFill>
            <a:srgbClr val="1F4E78"/>
          </a:solidFill>
          <a:ln w="37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56" name="Freeform: Shape 455">
            <a:extLst>
              <a:ext uri="{FF2B5EF4-FFF2-40B4-BE49-F238E27FC236}">
                <a16:creationId xmlns:a16="http://schemas.microsoft.com/office/drawing/2014/main" id="{293DFFA5-B53D-4604-92E4-FE13C6DBBE89}"/>
              </a:ext>
            </a:extLst>
          </xdr:cNvPr>
          <xdr:cNvSpPr/>
        </xdr:nvSpPr>
        <xdr:spPr>
          <a:xfrm rot="-4460274">
            <a:off x="9428844" y="10623509"/>
            <a:ext cx="43392" cy="7501"/>
          </a:xfrm>
          <a:custGeom>
            <a:avLst/>
            <a:gdLst>
              <a:gd name="connsiteX0" fmla="*/ 0 w 43392"/>
              <a:gd name="connsiteY0" fmla="*/ 0 h 7501"/>
              <a:gd name="connsiteX1" fmla="*/ 43392 w 43392"/>
              <a:gd name="connsiteY1" fmla="*/ 0 h 7501"/>
              <a:gd name="connsiteX2" fmla="*/ 43392 w 43392"/>
              <a:gd name="connsiteY2" fmla="*/ 7501 h 7501"/>
              <a:gd name="connsiteX3" fmla="*/ 0 w 43392"/>
              <a:gd name="connsiteY3" fmla="*/ 7501 h 75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43392" h="7501">
                <a:moveTo>
                  <a:pt x="0" y="0"/>
                </a:moveTo>
                <a:lnTo>
                  <a:pt x="43392" y="0"/>
                </a:lnTo>
                <a:lnTo>
                  <a:pt x="43392" y="7501"/>
                </a:lnTo>
                <a:lnTo>
                  <a:pt x="0" y="7501"/>
                </a:lnTo>
                <a:close/>
              </a:path>
            </a:pathLst>
          </a:custGeom>
          <a:solidFill>
            <a:srgbClr val="1F4E78"/>
          </a:solidFill>
          <a:ln w="37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161148</xdr:colOff>
      <xdr:row>7</xdr:row>
      <xdr:rowOff>180929</xdr:rowOff>
    </xdr:from>
    <xdr:to>
      <xdr:col>4</xdr:col>
      <xdr:colOff>418172</xdr:colOff>
      <xdr:row>7</xdr:row>
      <xdr:rowOff>391263</xdr:rowOff>
    </xdr:to>
    <xdr:grpSp>
      <xdr:nvGrpSpPr>
        <xdr:cNvPr id="457" name="crown" descr="Crown outline">
          <a:extLst>
            <a:ext uri="{FF2B5EF4-FFF2-40B4-BE49-F238E27FC236}">
              <a16:creationId xmlns:a16="http://schemas.microsoft.com/office/drawing/2014/main" id="{D0CA70F4-C00C-4FCC-8672-03989F084595}"/>
            </a:ext>
          </a:extLst>
        </xdr:cNvPr>
        <xdr:cNvGrpSpPr>
          <a:grpSpLocks noChangeAspect="1"/>
        </xdr:cNvGrpSpPr>
      </xdr:nvGrpSpPr>
      <xdr:grpSpPr>
        <a:xfrm>
          <a:off x="3485373" y="2447879"/>
          <a:ext cx="257024" cy="210334"/>
          <a:chOff x="14979603" y="9706679"/>
          <a:chExt cx="257024" cy="210334"/>
        </a:xfrm>
        <a:solidFill>
          <a:srgbClr val="1F4E78"/>
        </a:solidFill>
      </xdr:grpSpPr>
      <xdr:sp macro="" textlink="">
        <xdr:nvSpPr>
          <xdr:cNvPr id="458" name="Freeform: Shape 457">
            <a:extLst>
              <a:ext uri="{FF2B5EF4-FFF2-40B4-BE49-F238E27FC236}">
                <a16:creationId xmlns:a16="http://schemas.microsoft.com/office/drawing/2014/main" id="{C107C155-181F-4D8A-8DBC-F28C7D11E5E4}"/>
              </a:ext>
            </a:extLst>
          </xdr:cNvPr>
          <xdr:cNvSpPr/>
        </xdr:nvSpPr>
        <xdr:spPr>
          <a:xfrm>
            <a:off x="14979603" y="9706679"/>
            <a:ext cx="257024" cy="210334"/>
          </a:xfrm>
          <a:custGeom>
            <a:avLst/>
            <a:gdLst>
              <a:gd name="connsiteX0" fmla="*/ 255133 w 257024"/>
              <a:gd name="connsiteY0" fmla="*/ 484 h 210334"/>
              <a:gd name="connsiteX1" fmla="*/ 236619 w 257024"/>
              <a:gd name="connsiteY1" fmla="*/ 20359 h 210334"/>
              <a:gd name="connsiteX2" fmla="*/ 236619 w 257024"/>
              <a:gd name="connsiteY2" fmla="*/ 24777 h 210334"/>
              <a:gd name="connsiteX3" fmla="*/ 232425 w 257024"/>
              <a:gd name="connsiteY3" fmla="*/ 29197 h 210334"/>
              <a:gd name="connsiteX4" fmla="*/ 232085 w 257024"/>
              <a:gd name="connsiteY4" fmla="*/ 29194 h 210334"/>
              <a:gd name="connsiteX5" fmla="*/ 227551 w 257024"/>
              <a:gd name="connsiteY5" fmla="*/ 29194 h 210334"/>
              <a:gd name="connsiteX6" fmla="*/ 207049 w 257024"/>
              <a:gd name="connsiteY6" fmla="*/ 49028 h 210334"/>
              <a:gd name="connsiteX7" fmla="*/ 207148 w 257024"/>
              <a:gd name="connsiteY7" fmla="*/ 51282 h 210334"/>
              <a:gd name="connsiteX8" fmla="*/ 228685 w 257024"/>
              <a:gd name="connsiteY8" fmla="*/ 69319 h 210334"/>
              <a:gd name="connsiteX9" fmla="*/ 231707 w 257024"/>
              <a:gd name="connsiteY9" fmla="*/ 69319 h 210334"/>
              <a:gd name="connsiteX10" fmla="*/ 233219 w 257024"/>
              <a:gd name="connsiteY10" fmla="*/ 72263 h 210334"/>
              <a:gd name="connsiteX11" fmla="*/ 193168 w 257024"/>
              <a:gd name="connsiteY11" fmla="*/ 88830 h 210334"/>
              <a:gd name="connsiteX12" fmla="*/ 149717 w 257024"/>
              <a:gd name="connsiteY12" fmla="*/ 72263 h 210334"/>
              <a:gd name="connsiteX13" fmla="*/ 151228 w 257024"/>
              <a:gd name="connsiteY13" fmla="*/ 69319 h 210334"/>
              <a:gd name="connsiteX14" fmla="*/ 158785 w 257024"/>
              <a:gd name="connsiteY14" fmla="*/ 69319 h 210334"/>
              <a:gd name="connsiteX15" fmla="*/ 179287 w 257024"/>
              <a:gd name="connsiteY15" fmla="*/ 49485 h 210334"/>
              <a:gd name="connsiteX16" fmla="*/ 179188 w 257024"/>
              <a:gd name="connsiteY16" fmla="*/ 47232 h 210334"/>
              <a:gd name="connsiteX17" fmla="*/ 157651 w 257024"/>
              <a:gd name="connsiteY17" fmla="*/ 29194 h 210334"/>
              <a:gd name="connsiteX18" fmla="*/ 153873 w 257024"/>
              <a:gd name="connsiteY18" fmla="*/ 29194 h 210334"/>
              <a:gd name="connsiteX19" fmla="*/ 149342 w 257024"/>
              <a:gd name="connsiteY19" fmla="*/ 25114 h 210334"/>
              <a:gd name="connsiteX20" fmla="*/ 149339 w 257024"/>
              <a:gd name="connsiteY20" fmla="*/ 24777 h 210334"/>
              <a:gd name="connsiteX21" fmla="*/ 149339 w 257024"/>
              <a:gd name="connsiteY21" fmla="*/ 21094 h 210334"/>
              <a:gd name="connsiteX22" fmla="*/ 130825 w 257024"/>
              <a:gd name="connsiteY22" fmla="*/ 94 h 210334"/>
              <a:gd name="connsiteX23" fmla="*/ 128800 w 257024"/>
              <a:gd name="connsiteY23" fmla="*/ 4 h 210334"/>
              <a:gd name="connsiteX24" fmla="*/ 108151 w 257024"/>
              <a:gd name="connsiteY24" fmla="*/ 19680 h 210334"/>
              <a:gd name="connsiteX25" fmla="*/ 108147 w 257024"/>
              <a:gd name="connsiteY25" fmla="*/ 19973 h 210334"/>
              <a:gd name="connsiteX26" fmla="*/ 108147 w 257024"/>
              <a:gd name="connsiteY26" fmla="*/ 24409 h 210334"/>
              <a:gd name="connsiteX27" fmla="*/ 103953 w 257024"/>
              <a:gd name="connsiteY27" fmla="*/ 28830 h 210334"/>
              <a:gd name="connsiteX28" fmla="*/ 103613 w 257024"/>
              <a:gd name="connsiteY28" fmla="*/ 28827 h 210334"/>
              <a:gd name="connsiteX29" fmla="*/ 99835 w 257024"/>
              <a:gd name="connsiteY29" fmla="*/ 28827 h 210334"/>
              <a:gd name="connsiteX30" fmla="*/ 78299 w 257024"/>
              <a:gd name="connsiteY30" fmla="*/ 46868 h 210334"/>
              <a:gd name="connsiteX31" fmla="*/ 96431 w 257024"/>
              <a:gd name="connsiteY31" fmla="*/ 68858 h 210334"/>
              <a:gd name="connsiteX32" fmla="*/ 98702 w 257024"/>
              <a:gd name="connsiteY32" fmla="*/ 68955 h 210334"/>
              <a:gd name="connsiteX33" fmla="*/ 106258 w 257024"/>
              <a:gd name="connsiteY33" fmla="*/ 68955 h 210334"/>
              <a:gd name="connsiteX34" fmla="*/ 107770 w 257024"/>
              <a:gd name="connsiteY34" fmla="*/ 71899 h 210334"/>
              <a:gd name="connsiteX35" fmla="*/ 64319 w 257024"/>
              <a:gd name="connsiteY35" fmla="*/ 88463 h 210334"/>
              <a:gd name="connsiteX36" fmla="*/ 24268 w 257024"/>
              <a:gd name="connsiteY36" fmla="*/ 71899 h 210334"/>
              <a:gd name="connsiteX37" fmla="*/ 25779 w 257024"/>
              <a:gd name="connsiteY37" fmla="*/ 68955 h 210334"/>
              <a:gd name="connsiteX38" fmla="*/ 28802 w 257024"/>
              <a:gd name="connsiteY38" fmla="*/ 68955 h 210334"/>
              <a:gd name="connsiteX39" fmla="*/ 50339 w 257024"/>
              <a:gd name="connsiteY39" fmla="*/ 50914 h 210334"/>
              <a:gd name="connsiteX40" fmla="*/ 32206 w 257024"/>
              <a:gd name="connsiteY40" fmla="*/ 28925 h 210334"/>
              <a:gd name="connsiteX41" fmla="*/ 29936 w 257024"/>
              <a:gd name="connsiteY41" fmla="*/ 28827 h 210334"/>
              <a:gd name="connsiteX42" fmla="*/ 25322 w 257024"/>
              <a:gd name="connsiteY42" fmla="*/ 28827 h 210334"/>
              <a:gd name="connsiteX43" fmla="*/ 24302 w 257024"/>
              <a:gd name="connsiteY43" fmla="*/ 28973 h 210334"/>
              <a:gd name="connsiteX44" fmla="*/ 20788 w 257024"/>
              <a:gd name="connsiteY44" fmla="*/ 25148 h 210334"/>
              <a:gd name="connsiteX45" fmla="*/ 20788 w 257024"/>
              <a:gd name="connsiteY45" fmla="*/ 20730 h 210334"/>
              <a:gd name="connsiteX46" fmla="*/ 2274 w 257024"/>
              <a:gd name="connsiteY46" fmla="*/ 855 h 210334"/>
              <a:gd name="connsiteX47" fmla="*/ 1541 w 257024"/>
              <a:gd name="connsiteY47" fmla="*/ 758 h 210334"/>
              <a:gd name="connsiteX48" fmla="*/ 4 w 257024"/>
              <a:gd name="connsiteY48" fmla="*/ 2075 h 210334"/>
              <a:gd name="connsiteX49" fmla="*/ 7 w 257024"/>
              <a:gd name="connsiteY49" fmla="*/ 2322 h 210334"/>
              <a:gd name="connsiteX50" fmla="*/ 7 w 257024"/>
              <a:gd name="connsiteY50" fmla="*/ 210334 h 210334"/>
              <a:gd name="connsiteX51" fmla="*/ 257022 w 257024"/>
              <a:gd name="connsiteY51" fmla="*/ 210334 h 210334"/>
              <a:gd name="connsiteX52" fmla="*/ 257022 w 257024"/>
              <a:gd name="connsiteY52" fmla="*/ 2322 h 210334"/>
              <a:gd name="connsiteX53" fmla="*/ 255343 w 257024"/>
              <a:gd name="connsiteY53" fmla="*/ 482 h 210334"/>
              <a:gd name="connsiteX54" fmla="*/ 255133 w 257024"/>
              <a:gd name="connsiteY54" fmla="*/ 484 h 210334"/>
              <a:gd name="connsiteX55" fmla="*/ 13231 w 257024"/>
              <a:gd name="connsiteY55" fmla="*/ 20730 h 210334"/>
              <a:gd name="connsiteX56" fmla="*/ 13231 w 257024"/>
              <a:gd name="connsiteY56" fmla="*/ 25148 h 210334"/>
              <a:gd name="connsiteX57" fmla="*/ 24302 w 257024"/>
              <a:gd name="connsiteY57" fmla="*/ 36473 h 210334"/>
              <a:gd name="connsiteX58" fmla="*/ 26093 w 257024"/>
              <a:gd name="connsiteY58" fmla="*/ 36327 h 210334"/>
              <a:gd name="connsiteX59" fmla="*/ 29871 w 257024"/>
              <a:gd name="connsiteY59" fmla="*/ 36327 h 210334"/>
              <a:gd name="connsiteX60" fmla="*/ 39551 w 257024"/>
              <a:gd name="connsiteY60" fmla="*/ 40478 h 210334"/>
              <a:gd name="connsiteX61" fmla="*/ 42767 w 257024"/>
              <a:gd name="connsiteY61" fmla="*/ 50100 h 210334"/>
              <a:gd name="connsiteX62" fmla="*/ 28723 w 257024"/>
              <a:gd name="connsiteY62" fmla="*/ 61459 h 210334"/>
              <a:gd name="connsiteX63" fmla="*/ 25700 w 257024"/>
              <a:gd name="connsiteY63" fmla="*/ 61459 h 210334"/>
              <a:gd name="connsiteX64" fmla="*/ 16783 w 257024"/>
              <a:gd name="connsiteY64" fmla="*/ 67257 h 210334"/>
              <a:gd name="connsiteX65" fmla="*/ 18759 w 257024"/>
              <a:gd name="connsiteY65" fmla="*/ 77119 h 210334"/>
              <a:gd name="connsiteX66" fmla="*/ 64262 w 257024"/>
              <a:gd name="connsiteY66" fmla="*/ 95959 h 210334"/>
              <a:gd name="connsiteX67" fmla="*/ 113003 w 257024"/>
              <a:gd name="connsiteY67" fmla="*/ 77251 h 210334"/>
              <a:gd name="connsiteX68" fmla="*/ 115039 w 257024"/>
              <a:gd name="connsiteY68" fmla="*/ 67369 h 210334"/>
              <a:gd name="connsiteX69" fmla="*/ 106217 w 257024"/>
              <a:gd name="connsiteY69" fmla="*/ 61459 h 210334"/>
              <a:gd name="connsiteX70" fmla="*/ 98660 w 257024"/>
              <a:gd name="connsiteY70" fmla="*/ 61459 h 210334"/>
              <a:gd name="connsiteX71" fmla="*/ 88976 w 257024"/>
              <a:gd name="connsiteY71" fmla="*/ 57308 h 210334"/>
              <a:gd name="connsiteX72" fmla="*/ 85761 w 257024"/>
              <a:gd name="connsiteY72" fmla="*/ 47685 h 210334"/>
              <a:gd name="connsiteX73" fmla="*/ 99790 w 257024"/>
              <a:gd name="connsiteY73" fmla="*/ 36334 h 210334"/>
              <a:gd name="connsiteX74" fmla="*/ 103568 w 257024"/>
              <a:gd name="connsiteY74" fmla="*/ 36334 h 210334"/>
              <a:gd name="connsiteX75" fmla="*/ 115658 w 257024"/>
              <a:gd name="connsiteY75" fmla="*/ 24666 h 210334"/>
              <a:gd name="connsiteX76" fmla="*/ 115659 w 257024"/>
              <a:gd name="connsiteY76" fmla="*/ 24417 h 210334"/>
              <a:gd name="connsiteX77" fmla="*/ 115659 w 257024"/>
              <a:gd name="connsiteY77" fmla="*/ 19992 h 210334"/>
              <a:gd name="connsiteX78" fmla="*/ 119377 w 257024"/>
              <a:gd name="connsiteY78" fmla="*/ 11202 h 210334"/>
              <a:gd name="connsiteX79" fmla="*/ 128755 w 257024"/>
              <a:gd name="connsiteY79" fmla="*/ 7523 h 210334"/>
              <a:gd name="connsiteX80" fmla="*/ 129990 w 257024"/>
              <a:gd name="connsiteY80" fmla="*/ 7572 h 210334"/>
              <a:gd name="connsiteX81" fmla="*/ 141745 w 257024"/>
              <a:gd name="connsiteY81" fmla="*/ 21098 h 210334"/>
              <a:gd name="connsiteX82" fmla="*/ 141745 w 257024"/>
              <a:gd name="connsiteY82" fmla="*/ 24780 h 210334"/>
              <a:gd name="connsiteX83" fmla="*/ 153577 w 257024"/>
              <a:gd name="connsiteY83" fmla="*/ 36699 h 210334"/>
              <a:gd name="connsiteX84" fmla="*/ 153835 w 257024"/>
              <a:gd name="connsiteY84" fmla="*/ 36698 h 210334"/>
              <a:gd name="connsiteX85" fmla="*/ 157614 w 257024"/>
              <a:gd name="connsiteY85" fmla="*/ 36698 h 210334"/>
              <a:gd name="connsiteX86" fmla="*/ 171635 w 257024"/>
              <a:gd name="connsiteY86" fmla="*/ 47926 h 210334"/>
              <a:gd name="connsiteX87" fmla="*/ 168431 w 257024"/>
              <a:gd name="connsiteY87" fmla="*/ 57675 h 210334"/>
              <a:gd name="connsiteX88" fmla="*/ 158751 w 257024"/>
              <a:gd name="connsiteY88" fmla="*/ 61834 h 210334"/>
              <a:gd name="connsiteX89" fmla="*/ 151194 w 257024"/>
              <a:gd name="connsiteY89" fmla="*/ 61834 h 210334"/>
              <a:gd name="connsiteX90" fmla="*/ 142274 w 257024"/>
              <a:gd name="connsiteY90" fmla="*/ 67632 h 210334"/>
              <a:gd name="connsiteX91" fmla="*/ 144287 w 257024"/>
              <a:gd name="connsiteY91" fmla="*/ 77532 h 210334"/>
              <a:gd name="connsiteX92" fmla="*/ 193145 w 257024"/>
              <a:gd name="connsiteY92" fmla="*/ 96345 h 210334"/>
              <a:gd name="connsiteX93" fmla="*/ 238720 w 257024"/>
              <a:gd name="connsiteY93" fmla="*/ 77415 h 210334"/>
              <a:gd name="connsiteX94" fmla="*/ 240537 w 257024"/>
              <a:gd name="connsiteY94" fmla="*/ 67752 h 210334"/>
              <a:gd name="connsiteX95" fmla="*/ 231700 w 257024"/>
              <a:gd name="connsiteY95" fmla="*/ 61834 h 210334"/>
              <a:gd name="connsiteX96" fmla="*/ 228677 w 257024"/>
              <a:gd name="connsiteY96" fmla="*/ 61834 h 210334"/>
              <a:gd name="connsiteX97" fmla="*/ 214656 w 257024"/>
              <a:gd name="connsiteY97" fmla="*/ 50584 h 210334"/>
              <a:gd name="connsiteX98" fmla="*/ 217860 w 257024"/>
              <a:gd name="connsiteY98" fmla="*/ 40834 h 210334"/>
              <a:gd name="connsiteX99" fmla="*/ 227543 w 257024"/>
              <a:gd name="connsiteY99" fmla="*/ 36709 h 210334"/>
              <a:gd name="connsiteX100" fmla="*/ 232078 w 257024"/>
              <a:gd name="connsiteY100" fmla="*/ 36709 h 210334"/>
              <a:gd name="connsiteX101" fmla="*/ 244167 w 257024"/>
              <a:gd name="connsiteY101" fmla="*/ 25048 h 210334"/>
              <a:gd name="connsiteX102" fmla="*/ 244168 w 257024"/>
              <a:gd name="connsiteY102" fmla="*/ 24792 h 210334"/>
              <a:gd name="connsiteX103" fmla="*/ 244168 w 257024"/>
              <a:gd name="connsiteY103" fmla="*/ 20363 h 210334"/>
              <a:gd name="connsiteX104" fmla="*/ 249435 w 257024"/>
              <a:gd name="connsiteY104" fmla="*/ 10313 h 210334"/>
              <a:gd name="connsiteX105" fmla="*/ 249462 w 257024"/>
              <a:gd name="connsiteY105" fmla="*/ 10309 h 210334"/>
              <a:gd name="connsiteX106" fmla="*/ 249466 w 257024"/>
              <a:gd name="connsiteY106" fmla="*/ 10313 h 210334"/>
              <a:gd name="connsiteX107" fmla="*/ 249466 w 257024"/>
              <a:gd name="connsiteY107" fmla="*/ 116584 h 210334"/>
              <a:gd name="connsiteX108" fmla="*/ 7564 w 257024"/>
              <a:gd name="connsiteY108" fmla="*/ 116584 h 210334"/>
              <a:gd name="connsiteX109" fmla="*/ 7564 w 257024"/>
              <a:gd name="connsiteY109" fmla="*/ 10392 h 210334"/>
              <a:gd name="connsiteX110" fmla="*/ 7590 w 257024"/>
              <a:gd name="connsiteY110" fmla="*/ 10388 h 210334"/>
              <a:gd name="connsiteX111" fmla="*/ 7594 w 257024"/>
              <a:gd name="connsiteY111" fmla="*/ 10392 h 210334"/>
              <a:gd name="connsiteX112" fmla="*/ 13231 w 257024"/>
              <a:gd name="connsiteY112" fmla="*/ 20730 h 210334"/>
              <a:gd name="connsiteX113" fmla="*/ 249466 w 257024"/>
              <a:gd name="connsiteY113" fmla="*/ 124084 h 210334"/>
              <a:gd name="connsiteX114" fmla="*/ 249466 w 257024"/>
              <a:gd name="connsiteY114" fmla="*/ 135334 h 210334"/>
              <a:gd name="connsiteX115" fmla="*/ 7564 w 257024"/>
              <a:gd name="connsiteY115" fmla="*/ 135334 h 210334"/>
              <a:gd name="connsiteX116" fmla="*/ 7564 w 257024"/>
              <a:gd name="connsiteY116" fmla="*/ 124084 h 210334"/>
              <a:gd name="connsiteX117" fmla="*/ 7564 w 257024"/>
              <a:gd name="connsiteY117" fmla="*/ 202834 h 210334"/>
              <a:gd name="connsiteX118" fmla="*/ 7564 w 257024"/>
              <a:gd name="connsiteY118" fmla="*/ 142834 h 210334"/>
              <a:gd name="connsiteX119" fmla="*/ 249466 w 257024"/>
              <a:gd name="connsiteY119" fmla="*/ 142834 h 210334"/>
              <a:gd name="connsiteX120" fmla="*/ 249466 w 257024"/>
              <a:gd name="connsiteY120" fmla="*/ 202834 h 2103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</a:cxnLst>
            <a:rect l="l" t="t" r="r" b="b"/>
            <a:pathLst>
              <a:path w="257024" h="210334">
                <a:moveTo>
                  <a:pt x="255133" y="484"/>
                </a:moveTo>
                <a:cubicBezTo>
                  <a:pt x="244723" y="1383"/>
                  <a:pt x="236706" y="9988"/>
                  <a:pt x="236619" y="20359"/>
                </a:cubicBezTo>
                <a:lnTo>
                  <a:pt x="236619" y="24777"/>
                </a:lnTo>
                <a:cubicBezTo>
                  <a:pt x="236691" y="27147"/>
                  <a:pt x="234813" y="29126"/>
                  <a:pt x="232425" y="29197"/>
                </a:cubicBezTo>
                <a:cubicBezTo>
                  <a:pt x="232311" y="29201"/>
                  <a:pt x="232198" y="29200"/>
                  <a:pt x="232085" y="29194"/>
                </a:cubicBezTo>
                <a:lnTo>
                  <a:pt x="227551" y="29194"/>
                </a:lnTo>
                <a:cubicBezTo>
                  <a:pt x="216371" y="29052"/>
                  <a:pt x="207193" y="37932"/>
                  <a:pt x="207049" y="49028"/>
                </a:cubicBezTo>
                <a:cubicBezTo>
                  <a:pt x="207040" y="49781"/>
                  <a:pt x="207073" y="50533"/>
                  <a:pt x="207148" y="51282"/>
                </a:cubicBezTo>
                <a:cubicBezTo>
                  <a:pt x="208689" y="61839"/>
                  <a:pt x="217939" y="69587"/>
                  <a:pt x="228685" y="69319"/>
                </a:cubicBezTo>
                <a:lnTo>
                  <a:pt x="231707" y="69319"/>
                </a:lnTo>
                <a:cubicBezTo>
                  <a:pt x="233219" y="69319"/>
                  <a:pt x="234352" y="71160"/>
                  <a:pt x="233219" y="72263"/>
                </a:cubicBezTo>
                <a:cubicBezTo>
                  <a:pt x="222759" y="83056"/>
                  <a:pt x="208255" y="89055"/>
                  <a:pt x="193168" y="88830"/>
                </a:cubicBezTo>
                <a:cubicBezTo>
                  <a:pt x="176921" y="88830"/>
                  <a:pt x="159541" y="82204"/>
                  <a:pt x="149717" y="72263"/>
                </a:cubicBezTo>
                <a:cubicBezTo>
                  <a:pt x="148583" y="71160"/>
                  <a:pt x="149339" y="69319"/>
                  <a:pt x="151228" y="69319"/>
                </a:cubicBezTo>
                <a:lnTo>
                  <a:pt x="158785" y="69319"/>
                </a:lnTo>
                <a:cubicBezTo>
                  <a:pt x="169965" y="69461"/>
                  <a:pt x="179144" y="60581"/>
                  <a:pt x="179287" y="49485"/>
                </a:cubicBezTo>
                <a:cubicBezTo>
                  <a:pt x="179296" y="48733"/>
                  <a:pt x="179263" y="47981"/>
                  <a:pt x="179188" y="47232"/>
                </a:cubicBezTo>
                <a:cubicBezTo>
                  <a:pt x="177649" y="36673"/>
                  <a:pt x="168398" y="28925"/>
                  <a:pt x="157651" y="29194"/>
                </a:cubicBezTo>
                <a:lnTo>
                  <a:pt x="153873" y="29194"/>
                </a:lnTo>
                <a:cubicBezTo>
                  <a:pt x="151487" y="29309"/>
                  <a:pt x="149458" y="27482"/>
                  <a:pt x="149342" y="25114"/>
                </a:cubicBezTo>
                <a:cubicBezTo>
                  <a:pt x="149337" y="25001"/>
                  <a:pt x="149336" y="24889"/>
                  <a:pt x="149339" y="24777"/>
                </a:cubicBezTo>
                <a:lnTo>
                  <a:pt x="149339" y="21094"/>
                </a:lnTo>
                <a:cubicBezTo>
                  <a:pt x="149458" y="10436"/>
                  <a:pt x="141485" y="1392"/>
                  <a:pt x="130825" y="94"/>
                </a:cubicBezTo>
                <a:cubicBezTo>
                  <a:pt x="130145" y="34"/>
                  <a:pt x="129465" y="4"/>
                  <a:pt x="128800" y="4"/>
                </a:cubicBezTo>
                <a:cubicBezTo>
                  <a:pt x="117624" y="-222"/>
                  <a:pt x="108379" y="8587"/>
                  <a:pt x="108151" y="19680"/>
                </a:cubicBezTo>
                <a:cubicBezTo>
                  <a:pt x="108149" y="19778"/>
                  <a:pt x="108148" y="19875"/>
                  <a:pt x="108147" y="19973"/>
                </a:cubicBezTo>
                <a:lnTo>
                  <a:pt x="108147" y="24409"/>
                </a:lnTo>
                <a:cubicBezTo>
                  <a:pt x="108219" y="26780"/>
                  <a:pt x="106341" y="28759"/>
                  <a:pt x="103953" y="28830"/>
                </a:cubicBezTo>
                <a:cubicBezTo>
                  <a:pt x="103840" y="28833"/>
                  <a:pt x="103726" y="28832"/>
                  <a:pt x="103613" y="28827"/>
                </a:cubicBezTo>
                <a:lnTo>
                  <a:pt x="99835" y="28827"/>
                </a:lnTo>
                <a:cubicBezTo>
                  <a:pt x="89089" y="28559"/>
                  <a:pt x="79838" y="36309"/>
                  <a:pt x="78299" y="46868"/>
                </a:cubicBezTo>
                <a:cubicBezTo>
                  <a:pt x="77187" y="57910"/>
                  <a:pt x="85305" y="67755"/>
                  <a:pt x="96431" y="68858"/>
                </a:cubicBezTo>
                <a:cubicBezTo>
                  <a:pt x="97185" y="68933"/>
                  <a:pt x="97944" y="68965"/>
                  <a:pt x="98702" y="68955"/>
                </a:cubicBezTo>
                <a:lnTo>
                  <a:pt x="106258" y="68955"/>
                </a:lnTo>
                <a:cubicBezTo>
                  <a:pt x="107770" y="68955"/>
                  <a:pt x="108903" y="70797"/>
                  <a:pt x="107770" y="71899"/>
                </a:cubicBezTo>
                <a:cubicBezTo>
                  <a:pt x="97946" y="81837"/>
                  <a:pt x="80566" y="88463"/>
                  <a:pt x="64319" y="88463"/>
                </a:cubicBezTo>
                <a:cubicBezTo>
                  <a:pt x="49247" y="88612"/>
                  <a:pt x="34773" y="82626"/>
                  <a:pt x="24268" y="71899"/>
                </a:cubicBezTo>
                <a:cubicBezTo>
                  <a:pt x="23135" y="70797"/>
                  <a:pt x="23890" y="68955"/>
                  <a:pt x="25779" y="68955"/>
                </a:cubicBezTo>
                <a:lnTo>
                  <a:pt x="28802" y="68955"/>
                </a:lnTo>
                <a:cubicBezTo>
                  <a:pt x="39548" y="69221"/>
                  <a:pt x="48798" y="61473"/>
                  <a:pt x="50339" y="50914"/>
                </a:cubicBezTo>
                <a:cubicBezTo>
                  <a:pt x="51450" y="39872"/>
                  <a:pt x="43332" y="30027"/>
                  <a:pt x="32206" y="28925"/>
                </a:cubicBezTo>
                <a:cubicBezTo>
                  <a:pt x="31452" y="28850"/>
                  <a:pt x="30694" y="28817"/>
                  <a:pt x="29936" y="28827"/>
                </a:cubicBezTo>
                <a:lnTo>
                  <a:pt x="25322" y="28827"/>
                </a:lnTo>
                <a:cubicBezTo>
                  <a:pt x="24991" y="28923"/>
                  <a:pt x="24647" y="28972"/>
                  <a:pt x="24302" y="28973"/>
                </a:cubicBezTo>
                <a:cubicBezTo>
                  <a:pt x="22275" y="28864"/>
                  <a:pt x="20711" y="27161"/>
                  <a:pt x="20788" y="25148"/>
                </a:cubicBezTo>
                <a:lnTo>
                  <a:pt x="20788" y="20730"/>
                </a:lnTo>
                <a:cubicBezTo>
                  <a:pt x="20688" y="10364"/>
                  <a:pt x="12679" y="1766"/>
                  <a:pt x="2274" y="855"/>
                </a:cubicBezTo>
                <a:cubicBezTo>
                  <a:pt x="2035" y="795"/>
                  <a:pt x="1789" y="762"/>
                  <a:pt x="1541" y="758"/>
                </a:cubicBezTo>
                <a:cubicBezTo>
                  <a:pt x="750" y="700"/>
                  <a:pt x="62" y="1290"/>
                  <a:pt x="4" y="2075"/>
                </a:cubicBezTo>
                <a:cubicBezTo>
                  <a:pt x="-2" y="2157"/>
                  <a:pt x="-1" y="2240"/>
                  <a:pt x="7" y="2322"/>
                </a:cubicBezTo>
                <a:lnTo>
                  <a:pt x="7" y="210334"/>
                </a:lnTo>
                <a:lnTo>
                  <a:pt x="257022" y="210334"/>
                </a:lnTo>
                <a:lnTo>
                  <a:pt x="257022" y="2322"/>
                </a:lnTo>
                <a:cubicBezTo>
                  <a:pt x="257071" y="1353"/>
                  <a:pt x="256319" y="530"/>
                  <a:pt x="255343" y="482"/>
                </a:cubicBezTo>
                <a:cubicBezTo>
                  <a:pt x="255274" y="479"/>
                  <a:pt x="255203" y="479"/>
                  <a:pt x="255133" y="484"/>
                </a:cubicBezTo>
                <a:close/>
                <a:moveTo>
                  <a:pt x="13231" y="20730"/>
                </a:moveTo>
                <a:lnTo>
                  <a:pt x="13231" y="25148"/>
                </a:lnTo>
                <a:cubicBezTo>
                  <a:pt x="13145" y="31306"/>
                  <a:pt x="18097" y="36372"/>
                  <a:pt x="24302" y="36473"/>
                </a:cubicBezTo>
                <a:cubicBezTo>
                  <a:pt x="24902" y="36473"/>
                  <a:pt x="25501" y="36424"/>
                  <a:pt x="26093" y="36327"/>
                </a:cubicBezTo>
                <a:lnTo>
                  <a:pt x="29871" y="36327"/>
                </a:lnTo>
                <a:cubicBezTo>
                  <a:pt x="33547" y="36278"/>
                  <a:pt x="37068" y="37788"/>
                  <a:pt x="39551" y="40478"/>
                </a:cubicBezTo>
                <a:cubicBezTo>
                  <a:pt x="41947" y="43089"/>
                  <a:pt x="43116" y="46586"/>
                  <a:pt x="42767" y="50100"/>
                </a:cubicBezTo>
                <a:cubicBezTo>
                  <a:pt x="41619" y="56847"/>
                  <a:pt x="35612" y="61705"/>
                  <a:pt x="28723" y="61459"/>
                </a:cubicBezTo>
                <a:lnTo>
                  <a:pt x="25700" y="61459"/>
                </a:lnTo>
                <a:cubicBezTo>
                  <a:pt x="21814" y="61404"/>
                  <a:pt x="18285" y="63699"/>
                  <a:pt x="16783" y="67257"/>
                </a:cubicBezTo>
                <a:cubicBezTo>
                  <a:pt x="15392" y="70640"/>
                  <a:pt x="16170" y="74521"/>
                  <a:pt x="18759" y="77119"/>
                </a:cubicBezTo>
                <a:cubicBezTo>
                  <a:pt x="30693" y="89310"/>
                  <a:pt x="47137" y="96118"/>
                  <a:pt x="64262" y="95959"/>
                </a:cubicBezTo>
                <a:cubicBezTo>
                  <a:pt x="82644" y="95959"/>
                  <a:pt x="101823" y="88575"/>
                  <a:pt x="113003" y="77251"/>
                </a:cubicBezTo>
                <a:cubicBezTo>
                  <a:pt x="115652" y="74679"/>
                  <a:pt x="116458" y="70767"/>
                  <a:pt x="115039" y="67369"/>
                </a:cubicBezTo>
                <a:cubicBezTo>
                  <a:pt x="113558" y="63822"/>
                  <a:pt x="110085" y="61496"/>
                  <a:pt x="106217" y="61459"/>
                </a:cubicBezTo>
                <a:lnTo>
                  <a:pt x="98660" y="61459"/>
                </a:lnTo>
                <a:cubicBezTo>
                  <a:pt x="94984" y="61505"/>
                  <a:pt x="91463" y="59995"/>
                  <a:pt x="88976" y="57308"/>
                </a:cubicBezTo>
                <a:cubicBezTo>
                  <a:pt x="86582" y="54696"/>
                  <a:pt x="85414" y="51200"/>
                  <a:pt x="85761" y="47685"/>
                </a:cubicBezTo>
                <a:cubicBezTo>
                  <a:pt x="86914" y="40949"/>
                  <a:pt x="92910" y="36099"/>
                  <a:pt x="99790" y="36334"/>
                </a:cubicBezTo>
                <a:lnTo>
                  <a:pt x="103568" y="36334"/>
                </a:lnTo>
                <a:cubicBezTo>
                  <a:pt x="110153" y="36425"/>
                  <a:pt x="115566" y="31201"/>
                  <a:pt x="115658" y="24666"/>
                </a:cubicBezTo>
                <a:cubicBezTo>
                  <a:pt x="115659" y="24583"/>
                  <a:pt x="115660" y="24500"/>
                  <a:pt x="115659" y="24417"/>
                </a:cubicBezTo>
                <a:lnTo>
                  <a:pt x="115659" y="19992"/>
                </a:lnTo>
                <a:cubicBezTo>
                  <a:pt x="115643" y="16682"/>
                  <a:pt x="116985" y="13508"/>
                  <a:pt x="119377" y="11202"/>
                </a:cubicBezTo>
                <a:cubicBezTo>
                  <a:pt x="121897" y="8804"/>
                  <a:pt x="125264" y="7483"/>
                  <a:pt x="128755" y="7523"/>
                </a:cubicBezTo>
                <a:cubicBezTo>
                  <a:pt x="129200" y="7523"/>
                  <a:pt x="129654" y="7545"/>
                  <a:pt x="129990" y="7572"/>
                </a:cubicBezTo>
                <a:cubicBezTo>
                  <a:pt x="136783" y="8496"/>
                  <a:pt x="141821" y="14293"/>
                  <a:pt x="141745" y="21098"/>
                </a:cubicBezTo>
                <a:lnTo>
                  <a:pt x="141745" y="24780"/>
                </a:lnTo>
                <a:cubicBezTo>
                  <a:pt x="141696" y="31314"/>
                  <a:pt x="146994" y="36651"/>
                  <a:pt x="153577" y="36699"/>
                </a:cubicBezTo>
                <a:cubicBezTo>
                  <a:pt x="153663" y="36699"/>
                  <a:pt x="153749" y="36699"/>
                  <a:pt x="153835" y="36698"/>
                </a:cubicBezTo>
                <a:lnTo>
                  <a:pt x="157614" y="36698"/>
                </a:lnTo>
                <a:cubicBezTo>
                  <a:pt x="164454" y="36449"/>
                  <a:pt x="170434" y="41237"/>
                  <a:pt x="171635" y="47926"/>
                </a:cubicBezTo>
                <a:cubicBezTo>
                  <a:pt x="172013" y="51480"/>
                  <a:pt x="170848" y="55026"/>
                  <a:pt x="168431" y="57675"/>
                </a:cubicBezTo>
                <a:cubicBezTo>
                  <a:pt x="165948" y="60366"/>
                  <a:pt x="162427" y="61878"/>
                  <a:pt x="158751" y="61834"/>
                </a:cubicBezTo>
                <a:lnTo>
                  <a:pt x="151194" y="61834"/>
                </a:lnTo>
                <a:cubicBezTo>
                  <a:pt x="147308" y="61781"/>
                  <a:pt x="143778" y="64075"/>
                  <a:pt x="142274" y="67632"/>
                </a:cubicBezTo>
                <a:cubicBezTo>
                  <a:pt x="140864" y="71032"/>
                  <a:pt x="141659" y="74940"/>
                  <a:pt x="144287" y="77532"/>
                </a:cubicBezTo>
                <a:cubicBezTo>
                  <a:pt x="155585" y="88958"/>
                  <a:pt x="174764" y="96345"/>
                  <a:pt x="193145" y="96345"/>
                </a:cubicBezTo>
                <a:cubicBezTo>
                  <a:pt x="210319" y="96554"/>
                  <a:pt x="226815" y="89702"/>
                  <a:pt x="238720" y="77415"/>
                </a:cubicBezTo>
                <a:cubicBezTo>
                  <a:pt x="241201" y="74836"/>
                  <a:pt x="241914" y="71046"/>
                  <a:pt x="240537" y="67752"/>
                </a:cubicBezTo>
                <a:cubicBezTo>
                  <a:pt x="239056" y="64197"/>
                  <a:pt x="235576" y="61866"/>
                  <a:pt x="231700" y="61834"/>
                </a:cubicBezTo>
                <a:lnTo>
                  <a:pt x="228677" y="61834"/>
                </a:lnTo>
                <a:cubicBezTo>
                  <a:pt x="221830" y="62080"/>
                  <a:pt x="215848" y="57280"/>
                  <a:pt x="214656" y="50584"/>
                </a:cubicBezTo>
                <a:cubicBezTo>
                  <a:pt x="214277" y="47030"/>
                  <a:pt x="215443" y="43484"/>
                  <a:pt x="217860" y="40834"/>
                </a:cubicBezTo>
                <a:cubicBezTo>
                  <a:pt x="220351" y="38156"/>
                  <a:pt x="223872" y="36656"/>
                  <a:pt x="227543" y="36709"/>
                </a:cubicBezTo>
                <a:lnTo>
                  <a:pt x="232078" y="36709"/>
                </a:lnTo>
                <a:cubicBezTo>
                  <a:pt x="238661" y="36803"/>
                  <a:pt x="244073" y="31582"/>
                  <a:pt x="244167" y="25048"/>
                </a:cubicBezTo>
                <a:cubicBezTo>
                  <a:pt x="244169" y="24963"/>
                  <a:pt x="244169" y="24877"/>
                  <a:pt x="244168" y="24792"/>
                </a:cubicBezTo>
                <a:lnTo>
                  <a:pt x="244168" y="20363"/>
                </a:lnTo>
                <a:cubicBezTo>
                  <a:pt x="244152" y="16357"/>
                  <a:pt x="246121" y="12599"/>
                  <a:pt x="249435" y="10313"/>
                </a:cubicBezTo>
                <a:cubicBezTo>
                  <a:pt x="249442" y="10305"/>
                  <a:pt x="249453" y="10303"/>
                  <a:pt x="249462" y="10309"/>
                </a:cubicBezTo>
                <a:cubicBezTo>
                  <a:pt x="249463" y="10310"/>
                  <a:pt x="249464" y="10311"/>
                  <a:pt x="249466" y="10313"/>
                </a:cubicBezTo>
                <a:lnTo>
                  <a:pt x="249466" y="116584"/>
                </a:lnTo>
                <a:lnTo>
                  <a:pt x="7564" y="116584"/>
                </a:lnTo>
                <a:lnTo>
                  <a:pt x="7564" y="10392"/>
                </a:lnTo>
                <a:cubicBezTo>
                  <a:pt x="7570" y="10383"/>
                  <a:pt x="7582" y="10382"/>
                  <a:pt x="7590" y="10388"/>
                </a:cubicBezTo>
                <a:cubicBezTo>
                  <a:pt x="7592" y="10389"/>
                  <a:pt x="7593" y="10390"/>
                  <a:pt x="7594" y="10392"/>
                </a:cubicBezTo>
                <a:cubicBezTo>
                  <a:pt x="11073" y="12707"/>
                  <a:pt x="13181" y="16574"/>
                  <a:pt x="13231" y="20730"/>
                </a:cubicBezTo>
                <a:close/>
                <a:moveTo>
                  <a:pt x="249466" y="124084"/>
                </a:moveTo>
                <a:lnTo>
                  <a:pt x="249466" y="135334"/>
                </a:lnTo>
                <a:lnTo>
                  <a:pt x="7564" y="135334"/>
                </a:lnTo>
                <a:lnTo>
                  <a:pt x="7564" y="124084"/>
                </a:lnTo>
                <a:close/>
                <a:moveTo>
                  <a:pt x="7564" y="202834"/>
                </a:moveTo>
                <a:lnTo>
                  <a:pt x="7564" y="142834"/>
                </a:lnTo>
                <a:lnTo>
                  <a:pt x="249466" y="142834"/>
                </a:lnTo>
                <a:lnTo>
                  <a:pt x="249466" y="202834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59" name="Freeform: Shape 458">
            <a:extLst>
              <a:ext uri="{FF2B5EF4-FFF2-40B4-BE49-F238E27FC236}">
                <a16:creationId xmlns:a16="http://schemas.microsoft.com/office/drawing/2014/main" id="{1EE656EB-D94A-4D7C-913B-2A10C38D389D}"/>
              </a:ext>
            </a:extLst>
          </xdr:cNvPr>
          <xdr:cNvSpPr/>
        </xdr:nvSpPr>
        <xdr:spPr>
          <a:xfrm>
            <a:off x="15092953" y="9737300"/>
            <a:ext cx="30229" cy="30005"/>
          </a:xfrm>
          <a:custGeom>
            <a:avLst/>
            <a:gdLst>
              <a:gd name="connsiteX0" fmla="*/ 12159 w 30229"/>
              <a:gd name="connsiteY0" fmla="*/ 29714 h 30005"/>
              <a:gd name="connsiteX1" fmla="*/ 29935 w 30229"/>
              <a:gd name="connsiteY1" fmla="*/ 17935 h 30005"/>
              <a:gd name="connsiteX2" fmla="*/ 18068 w 30229"/>
              <a:gd name="connsiteY2" fmla="*/ 292 h 30005"/>
              <a:gd name="connsiteX3" fmla="*/ 292 w 30229"/>
              <a:gd name="connsiteY3" fmla="*/ 12071 h 30005"/>
              <a:gd name="connsiteX4" fmla="*/ 292 w 30229"/>
              <a:gd name="connsiteY4" fmla="*/ 17935 h 30005"/>
              <a:gd name="connsiteX5" fmla="*/ 12159 w 30229"/>
              <a:gd name="connsiteY5" fmla="*/ 29714 h 30005"/>
              <a:gd name="connsiteX6" fmla="*/ 13074 w 30229"/>
              <a:gd name="connsiteY6" fmla="*/ 7765 h 30005"/>
              <a:gd name="connsiteX7" fmla="*/ 22408 w 30229"/>
              <a:gd name="connsiteY7" fmla="*/ 12995 h 30005"/>
              <a:gd name="connsiteX8" fmla="*/ 22406 w 30229"/>
              <a:gd name="connsiteY8" fmla="*/ 17035 h 30005"/>
              <a:gd name="connsiteX9" fmla="*/ 17170 w 30229"/>
              <a:gd name="connsiteY9" fmla="*/ 22225 h 30005"/>
              <a:gd name="connsiteX10" fmla="*/ 7835 w 30229"/>
              <a:gd name="connsiteY10" fmla="*/ 16995 h 30005"/>
              <a:gd name="connsiteX11" fmla="*/ 7837 w 30229"/>
              <a:gd name="connsiteY11" fmla="*/ 12955 h 30005"/>
              <a:gd name="connsiteX12" fmla="*/ 13074 w 30229"/>
              <a:gd name="connsiteY12" fmla="*/ 7772 h 300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30229" h="30005">
                <a:moveTo>
                  <a:pt x="12159" y="29714"/>
                </a:moveTo>
                <a:cubicBezTo>
                  <a:pt x="20345" y="31333"/>
                  <a:pt x="28304" y="26059"/>
                  <a:pt x="29935" y="17935"/>
                </a:cubicBezTo>
                <a:cubicBezTo>
                  <a:pt x="31567" y="9810"/>
                  <a:pt x="26253" y="1911"/>
                  <a:pt x="18068" y="292"/>
                </a:cubicBezTo>
                <a:cubicBezTo>
                  <a:pt x="9882" y="-1327"/>
                  <a:pt x="1923" y="3947"/>
                  <a:pt x="292" y="12071"/>
                </a:cubicBezTo>
                <a:cubicBezTo>
                  <a:pt x="-97" y="14007"/>
                  <a:pt x="-97" y="15999"/>
                  <a:pt x="292" y="17935"/>
                </a:cubicBezTo>
                <a:cubicBezTo>
                  <a:pt x="1493" y="23877"/>
                  <a:pt x="6173" y="28521"/>
                  <a:pt x="12159" y="29714"/>
                </a:cubicBezTo>
                <a:close/>
                <a:moveTo>
                  <a:pt x="13074" y="7765"/>
                </a:moveTo>
                <a:cubicBezTo>
                  <a:pt x="17106" y="6651"/>
                  <a:pt x="21286" y="8992"/>
                  <a:pt x="22408" y="12995"/>
                </a:cubicBezTo>
                <a:cubicBezTo>
                  <a:pt x="22778" y="14316"/>
                  <a:pt x="22778" y="15713"/>
                  <a:pt x="22406" y="17035"/>
                </a:cubicBezTo>
                <a:cubicBezTo>
                  <a:pt x="21711" y="19564"/>
                  <a:pt x="19718" y="21538"/>
                  <a:pt x="17170" y="22225"/>
                </a:cubicBezTo>
                <a:cubicBezTo>
                  <a:pt x="13137" y="23339"/>
                  <a:pt x="8958" y="20997"/>
                  <a:pt x="7835" y="16995"/>
                </a:cubicBezTo>
                <a:cubicBezTo>
                  <a:pt x="7465" y="15673"/>
                  <a:pt x="7465" y="14276"/>
                  <a:pt x="7837" y="12955"/>
                </a:cubicBezTo>
                <a:cubicBezTo>
                  <a:pt x="8536" y="10430"/>
                  <a:pt x="10528" y="8459"/>
                  <a:pt x="13074" y="777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60" name="Freeform: Shape 459">
            <a:extLst>
              <a:ext uri="{FF2B5EF4-FFF2-40B4-BE49-F238E27FC236}">
                <a16:creationId xmlns:a16="http://schemas.microsoft.com/office/drawing/2014/main" id="{9E44E44A-F0FB-4DCC-A945-5473E83B87FD}"/>
              </a:ext>
            </a:extLst>
          </xdr:cNvPr>
          <xdr:cNvSpPr/>
        </xdr:nvSpPr>
        <xdr:spPr>
          <a:xfrm>
            <a:off x="15017399" y="9861041"/>
            <a:ext cx="30229" cy="30005"/>
          </a:xfrm>
          <a:custGeom>
            <a:avLst/>
            <a:gdLst>
              <a:gd name="connsiteX0" fmla="*/ 18070 w 30229"/>
              <a:gd name="connsiteY0" fmla="*/ 292 h 30005"/>
              <a:gd name="connsiteX1" fmla="*/ 294 w 30229"/>
              <a:gd name="connsiteY1" fmla="*/ 12071 h 30005"/>
              <a:gd name="connsiteX2" fmla="*/ 12162 w 30229"/>
              <a:gd name="connsiteY2" fmla="*/ 29714 h 30005"/>
              <a:gd name="connsiteX3" fmla="*/ 29938 w 30229"/>
              <a:gd name="connsiteY3" fmla="*/ 17935 h 30005"/>
              <a:gd name="connsiteX4" fmla="*/ 29938 w 30229"/>
              <a:gd name="connsiteY4" fmla="*/ 12071 h 30005"/>
              <a:gd name="connsiteX5" fmla="*/ 18070 w 30229"/>
              <a:gd name="connsiteY5" fmla="*/ 292 h 30005"/>
              <a:gd name="connsiteX6" fmla="*/ 17156 w 30229"/>
              <a:gd name="connsiteY6" fmla="*/ 22241 h 30005"/>
              <a:gd name="connsiteX7" fmla="*/ 7822 w 30229"/>
              <a:gd name="connsiteY7" fmla="*/ 17011 h 30005"/>
              <a:gd name="connsiteX8" fmla="*/ 7824 w 30229"/>
              <a:gd name="connsiteY8" fmla="*/ 12971 h 30005"/>
              <a:gd name="connsiteX9" fmla="*/ 13060 w 30229"/>
              <a:gd name="connsiteY9" fmla="*/ 7781 h 30005"/>
              <a:gd name="connsiteX10" fmla="*/ 22394 w 30229"/>
              <a:gd name="connsiteY10" fmla="*/ 13011 h 30005"/>
              <a:gd name="connsiteX11" fmla="*/ 22393 w 30229"/>
              <a:gd name="connsiteY11" fmla="*/ 17051 h 30005"/>
              <a:gd name="connsiteX12" fmla="*/ 17156 w 30229"/>
              <a:gd name="connsiteY12" fmla="*/ 22241 h 300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30229" h="30005">
                <a:moveTo>
                  <a:pt x="18070" y="292"/>
                </a:moveTo>
                <a:cubicBezTo>
                  <a:pt x="9885" y="-1327"/>
                  <a:pt x="1926" y="3947"/>
                  <a:pt x="294" y="12071"/>
                </a:cubicBezTo>
                <a:cubicBezTo>
                  <a:pt x="-1337" y="20195"/>
                  <a:pt x="3976" y="28094"/>
                  <a:pt x="12162" y="29714"/>
                </a:cubicBezTo>
                <a:cubicBezTo>
                  <a:pt x="20348" y="31333"/>
                  <a:pt x="28307" y="26059"/>
                  <a:pt x="29938" y="17935"/>
                </a:cubicBezTo>
                <a:cubicBezTo>
                  <a:pt x="30327" y="15999"/>
                  <a:pt x="30327" y="14007"/>
                  <a:pt x="29938" y="12071"/>
                </a:cubicBezTo>
                <a:cubicBezTo>
                  <a:pt x="28736" y="6129"/>
                  <a:pt x="24057" y="1485"/>
                  <a:pt x="18070" y="292"/>
                </a:cubicBezTo>
                <a:close/>
                <a:moveTo>
                  <a:pt x="17156" y="22241"/>
                </a:moveTo>
                <a:cubicBezTo>
                  <a:pt x="13123" y="23355"/>
                  <a:pt x="8944" y="21014"/>
                  <a:pt x="7822" y="17011"/>
                </a:cubicBezTo>
                <a:cubicBezTo>
                  <a:pt x="7451" y="15689"/>
                  <a:pt x="7452" y="14292"/>
                  <a:pt x="7824" y="12971"/>
                </a:cubicBezTo>
                <a:cubicBezTo>
                  <a:pt x="8520" y="10443"/>
                  <a:pt x="10512" y="8469"/>
                  <a:pt x="13060" y="7781"/>
                </a:cubicBezTo>
                <a:cubicBezTo>
                  <a:pt x="17093" y="6667"/>
                  <a:pt x="21272" y="9008"/>
                  <a:pt x="22394" y="13011"/>
                </a:cubicBezTo>
                <a:cubicBezTo>
                  <a:pt x="22765" y="14333"/>
                  <a:pt x="22765" y="15729"/>
                  <a:pt x="22393" y="17051"/>
                </a:cubicBezTo>
                <a:cubicBezTo>
                  <a:pt x="21698" y="19580"/>
                  <a:pt x="19705" y="21554"/>
                  <a:pt x="17156" y="2224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61" name="Freeform: Shape 460">
            <a:extLst>
              <a:ext uri="{FF2B5EF4-FFF2-40B4-BE49-F238E27FC236}">
                <a16:creationId xmlns:a16="http://schemas.microsoft.com/office/drawing/2014/main" id="{2116B825-27B8-436A-AA6A-4A58FD5096A2}"/>
              </a:ext>
            </a:extLst>
          </xdr:cNvPr>
          <xdr:cNvSpPr/>
        </xdr:nvSpPr>
        <xdr:spPr>
          <a:xfrm>
            <a:off x="15092966" y="9861041"/>
            <a:ext cx="30229" cy="30005"/>
          </a:xfrm>
          <a:custGeom>
            <a:avLst/>
            <a:gdLst>
              <a:gd name="connsiteX0" fmla="*/ 18070 w 30229"/>
              <a:gd name="connsiteY0" fmla="*/ 292 h 30005"/>
              <a:gd name="connsiteX1" fmla="*/ 294 w 30229"/>
              <a:gd name="connsiteY1" fmla="*/ 12071 h 30005"/>
              <a:gd name="connsiteX2" fmla="*/ 12162 w 30229"/>
              <a:gd name="connsiteY2" fmla="*/ 29714 h 30005"/>
              <a:gd name="connsiteX3" fmla="*/ 29938 w 30229"/>
              <a:gd name="connsiteY3" fmla="*/ 17935 h 30005"/>
              <a:gd name="connsiteX4" fmla="*/ 29938 w 30229"/>
              <a:gd name="connsiteY4" fmla="*/ 12071 h 30005"/>
              <a:gd name="connsiteX5" fmla="*/ 18070 w 30229"/>
              <a:gd name="connsiteY5" fmla="*/ 292 h 30005"/>
              <a:gd name="connsiteX6" fmla="*/ 17156 w 30229"/>
              <a:gd name="connsiteY6" fmla="*/ 22241 h 30005"/>
              <a:gd name="connsiteX7" fmla="*/ 7822 w 30229"/>
              <a:gd name="connsiteY7" fmla="*/ 17011 h 30005"/>
              <a:gd name="connsiteX8" fmla="*/ 7824 w 30229"/>
              <a:gd name="connsiteY8" fmla="*/ 12971 h 30005"/>
              <a:gd name="connsiteX9" fmla="*/ 13060 w 30229"/>
              <a:gd name="connsiteY9" fmla="*/ 7781 h 30005"/>
              <a:gd name="connsiteX10" fmla="*/ 22394 w 30229"/>
              <a:gd name="connsiteY10" fmla="*/ 13011 h 30005"/>
              <a:gd name="connsiteX11" fmla="*/ 22393 w 30229"/>
              <a:gd name="connsiteY11" fmla="*/ 17051 h 30005"/>
              <a:gd name="connsiteX12" fmla="*/ 17156 w 30229"/>
              <a:gd name="connsiteY12" fmla="*/ 22241 h 300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30229" h="30005">
                <a:moveTo>
                  <a:pt x="18070" y="292"/>
                </a:moveTo>
                <a:cubicBezTo>
                  <a:pt x="9885" y="-1327"/>
                  <a:pt x="1926" y="3947"/>
                  <a:pt x="294" y="12071"/>
                </a:cubicBezTo>
                <a:cubicBezTo>
                  <a:pt x="-1337" y="20195"/>
                  <a:pt x="3976" y="28094"/>
                  <a:pt x="12162" y="29714"/>
                </a:cubicBezTo>
                <a:cubicBezTo>
                  <a:pt x="20348" y="31333"/>
                  <a:pt x="28307" y="26059"/>
                  <a:pt x="29938" y="17935"/>
                </a:cubicBezTo>
                <a:cubicBezTo>
                  <a:pt x="30327" y="15999"/>
                  <a:pt x="30327" y="14007"/>
                  <a:pt x="29938" y="12071"/>
                </a:cubicBezTo>
                <a:cubicBezTo>
                  <a:pt x="28736" y="6129"/>
                  <a:pt x="24057" y="1485"/>
                  <a:pt x="18070" y="292"/>
                </a:cubicBezTo>
                <a:close/>
                <a:moveTo>
                  <a:pt x="17156" y="22241"/>
                </a:moveTo>
                <a:cubicBezTo>
                  <a:pt x="13123" y="23355"/>
                  <a:pt x="8944" y="21014"/>
                  <a:pt x="7822" y="17011"/>
                </a:cubicBezTo>
                <a:cubicBezTo>
                  <a:pt x="7451" y="15689"/>
                  <a:pt x="7452" y="14292"/>
                  <a:pt x="7824" y="12971"/>
                </a:cubicBezTo>
                <a:cubicBezTo>
                  <a:pt x="8520" y="10443"/>
                  <a:pt x="10512" y="8469"/>
                  <a:pt x="13060" y="7781"/>
                </a:cubicBezTo>
                <a:cubicBezTo>
                  <a:pt x="17093" y="6667"/>
                  <a:pt x="21272" y="9008"/>
                  <a:pt x="22394" y="13011"/>
                </a:cubicBezTo>
                <a:cubicBezTo>
                  <a:pt x="22765" y="14333"/>
                  <a:pt x="22765" y="15729"/>
                  <a:pt x="22393" y="17051"/>
                </a:cubicBezTo>
                <a:cubicBezTo>
                  <a:pt x="21698" y="19580"/>
                  <a:pt x="19705" y="21554"/>
                  <a:pt x="17156" y="2224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62" name="Freeform: Shape 461">
            <a:extLst>
              <a:ext uri="{FF2B5EF4-FFF2-40B4-BE49-F238E27FC236}">
                <a16:creationId xmlns:a16="http://schemas.microsoft.com/office/drawing/2014/main" id="{533BE6D0-28FF-4D16-8813-5EDE52323A2A}"/>
              </a:ext>
            </a:extLst>
          </xdr:cNvPr>
          <xdr:cNvSpPr/>
        </xdr:nvSpPr>
        <xdr:spPr>
          <a:xfrm>
            <a:off x="15168533" y="9861041"/>
            <a:ext cx="30229" cy="30005"/>
          </a:xfrm>
          <a:custGeom>
            <a:avLst/>
            <a:gdLst>
              <a:gd name="connsiteX0" fmla="*/ 18070 w 30229"/>
              <a:gd name="connsiteY0" fmla="*/ 292 h 30005"/>
              <a:gd name="connsiteX1" fmla="*/ 294 w 30229"/>
              <a:gd name="connsiteY1" fmla="*/ 12071 h 30005"/>
              <a:gd name="connsiteX2" fmla="*/ 12162 w 30229"/>
              <a:gd name="connsiteY2" fmla="*/ 29714 h 30005"/>
              <a:gd name="connsiteX3" fmla="*/ 29938 w 30229"/>
              <a:gd name="connsiteY3" fmla="*/ 17935 h 30005"/>
              <a:gd name="connsiteX4" fmla="*/ 29938 w 30229"/>
              <a:gd name="connsiteY4" fmla="*/ 12071 h 30005"/>
              <a:gd name="connsiteX5" fmla="*/ 18070 w 30229"/>
              <a:gd name="connsiteY5" fmla="*/ 292 h 30005"/>
              <a:gd name="connsiteX6" fmla="*/ 17156 w 30229"/>
              <a:gd name="connsiteY6" fmla="*/ 22241 h 30005"/>
              <a:gd name="connsiteX7" fmla="*/ 7822 w 30229"/>
              <a:gd name="connsiteY7" fmla="*/ 17011 h 30005"/>
              <a:gd name="connsiteX8" fmla="*/ 7824 w 30229"/>
              <a:gd name="connsiteY8" fmla="*/ 12971 h 30005"/>
              <a:gd name="connsiteX9" fmla="*/ 13060 w 30229"/>
              <a:gd name="connsiteY9" fmla="*/ 7781 h 30005"/>
              <a:gd name="connsiteX10" fmla="*/ 22394 w 30229"/>
              <a:gd name="connsiteY10" fmla="*/ 13011 h 30005"/>
              <a:gd name="connsiteX11" fmla="*/ 22393 w 30229"/>
              <a:gd name="connsiteY11" fmla="*/ 17051 h 30005"/>
              <a:gd name="connsiteX12" fmla="*/ 17156 w 30229"/>
              <a:gd name="connsiteY12" fmla="*/ 22241 h 300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30229" h="30005">
                <a:moveTo>
                  <a:pt x="18070" y="292"/>
                </a:moveTo>
                <a:cubicBezTo>
                  <a:pt x="9885" y="-1327"/>
                  <a:pt x="1926" y="3947"/>
                  <a:pt x="294" y="12071"/>
                </a:cubicBezTo>
                <a:cubicBezTo>
                  <a:pt x="-1337" y="20195"/>
                  <a:pt x="3976" y="28094"/>
                  <a:pt x="12162" y="29714"/>
                </a:cubicBezTo>
                <a:cubicBezTo>
                  <a:pt x="20348" y="31333"/>
                  <a:pt x="28307" y="26059"/>
                  <a:pt x="29938" y="17935"/>
                </a:cubicBezTo>
                <a:cubicBezTo>
                  <a:pt x="30327" y="15999"/>
                  <a:pt x="30327" y="14007"/>
                  <a:pt x="29938" y="12071"/>
                </a:cubicBezTo>
                <a:cubicBezTo>
                  <a:pt x="28736" y="6129"/>
                  <a:pt x="24057" y="1485"/>
                  <a:pt x="18070" y="292"/>
                </a:cubicBezTo>
                <a:close/>
                <a:moveTo>
                  <a:pt x="17156" y="22241"/>
                </a:moveTo>
                <a:cubicBezTo>
                  <a:pt x="13123" y="23355"/>
                  <a:pt x="8944" y="21014"/>
                  <a:pt x="7822" y="17011"/>
                </a:cubicBezTo>
                <a:cubicBezTo>
                  <a:pt x="7451" y="15689"/>
                  <a:pt x="7452" y="14292"/>
                  <a:pt x="7824" y="12971"/>
                </a:cubicBezTo>
                <a:cubicBezTo>
                  <a:pt x="8520" y="10443"/>
                  <a:pt x="10512" y="8469"/>
                  <a:pt x="13060" y="7781"/>
                </a:cubicBezTo>
                <a:cubicBezTo>
                  <a:pt x="17093" y="6667"/>
                  <a:pt x="21272" y="9008"/>
                  <a:pt x="22394" y="13011"/>
                </a:cubicBezTo>
                <a:cubicBezTo>
                  <a:pt x="22765" y="14333"/>
                  <a:pt x="22765" y="15729"/>
                  <a:pt x="22393" y="17051"/>
                </a:cubicBezTo>
                <a:cubicBezTo>
                  <a:pt x="21698" y="19580"/>
                  <a:pt x="19705" y="21554"/>
                  <a:pt x="17156" y="2224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189507</xdr:colOff>
      <xdr:row>18</xdr:row>
      <xdr:rowOff>157721</xdr:rowOff>
    </xdr:from>
    <xdr:to>
      <xdr:col>4</xdr:col>
      <xdr:colOff>389813</xdr:colOff>
      <xdr:row>18</xdr:row>
      <xdr:rowOff>408205</xdr:rowOff>
    </xdr:to>
    <xdr:grpSp>
      <xdr:nvGrpSpPr>
        <xdr:cNvPr id="463" name="engagement" descr="Ring outline">
          <a:extLst>
            <a:ext uri="{FF2B5EF4-FFF2-40B4-BE49-F238E27FC236}">
              <a16:creationId xmlns:a16="http://schemas.microsoft.com/office/drawing/2014/main" id="{51B39C30-401E-4B85-BBD5-63E351B25E94}"/>
            </a:ext>
          </a:extLst>
        </xdr:cNvPr>
        <xdr:cNvGrpSpPr>
          <a:grpSpLocks noChangeAspect="1"/>
        </xdr:cNvGrpSpPr>
      </xdr:nvGrpSpPr>
      <xdr:grpSpPr>
        <a:xfrm>
          <a:off x="3513732" y="9339821"/>
          <a:ext cx="200306" cy="250484"/>
          <a:chOff x="12454972" y="10589641"/>
          <a:chExt cx="200306" cy="250484"/>
        </a:xfrm>
        <a:solidFill>
          <a:srgbClr val="1F4E78"/>
        </a:solidFill>
      </xdr:grpSpPr>
      <xdr:sp macro="" textlink="">
        <xdr:nvSpPr>
          <xdr:cNvPr id="464" name="Freeform: Shape 463">
            <a:extLst>
              <a:ext uri="{FF2B5EF4-FFF2-40B4-BE49-F238E27FC236}">
                <a16:creationId xmlns:a16="http://schemas.microsoft.com/office/drawing/2014/main" id="{A910E85E-4F13-46F4-A479-F2626997D829}"/>
              </a:ext>
            </a:extLst>
          </xdr:cNvPr>
          <xdr:cNvSpPr/>
        </xdr:nvSpPr>
        <xdr:spPr>
          <a:xfrm>
            <a:off x="12454972" y="10647696"/>
            <a:ext cx="200306" cy="192429"/>
          </a:xfrm>
          <a:custGeom>
            <a:avLst/>
            <a:gdLst>
              <a:gd name="connsiteX0" fmla="*/ 135365 w 200306"/>
              <a:gd name="connsiteY0" fmla="*/ 0 h 192429"/>
              <a:gd name="connsiteX1" fmla="*/ 129875 w 200306"/>
              <a:gd name="connsiteY1" fmla="*/ 6025 h 192429"/>
              <a:gd name="connsiteX2" fmla="*/ 187822 w 200306"/>
              <a:gd name="connsiteY2" fmla="*/ 122534 h 192429"/>
              <a:gd name="connsiteX3" fmla="*/ 70432 w 200306"/>
              <a:gd name="connsiteY3" fmla="*/ 180047 h 192429"/>
              <a:gd name="connsiteX4" fmla="*/ 12485 w 200306"/>
              <a:gd name="connsiteY4" fmla="*/ 63537 h 192429"/>
              <a:gd name="connsiteX5" fmla="*/ 70432 w 200306"/>
              <a:gd name="connsiteY5" fmla="*/ 6025 h 192429"/>
              <a:gd name="connsiteX6" fmla="*/ 64941 w 200306"/>
              <a:gd name="connsiteY6" fmla="*/ 0 h 192429"/>
              <a:gd name="connsiteX7" fmla="*/ 6423 w 200306"/>
              <a:gd name="connsiteY7" fmla="*/ 127975 h 192429"/>
              <a:gd name="connsiteX8" fmla="*/ 135365 w 200306"/>
              <a:gd name="connsiteY8" fmla="*/ 186055 h 192429"/>
              <a:gd name="connsiteX9" fmla="*/ 193883 w 200306"/>
              <a:gd name="connsiteY9" fmla="*/ 58080 h 192429"/>
              <a:gd name="connsiteX10" fmla="*/ 135365 w 200306"/>
              <a:gd name="connsiteY10" fmla="*/ 0 h 19242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200306" h="192429">
                <a:moveTo>
                  <a:pt x="135365" y="0"/>
                </a:moveTo>
                <a:lnTo>
                  <a:pt x="129875" y="6025"/>
                </a:lnTo>
                <a:cubicBezTo>
                  <a:pt x="178293" y="22317"/>
                  <a:pt x="204236" y="74480"/>
                  <a:pt x="187822" y="122534"/>
                </a:cubicBezTo>
                <a:cubicBezTo>
                  <a:pt x="171407" y="170589"/>
                  <a:pt x="118850" y="196338"/>
                  <a:pt x="70432" y="180047"/>
                </a:cubicBezTo>
                <a:cubicBezTo>
                  <a:pt x="22014" y="163755"/>
                  <a:pt x="-3930" y="111592"/>
                  <a:pt x="12485" y="63537"/>
                </a:cubicBezTo>
                <a:cubicBezTo>
                  <a:pt x="21733" y="36463"/>
                  <a:pt x="43153" y="15204"/>
                  <a:pt x="70432" y="6025"/>
                </a:cubicBezTo>
                <a:lnTo>
                  <a:pt x="64941" y="0"/>
                </a:lnTo>
                <a:cubicBezTo>
                  <a:pt x="13175" y="19302"/>
                  <a:pt x="-13024" y="76598"/>
                  <a:pt x="6423" y="127975"/>
                </a:cubicBezTo>
                <a:cubicBezTo>
                  <a:pt x="25870" y="179353"/>
                  <a:pt x="83599" y="205356"/>
                  <a:pt x="135365" y="186055"/>
                </a:cubicBezTo>
                <a:cubicBezTo>
                  <a:pt x="187131" y="166754"/>
                  <a:pt x="213330" y="109457"/>
                  <a:pt x="193883" y="58080"/>
                </a:cubicBezTo>
                <a:cubicBezTo>
                  <a:pt x="183728" y="31251"/>
                  <a:pt x="162397" y="10079"/>
                  <a:pt x="135365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65" name="Freeform: Shape 464">
            <a:extLst>
              <a:ext uri="{FF2B5EF4-FFF2-40B4-BE49-F238E27FC236}">
                <a16:creationId xmlns:a16="http://schemas.microsoft.com/office/drawing/2014/main" id="{C6C02041-EC1D-45AC-81A9-65FFAB51F8D2}"/>
              </a:ext>
            </a:extLst>
          </xdr:cNvPr>
          <xdr:cNvSpPr/>
        </xdr:nvSpPr>
        <xdr:spPr>
          <a:xfrm>
            <a:off x="12502794" y="10589641"/>
            <a:ext cx="104661" cy="79922"/>
          </a:xfrm>
          <a:custGeom>
            <a:avLst/>
            <a:gdLst>
              <a:gd name="connsiteX0" fmla="*/ 104661 w 104661"/>
              <a:gd name="connsiteY0" fmla="*/ 22500 h 79922"/>
              <a:gd name="connsiteX1" fmla="*/ 84534 w 104661"/>
              <a:gd name="connsiteY1" fmla="*/ 0 h 79922"/>
              <a:gd name="connsiteX2" fmla="*/ 20127 w 104661"/>
              <a:gd name="connsiteY2" fmla="*/ 0 h 79922"/>
              <a:gd name="connsiteX3" fmla="*/ 0 w 104661"/>
              <a:gd name="connsiteY3" fmla="*/ 22500 h 79922"/>
              <a:gd name="connsiteX4" fmla="*/ 52331 w 104661"/>
              <a:gd name="connsiteY4" fmla="*/ 79922 h 79922"/>
              <a:gd name="connsiteX5" fmla="*/ 32976 w 104661"/>
              <a:gd name="connsiteY5" fmla="*/ 26250 h 79922"/>
              <a:gd name="connsiteX6" fmla="*/ 44222 w 104661"/>
              <a:gd name="connsiteY6" fmla="*/ 59738 h 79922"/>
              <a:gd name="connsiteX7" fmla="*/ 44159 w 104661"/>
              <a:gd name="connsiteY7" fmla="*/ 59775 h 79922"/>
              <a:gd name="connsiteX8" fmla="*/ 13664 w 104661"/>
              <a:gd name="connsiteY8" fmla="*/ 26313 h 79922"/>
              <a:gd name="connsiteX9" fmla="*/ 13667 w 104661"/>
              <a:gd name="connsiteY9" fmla="*/ 26260 h 79922"/>
              <a:gd name="connsiteX10" fmla="*/ 13692 w 104661"/>
              <a:gd name="connsiteY10" fmla="*/ 26250 h 79922"/>
              <a:gd name="connsiteX11" fmla="*/ 57788 w 104661"/>
              <a:gd name="connsiteY11" fmla="*/ 7767 h 79922"/>
              <a:gd name="connsiteX12" fmla="*/ 62220 w 104661"/>
              <a:gd name="connsiteY12" fmla="*/ 18750 h 79922"/>
              <a:gd name="connsiteX13" fmla="*/ 42369 w 104661"/>
              <a:gd name="connsiteY13" fmla="*/ 18750 h 79922"/>
              <a:gd name="connsiteX14" fmla="*/ 46800 w 104661"/>
              <a:gd name="connsiteY14" fmla="*/ 7767 h 79922"/>
              <a:gd name="connsiteX15" fmla="*/ 91000 w 104661"/>
              <a:gd name="connsiteY15" fmla="*/ 26313 h 79922"/>
              <a:gd name="connsiteX16" fmla="*/ 60386 w 104661"/>
              <a:gd name="connsiteY16" fmla="*/ 59906 h 79922"/>
              <a:gd name="connsiteX17" fmla="*/ 60322 w 104661"/>
              <a:gd name="connsiteY17" fmla="*/ 59868 h 79922"/>
              <a:gd name="connsiteX18" fmla="*/ 71614 w 104661"/>
              <a:gd name="connsiteY18" fmla="*/ 26250 h 79922"/>
              <a:gd name="connsiteX19" fmla="*/ 90972 w 104661"/>
              <a:gd name="connsiteY19" fmla="*/ 26250 h 79922"/>
              <a:gd name="connsiteX20" fmla="*/ 91008 w 104661"/>
              <a:gd name="connsiteY20" fmla="*/ 26289 h 79922"/>
              <a:gd name="connsiteX21" fmla="*/ 90998 w 104661"/>
              <a:gd name="connsiteY21" fmla="*/ 26313 h 79922"/>
              <a:gd name="connsiteX22" fmla="*/ 63649 w 104661"/>
              <a:gd name="connsiteY22" fmla="*/ 26250 h 79922"/>
              <a:gd name="connsiteX23" fmla="*/ 52329 w 104661"/>
              <a:gd name="connsiteY23" fmla="*/ 59946 h 79922"/>
              <a:gd name="connsiteX24" fmla="*/ 52257 w 104661"/>
              <a:gd name="connsiteY24" fmla="*/ 59946 h 79922"/>
              <a:gd name="connsiteX25" fmla="*/ 40940 w 104661"/>
              <a:gd name="connsiteY25" fmla="*/ 26250 h 79922"/>
              <a:gd name="connsiteX26" fmla="*/ 91120 w 104661"/>
              <a:gd name="connsiteY26" fmla="*/ 18750 h 79922"/>
              <a:gd name="connsiteX27" fmla="*/ 70358 w 104661"/>
              <a:gd name="connsiteY27" fmla="*/ 18750 h 79922"/>
              <a:gd name="connsiteX28" fmla="*/ 65819 w 104661"/>
              <a:gd name="connsiteY28" fmla="*/ 7500 h 79922"/>
              <a:gd name="connsiteX29" fmla="*/ 81138 w 104661"/>
              <a:gd name="connsiteY29" fmla="*/ 7500 h 79922"/>
              <a:gd name="connsiteX30" fmla="*/ 91147 w 104661"/>
              <a:gd name="connsiteY30" fmla="*/ 18687 h 79922"/>
              <a:gd name="connsiteX31" fmla="*/ 91144 w 104661"/>
              <a:gd name="connsiteY31" fmla="*/ 18740 h 79922"/>
              <a:gd name="connsiteX32" fmla="*/ 91118 w 104661"/>
              <a:gd name="connsiteY32" fmla="*/ 18750 h 79922"/>
              <a:gd name="connsiteX33" fmla="*/ 23525 w 104661"/>
              <a:gd name="connsiteY33" fmla="*/ 7500 h 79922"/>
              <a:gd name="connsiteX34" fmla="*/ 38768 w 104661"/>
              <a:gd name="connsiteY34" fmla="*/ 7500 h 79922"/>
              <a:gd name="connsiteX35" fmla="*/ 34229 w 104661"/>
              <a:gd name="connsiteY35" fmla="*/ 18750 h 79922"/>
              <a:gd name="connsiteX36" fmla="*/ 13544 w 104661"/>
              <a:gd name="connsiteY36" fmla="*/ 18750 h 79922"/>
              <a:gd name="connsiteX37" fmla="*/ 13506 w 104661"/>
              <a:gd name="connsiteY37" fmla="*/ 18713 h 79922"/>
              <a:gd name="connsiteX38" fmla="*/ 13516 w 104661"/>
              <a:gd name="connsiteY38" fmla="*/ 18687 h 7992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</a:cxnLst>
            <a:rect l="l" t="t" r="r" b="b"/>
            <a:pathLst>
              <a:path w="104661" h="79922">
                <a:moveTo>
                  <a:pt x="104661" y="22500"/>
                </a:moveTo>
                <a:lnTo>
                  <a:pt x="84534" y="0"/>
                </a:lnTo>
                <a:lnTo>
                  <a:pt x="20127" y="0"/>
                </a:lnTo>
                <a:lnTo>
                  <a:pt x="0" y="22500"/>
                </a:lnTo>
                <a:lnTo>
                  <a:pt x="52331" y="79922"/>
                </a:lnTo>
                <a:close/>
                <a:moveTo>
                  <a:pt x="32976" y="26250"/>
                </a:moveTo>
                <a:lnTo>
                  <a:pt x="44222" y="59738"/>
                </a:lnTo>
                <a:cubicBezTo>
                  <a:pt x="44254" y="59831"/>
                  <a:pt x="44225" y="59847"/>
                  <a:pt x="44159" y="59775"/>
                </a:cubicBezTo>
                <a:lnTo>
                  <a:pt x="13664" y="26313"/>
                </a:lnTo>
                <a:cubicBezTo>
                  <a:pt x="13650" y="26298"/>
                  <a:pt x="13651" y="26274"/>
                  <a:pt x="13667" y="26260"/>
                </a:cubicBezTo>
                <a:cubicBezTo>
                  <a:pt x="13674" y="26254"/>
                  <a:pt x="13683" y="26250"/>
                  <a:pt x="13692" y="26250"/>
                </a:cubicBezTo>
                <a:close/>
                <a:moveTo>
                  <a:pt x="57788" y="7767"/>
                </a:moveTo>
                <a:lnTo>
                  <a:pt x="62220" y="18750"/>
                </a:lnTo>
                <a:lnTo>
                  <a:pt x="42369" y="18750"/>
                </a:lnTo>
                <a:lnTo>
                  <a:pt x="46800" y="7767"/>
                </a:lnTo>
                <a:close/>
                <a:moveTo>
                  <a:pt x="91000" y="26313"/>
                </a:moveTo>
                <a:lnTo>
                  <a:pt x="60386" y="59906"/>
                </a:lnTo>
                <a:cubicBezTo>
                  <a:pt x="60319" y="59979"/>
                  <a:pt x="60291" y="59962"/>
                  <a:pt x="60322" y="59868"/>
                </a:cubicBezTo>
                <a:lnTo>
                  <a:pt x="71614" y="26250"/>
                </a:lnTo>
                <a:lnTo>
                  <a:pt x="90972" y="26250"/>
                </a:lnTo>
                <a:cubicBezTo>
                  <a:pt x="90992" y="26250"/>
                  <a:pt x="91009" y="26268"/>
                  <a:pt x="91008" y="26289"/>
                </a:cubicBezTo>
                <a:cubicBezTo>
                  <a:pt x="91007" y="26298"/>
                  <a:pt x="91004" y="26306"/>
                  <a:pt x="90998" y="26313"/>
                </a:cubicBezTo>
                <a:close/>
                <a:moveTo>
                  <a:pt x="63649" y="26250"/>
                </a:moveTo>
                <a:lnTo>
                  <a:pt x="52329" y="59946"/>
                </a:lnTo>
                <a:cubicBezTo>
                  <a:pt x="52309" y="60005"/>
                  <a:pt x="52276" y="60005"/>
                  <a:pt x="52257" y="59946"/>
                </a:cubicBezTo>
                <a:lnTo>
                  <a:pt x="40940" y="26250"/>
                </a:lnTo>
                <a:close/>
                <a:moveTo>
                  <a:pt x="91120" y="18750"/>
                </a:moveTo>
                <a:lnTo>
                  <a:pt x="70358" y="18750"/>
                </a:lnTo>
                <a:lnTo>
                  <a:pt x="65819" y="7500"/>
                </a:lnTo>
                <a:lnTo>
                  <a:pt x="81138" y="7500"/>
                </a:lnTo>
                <a:lnTo>
                  <a:pt x="91147" y="18687"/>
                </a:lnTo>
                <a:cubicBezTo>
                  <a:pt x="91160" y="18703"/>
                  <a:pt x="91159" y="18726"/>
                  <a:pt x="91144" y="18740"/>
                </a:cubicBezTo>
                <a:cubicBezTo>
                  <a:pt x="91137" y="18747"/>
                  <a:pt x="91127" y="18750"/>
                  <a:pt x="91118" y="18750"/>
                </a:cubicBezTo>
                <a:close/>
                <a:moveTo>
                  <a:pt x="23525" y="7500"/>
                </a:moveTo>
                <a:lnTo>
                  <a:pt x="38768" y="7500"/>
                </a:lnTo>
                <a:lnTo>
                  <a:pt x="34229" y="18750"/>
                </a:lnTo>
                <a:lnTo>
                  <a:pt x="13544" y="18750"/>
                </a:lnTo>
                <a:cubicBezTo>
                  <a:pt x="13523" y="18750"/>
                  <a:pt x="13506" y="18734"/>
                  <a:pt x="13506" y="18713"/>
                </a:cubicBezTo>
                <a:cubicBezTo>
                  <a:pt x="13506" y="18704"/>
                  <a:pt x="13509" y="18695"/>
                  <a:pt x="13516" y="1868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2</xdr:col>
      <xdr:colOff>160651</xdr:colOff>
      <xdr:row>10</xdr:row>
      <xdr:rowOff>136596</xdr:rowOff>
    </xdr:from>
    <xdr:to>
      <xdr:col>2</xdr:col>
      <xdr:colOff>408151</xdr:colOff>
      <xdr:row>10</xdr:row>
      <xdr:rowOff>429096</xdr:rowOff>
    </xdr:to>
    <xdr:grpSp>
      <xdr:nvGrpSpPr>
        <xdr:cNvPr id="476" name="bday_cake" descr="Cake outline">
          <a:extLst>
            <a:ext uri="{FF2B5EF4-FFF2-40B4-BE49-F238E27FC236}">
              <a16:creationId xmlns:a16="http://schemas.microsoft.com/office/drawing/2014/main" id="{91CF2880-F5DC-4602-BC86-E4EE7CBAE658}"/>
            </a:ext>
          </a:extLst>
        </xdr:cNvPr>
        <xdr:cNvGrpSpPr>
          <a:grpSpLocks noChangeAspect="1"/>
        </xdr:cNvGrpSpPr>
      </xdr:nvGrpSpPr>
      <xdr:grpSpPr>
        <a:xfrm>
          <a:off x="1589401" y="4289496"/>
          <a:ext cx="247500" cy="292500"/>
          <a:chOff x="9877699" y="10565314"/>
          <a:chExt cx="247500" cy="292500"/>
        </a:xfrm>
        <a:solidFill>
          <a:srgbClr val="1F4E78"/>
        </a:solidFill>
      </xdr:grpSpPr>
      <xdr:sp macro="" textlink="">
        <xdr:nvSpPr>
          <xdr:cNvPr id="477" name="Freeform: Shape 476">
            <a:extLst>
              <a:ext uri="{FF2B5EF4-FFF2-40B4-BE49-F238E27FC236}">
                <a16:creationId xmlns:a16="http://schemas.microsoft.com/office/drawing/2014/main" id="{2A0369B9-7531-413A-8528-1FB2DB3117AD}"/>
              </a:ext>
            </a:extLst>
          </xdr:cNvPr>
          <xdr:cNvSpPr/>
        </xdr:nvSpPr>
        <xdr:spPr>
          <a:xfrm>
            <a:off x="9990199" y="10565314"/>
            <a:ext cx="22500" cy="33353"/>
          </a:xfrm>
          <a:custGeom>
            <a:avLst/>
            <a:gdLst>
              <a:gd name="connsiteX0" fmla="*/ 10875 w 22500"/>
              <a:gd name="connsiteY0" fmla="*/ 33352 h 33353"/>
              <a:gd name="connsiteX1" fmla="*/ 22500 w 22500"/>
              <a:gd name="connsiteY1" fmla="*/ 22500 h 33353"/>
              <a:gd name="connsiteX2" fmla="*/ 11250 w 22500"/>
              <a:gd name="connsiteY2" fmla="*/ 0 h 33353"/>
              <a:gd name="connsiteX3" fmla="*/ 3750 w 22500"/>
              <a:gd name="connsiteY3" fmla="*/ 15000 h 33353"/>
              <a:gd name="connsiteX4" fmla="*/ 3000 w 22500"/>
              <a:gd name="connsiteY4" fmla="*/ 15750 h 33353"/>
              <a:gd name="connsiteX5" fmla="*/ 0 w 22500"/>
              <a:gd name="connsiteY5" fmla="*/ 22500 h 33353"/>
              <a:gd name="connsiteX6" fmla="*/ 10875 w 22500"/>
              <a:gd name="connsiteY6" fmla="*/ 33352 h 33353"/>
              <a:gd name="connsiteX7" fmla="*/ 8306 w 22500"/>
              <a:gd name="connsiteY7" fmla="*/ 21041 h 33353"/>
              <a:gd name="connsiteX8" fmla="*/ 8835 w 22500"/>
              <a:gd name="connsiteY8" fmla="*/ 20513 h 33353"/>
              <a:gd name="connsiteX9" fmla="*/ 13474 w 22500"/>
              <a:gd name="connsiteY9" fmla="*/ 15064 h 33353"/>
              <a:gd name="connsiteX10" fmla="*/ 13517 w 22500"/>
              <a:gd name="connsiteY10" fmla="*/ 15043 h 33353"/>
              <a:gd name="connsiteX11" fmla="*/ 13538 w 22500"/>
              <a:gd name="connsiteY11" fmla="*/ 15064 h 33353"/>
              <a:gd name="connsiteX12" fmla="*/ 15000 w 22500"/>
              <a:gd name="connsiteY12" fmla="*/ 22245 h 33353"/>
              <a:gd name="connsiteX13" fmla="*/ 11119 w 22500"/>
              <a:gd name="connsiteY13" fmla="*/ 25849 h 33353"/>
              <a:gd name="connsiteX14" fmla="*/ 7500 w 22500"/>
              <a:gd name="connsiteY14" fmla="*/ 22279 h 33353"/>
              <a:gd name="connsiteX15" fmla="*/ 8303 w 22500"/>
              <a:gd name="connsiteY15" fmla="*/ 21041 h 333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22500" h="33353">
                <a:moveTo>
                  <a:pt x="10875" y="33352"/>
                </a:moveTo>
                <a:cubicBezTo>
                  <a:pt x="17025" y="33417"/>
                  <a:pt x="22142" y="28640"/>
                  <a:pt x="22500" y="22500"/>
                </a:cubicBezTo>
                <a:cubicBezTo>
                  <a:pt x="22500" y="16125"/>
                  <a:pt x="17625" y="0"/>
                  <a:pt x="11250" y="0"/>
                </a:cubicBezTo>
                <a:cubicBezTo>
                  <a:pt x="4875" y="0"/>
                  <a:pt x="12750" y="7500"/>
                  <a:pt x="3750" y="15000"/>
                </a:cubicBezTo>
                <a:lnTo>
                  <a:pt x="3000" y="15750"/>
                </a:lnTo>
                <a:cubicBezTo>
                  <a:pt x="1118" y="17495"/>
                  <a:pt x="34" y="19934"/>
                  <a:pt x="0" y="22500"/>
                </a:cubicBezTo>
                <a:cubicBezTo>
                  <a:pt x="405" y="28326"/>
                  <a:pt x="5048" y="32960"/>
                  <a:pt x="10875" y="33352"/>
                </a:cubicBezTo>
                <a:close/>
                <a:moveTo>
                  <a:pt x="8306" y="21041"/>
                </a:moveTo>
                <a:lnTo>
                  <a:pt x="8835" y="20513"/>
                </a:lnTo>
                <a:cubicBezTo>
                  <a:pt x="10677" y="18971"/>
                  <a:pt x="12246" y="17129"/>
                  <a:pt x="13474" y="15064"/>
                </a:cubicBezTo>
                <a:cubicBezTo>
                  <a:pt x="13480" y="15046"/>
                  <a:pt x="13499" y="15037"/>
                  <a:pt x="13517" y="15043"/>
                </a:cubicBezTo>
                <a:cubicBezTo>
                  <a:pt x="13527" y="15046"/>
                  <a:pt x="13534" y="15054"/>
                  <a:pt x="13538" y="15064"/>
                </a:cubicBezTo>
                <a:cubicBezTo>
                  <a:pt x="14329" y="17385"/>
                  <a:pt x="14820" y="19799"/>
                  <a:pt x="15000" y="22245"/>
                </a:cubicBezTo>
                <a:cubicBezTo>
                  <a:pt x="14804" y="24255"/>
                  <a:pt x="13137" y="25801"/>
                  <a:pt x="11119" y="25849"/>
                </a:cubicBezTo>
                <a:cubicBezTo>
                  <a:pt x="9252" y="25598"/>
                  <a:pt x="7776" y="24142"/>
                  <a:pt x="7500" y="22279"/>
                </a:cubicBezTo>
                <a:cubicBezTo>
                  <a:pt x="7631" y="21792"/>
                  <a:pt x="7911" y="21359"/>
                  <a:pt x="8303" y="21041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78" name="Freeform: Shape 477">
            <a:extLst>
              <a:ext uri="{FF2B5EF4-FFF2-40B4-BE49-F238E27FC236}">
                <a16:creationId xmlns:a16="http://schemas.microsoft.com/office/drawing/2014/main" id="{9ED77ED6-DBCE-431C-A80D-FC61753F7700}"/>
              </a:ext>
            </a:extLst>
          </xdr:cNvPr>
          <xdr:cNvSpPr/>
        </xdr:nvSpPr>
        <xdr:spPr>
          <a:xfrm>
            <a:off x="10027699" y="10584064"/>
            <a:ext cx="22500" cy="33353"/>
          </a:xfrm>
          <a:custGeom>
            <a:avLst/>
            <a:gdLst>
              <a:gd name="connsiteX0" fmla="*/ 10875 w 22500"/>
              <a:gd name="connsiteY0" fmla="*/ 33352 h 33353"/>
              <a:gd name="connsiteX1" fmla="*/ 22500 w 22500"/>
              <a:gd name="connsiteY1" fmla="*/ 22500 h 33353"/>
              <a:gd name="connsiteX2" fmla="*/ 11250 w 22500"/>
              <a:gd name="connsiteY2" fmla="*/ 0 h 33353"/>
              <a:gd name="connsiteX3" fmla="*/ 3750 w 22500"/>
              <a:gd name="connsiteY3" fmla="*/ 15000 h 33353"/>
              <a:gd name="connsiteX4" fmla="*/ 3000 w 22500"/>
              <a:gd name="connsiteY4" fmla="*/ 15750 h 33353"/>
              <a:gd name="connsiteX5" fmla="*/ 0 w 22500"/>
              <a:gd name="connsiteY5" fmla="*/ 22500 h 33353"/>
              <a:gd name="connsiteX6" fmla="*/ 10875 w 22500"/>
              <a:gd name="connsiteY6" fmla="*/ 33352 h 33353"/>
              <a:gd name="connsiteX7" fmla="*/ 8306 w 22500"/>
              <a:gd name="connsiteY7" fmla="*/ 21045 h 33353"/>
              <a:gd name="connsiteX8" fmla="*/ 8835 w 22500"/>
              <a:gd name="connsiteY8" fmla="*/ 20512 h 33353"/>
              <a:gd name="connsiteX9" fmla="*/ 13474 w 22500"/>
              <a:gd name="connsiteY9" fmla="*/ 15064 h 33353"/>
              <a:gd name="connsiteX10" fmla="*/ 13517 w 22500"/>
              <a:gd name="connsiteY10" fmla="*/ 15043 h 33353"/>
              <a:gd name="connsiteX11" fmla="*/ 13538 w 22500"/>
              <a:gd name="connsiteY11" fmla="*/ 15064 h 33353"/>
              <a:gd name="connsiteX12" fmla="*/ 15000 w 22500"/>
              <a:gd name="connsiteY12" fmla="*/ 22245 h 33353"/>
              <a:gd name="connsiteX13" fmla="*/ 11119 w 22500"/>
              <a:gd name="connsiteY13" fmla="*/ 25849 h 33353"/>
              <a:gd name="connsiteX14" fmla="*/ 7526 w 22500"/>
              <a:gd name="connsiteY14" fmla="*/ 22279 h 33353"/>
              <a:gd name="connsiteX15" fmla="*/ 8310 w 22500"/>
              <a:gd name="connsiteY15" fmla="*/ 21045 h 333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22500" h="33353">
                <a:moveTo>
                  <a:pt x="10875" y="33352"/>
                </a:moveTo>
                <a:cubicBezTo>
                  <a:pt x="17025" y="33415"/>
                  <a:pt x="22140" y="28639"/>
                  <a:pt x="22500" y="22500"/>
                </a:cubicBezTo>
                <a:cubicBezTo>
                  <a:pt x="22500" y="16125"/>
                  <a:pt x="17625" y="0"/>
                  <a:pt x="11250" y="0"/>
                </a:cubicBezTo>
                <a:cubicBezTo>
                  <a:pt x="4875" y="0"/>
                  <a:pt x="12750" y="7500"/>
                  <a:pt x="3750" y="15000"/>
                </a:cubicBezTo>
                <a:lnTo>
                  <a:pt x="3000" y="15750"/>
                </a:lnTo>
                <a:cubicBezTo>
                  <a:pt x="1118" y="17494"/>
                  <a:pt x="34" y="19934"/>
                  <a:pt x="0" y="22500"/>
                </a:cubicBezTo>
                <a:cubicBezTo>
                  <a:pt x="403" y="28327"/>
                  <a:pt x="5047" y="32961"/>
                  <a:pt x="10875" y="33352"/>
                </a:cubicBezTo>
                <a:close/>
                <a:moveTo>
                  <a:pt x="8306" y="21045"/>
                </a:moveTo>
                <a:lnTo>
                  <a:pt x="8835" y="20512"/>
                </a:lnTo>
                <a:cubicBezTo>
                  <a:pt x="10676" y="18970"/>
                  <a:pt x="12245" y="17128"/>
                  <a:pt x="13474" y="15064"/>
                </a:cubicBezTo>
                <a:cubicBezTo>
                  <a:pt x="13480" y="15046"/>
                  <a:pt x="13499" y="15037"/>
                  <a:pt x="13517" y="15043"/>
                </a:cubicBezTo>
                <a:cubicBezTo>
                  <a:pt x="13527" y="15046"/>
                  <a:pt x="13534" y="15054"/>
                  <a:pt x="13538" y="15064"/>
                </a:cubicBezTo>
                <a:cubicBezTo>
                  <a:pt x="14330" y="17385"/>
                  <a:pt x="14821" y="19799"/>
                  <a:pt x="15000" y="22245"/>
                </a:cubicBezTo>
                <a:cubicBezTo>
                  <a:pt x="14800" y="24253"/>
                  <a:pt x="13136" y="25798"/>
                  <a:pt x="11119" y="25849"/>
                </a:cubicBezTo>
                <a:cubicBezTo>
                  <a:pt x="9262" y="25587"/>
                  <a:pt x="7799" y="24134"/>
                  <a:pt x="7526" y="22279"/>
                </a:cubicBezTo>
                <a:cubicBezTo>
                  <a:pt x="7652" y="21795"/>
                  <a:pt x="7926" y="21364"/>
                  <a:pt x="8310" y="21045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79" name="Freeform: Shape 478">
            <a:extLst>
              <a:ext uri="{FF2B5EF4-FFF2-40B4-BE49-F238E27FC236}">
                <a16:creationId xmlns:a16="http://schemas.microsoft.com/office/drawing/2014/main" id="{A3830259-1A58-494A-B405-A1D096A9BAFC}"/>
              </a:ext>
            </a:extLst>
          </xdr:cNvPr>
          <xdr:cNvSpPr/>
        </xdr:nvSpPr>
        <xdr:spPr>
          <a:xfrm>
            <a:off x="9952699" y="10584064"/>
            <a:ext cx="22500" cy="33353"/>
          </a:xfrm>
          <a:custGeom>
            <a:avLst/>
            <a:gdLst>
              <a:gd name="connsiteX0" fmla="*/ 10875 w 22500"/>
              <a:gd name="connsiteY0" fmla="*/ 33352 h 33353"/>
              <a:gd name="connsiteX1" fmla="*/ 22500 w 22500"/>
              <a:gd name="connsiteY1" fmla="*/ 22500 h 33353"/>
              <a:gd name="connsiteX2" fmla="*/ 11250 w 22500"/>
              <a:gd name="connsiteY2" fmla="*/ 0 h 33353"/>
              <a:gd name="connsiteX3" fmla="*/ 3750 w 22500"/>
              <a:gd name="connsiteY3" fmla="*/ 15000 h 33353"/>
              <a:gd name="connsiteX4" fmla="*/ 3000 w 22500"/>
              <a:gd name="connsiteY4" fmla="*/ 15750 h 33353"/>
              <a:gd name="connsiteX5" fmla="*/ 0 w 22500"/>
              <a:gd name="connsiteY5" fmla="*/ 22500 h 33353"/>
              <a:gd name="connsiteX6" fmla="*/ 10875 w 22500"/>
              <a:gd name="connsiteY6" fmla="*/ 33352 h 33353"/>
              <a:gd name="connsiteX7" fmla="*/ 8306 w 22500"/>
              <a:gd name="connsiteY7" fmla="*/ 21041 h 33353"/>
              <a:gd name="connsiteX8" fmla="*/ 8835 w 22500"/>
              <a:gd name="connsiteY8" fmla="*/ 20512 h 33353"/>
              <a:gd name="connsiteX9" fmla="*/ 13474 w 22500"/>
              <a:gd name="connsiteY9" fmla="*/ 15064 h 33353"/>
              <a:gd name="connsiteX10" fmla="*/ 13517 w 22500"/>
              <a:gd name="connsiteY10" fmla="*/ 15043 h 33353"/>
              <a:gd name="connsiteX11" fmla="*/ 13538 w 22500"/>
              <a:gd name="connsiteY11" fmla="*/ 15064 h 33353"/>
              <a:gd name="connsiteX12" fmla="*/ 15000 w 22500"/>
              <a:gd name="connsiteY12" fmla="*/ 22245 h 33353"/>
              <a:gd name="connsiteX13" fmla="*/ 11119 w 22500"/>
              <a:gd name="connsiteY13" fmla="*/ 25849 h 33353"/>
              <a:gd name="connsiteX14" fmla="*/ 7500 w 22500"/>
              <a:gd name="connsiteY14" fmla="*/ 22279 h 33353"/>
              <a:gd name="connsiteX15" fmla="*/ 8303 w 22500"/>
              <a:gd name="connsiteY15" fmla="*/ 21041 h 333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22500" h="33353">
                <a:moveTo>
                  <a:pt x="10875" y="33352"/>
                </a:moveTo>
                <a:cubicBezTo>
                  <a:pt x="17025" y="33417"/>
                  <a:pt x="22142" y="28640"/>
                  <a:pt x="22500" y="22500"/>
                </a:cubicBezTo>
                <a:cubicBezTo>
                  <a:pt x="22500" y="16125"/>
                  <a:pt x="17625" y="0"/>
                  <a:pt x="11250" y="0"/>
                </a:cubicBezTo>
                <a:cubicBezTo>
                  <a:pt x="4875" y="0"/>
                  <a:pt x="12750" y="7500"/>
                  <a:pt x="3750" y="15000"/>
                </a:cubicBezTo>
                <a:lnTo>
                  <a:pt x="3000" y="15750"/>
                </a:lnTo>
                <a:cubicBezTo>
                  <a:pt x="1118" y="17494"/>
                  <a:pt x="34" y="19934"/>
                  <a:pt x="0" y="22500"/>
                </a:cubicBezTo>
                <a:cubicBezTo>
                  <a:pt x="405" y="28326"/>
                  <a:pt x="5048" y="32960"/>
                  <a:pt x="10875" y="33352"/>
                </a:cubicBezTo>
                <a:close/>
                <a:moveTo>
                  <a:pt x="8306" y="21041"/>
                </a:moveTo>
                <a:lnTo>
                  <a:pt x="8835" y="20512"/>
                </a:lnTo>
                <a:cubicBezTo>
                  <a:pt x="10677" y="18971"/>
                  <a:pt x="12246" y="17129"/>
                  <a:pt x="13474" y="15064"/>
                </a:cubicBezTo>
                <a:cubicBezTo>
                  <a:pt x="13480" y="15046"/>
                  <a:pt x="13499" y="15037"/>
                  <a:pt x="13517" y="15043"/>
                </a:cubicBezTo>
                <a:cubicBezTo>
                  <a:pt x="13527" y="15046"/>
                  <a:pt x="13534" y="15054"/>
                  <a:pt x="13538" y="15064"/>
                </a:cubicBezTo>
                <a:cubicBezTo>
                  <a:pt x="14329" y="17385"/>
                  <a:pt x="14820" y="19799"/>
                  <a:pt x="15000" y="22245"/>
                </a:cubicBezTo>
                <a:cubicBezTo>
                  <a:pt x="14804" y="24255"/>
                  <a:pt x="13137" y="25801"/>
                  <a:pt x="11119" y="25849"/>
                </a:cubicBezTo>
                <a:cubicBezTo>
                  <a:pt x="9252" y="25598"/>
                  <a:pt x="7776" y="24142"/>
                  <a:pt x="7500" y="22279"/>
                </a:cubicBezTo>
                <a:cubicBezTo>
                  <a:pt x="7631" y="21792"/>
                  <a:pt x="7911" y="21359"/>
                  <a:pt x="8303" y="21041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80" name="Freeform: Shape 479">
            <a:extLst>
              <a:ext uri="{FF2B5EF4-FFF2-40B4-BE49-F238E27FC236}">
                <a16:creationId xmlns:a16="http://schemas.microsoft.com/office/drawing/2014/main" id="{D0C95DAA-E716-487D-9002-1A47C60A246C}"/>
              </a:ext>
            </a:extLst>
          </xdr:cNvPr>
          <xdr:cNvSpPr/>
        </xdr:nvSpPr>
        <xdr:spPr>
          <a:xfrm>
            <a:off x="9877699" y="10602913"/>
            <a:ext cx="247500" cy="254900"/>
          </a:xfrm>
          <a:custGeom>
            <a:avLst/>
            <a:gdLst>
              <a:gd name="connsiteX0" fmla="*/ 234750 w 247500"/>
              <a:gd name="connsiteY0" fmla="*/ 228651 h 254900"/>
              <a:gd name="connsiteX1" fmla="*/ 232500 w 247500"/>
              <a:gd name="connsiteY1" fmla="*/ 228651 h 254900"/>
              <a:gd name="connsiteX2" fmla="*/ 232500 w 247500"/>
              <a:gd name="connsiteY2" fmla="*/ 99940 h 254900"/>
              <a:gd name="connsiteX3" fmla="*/ 172545 w 247500"/>
              <a:gd name="connsiteY3" fmla="*/ 72887 h 254900"/>
              <a:gd name="connsiteX4" fmla="*/ 172545 w 247500"/>
              <a:gd name="connsiteY4" fmla="*/ 23203 h 254900"/>
              <a:gd name="connsiteX5" fmla="*/ 171221 w 247500"/>
              <a:gd name="connsiteY5" fmla="*/ 22078 h 254900"/>
              <a:gd name="connsiteX6" fmla="*/ 151346 w 247500"/>
              <a:gd name="connsiteY6" fmla="*/ 22078 h 254900"/>
              <a:gd name="connsiteX7" fmla="*/ 150026 w 247500"/>
              <a:gd name="connsiteY7" fmla="*/ 23203 h 254900"/>
              <a:gd name="connsiteX8" fmla="*/ 150026 w 247500"/>
              <a:gd name="connsiteY8" fmla="*/ 70776 h 254900"/>
              <a:gd name="connsiteX9" fmla="*/ 135026 w 247500"/>
              <a:gd name="connsiteY9" fmla="*/ 70105 h 254900"/>
              <a:gd name="connsiteX10" fmla="*/ 135026 w 247500"/>
              <a:gd name="connsiteY10" fmla="*/ 4453 h 254900"/>
              <a:gd name="connsiteX11" fmla="*/ 133703 w 247500"/>
              <a:gd name="connsiteY11" fmla="*/ 3328 h 254900"/>
              <a:gd name="connsiteX12" fmla="*/ 113828 w 247500"/>
              <a:gd name="connsiteY12" fmla="*/ 3328 h 254900"/>
              <a:gd name="connsiteX13" fmla="*/ 112507 w 247500"/>
              <a:gd name="connsiteY13" fmla="*/ 4453 h 254900"/>
              <a:gd name="connsiteX14" fmla="*/ 112507 w 247500"/>
              <a:gd name="connsiteY14" fmla="*/ 70078 h 254900"/>
              <a:gd name="connsiteX15" fmla="*/ 97507 w 247500"/>
              <a:gd name="connsiteY15" fmla="*/ 70746 h 254900"/>
              <a:gd name="connsiteX16" fmla="*/ 97507 w 247500"/>
              <a:gd name="connsiteY16" fmla="*/ 23203 h 254900"/>
              <a:gd name="connsiteX17" fmla="*/ 96184 w 247500"/>
              <a:gd name="connsiteY17" fmla="*/ 22078 h 254900"/>
              <a:gd name="connsiteX18" fmla="*/ 76309 w 247500"/>
              <a:gd name="connsiteY18" fmla="*/ 22078 h 254900"/>
              <a:gd name="connsiteX19" fmla="*/ 74989 w 247500"/>
              <a:gd name="connsiteY19" fmla="*/ 23203 h 254900"/>
              <a:gd name="connsiteX20" fmla="*/ 74989 w 247500"/>
              <a:gd name="connsiteY20" fmla="*/ 72876 h 254900"/>
              <a:gd name="connsiteX21" fmla="*/ 15000 w 247500"/>
              <a:gd name="connsiteY21" fmla="*/ 99940 h 254900"/>
              <a:gd name="connsiteX22" fmla="*/ 15000 w 247500"/>
              <a:gd name="connsiteY22" fmla="*/ 228651 h 254900"/>
              <a:gd name="connsiteX23" fmla="*/ 12750 w 247500"/>
              <a:gd name="connsiteY23" fmla="*/ 228651 h 254900"/>
              <a:gd name="connsiteX24" fmla="*/ 0 w 247500"/>
              <a:gd name="connsiteY24" fmla="*/ 241401 h 254900"/>
              <a:gd name="connsiteX25" fmla="*/ 0 w 247500"/>
              <a:gd name="connsiteY25" fmla="*/ 242151 h 254900"/>
              <a:gd name="connsiteX26" fmla="*/ 12750 w 247500"/>
              <a:gd name="connsiteY26" fmla="*/ 254901 h 254900"/>
              <a:gd name="connsiteX27" fmla="*/ 234750 w 247500"/>
              <a:gd name="connsiteY27" fmla="*/ 254901 h 254900"/>
              <a:gd name="connsiteX28" fmla="*/ 247500 w 247500"/>
              <a:gd name="connsiteY28" fmla="*/ 242151 h 254900"/>
              <a:gd name="connsiteX29" fmla="*/ 247500 w 247500"/>
              <a:gd name="connsiteY29" fmla="*/ 241401 h 254900"/>
              <a:gd name="connsiteX30" fmla="*/ 234750 w 247500"/>
              <a:gd name="connsiteY30" fmla="*/ 228651 h 254900"/>
              <a:gd name="connsiteX31" fmla="*/ 157545 w 247500"/>
              <a:gd name="connsiteY31" fmla="*/ 26953 h 254900"/>
              <a:gd name="connsiteX32" fmla="*/ 165045 w 247500"/>
              <a:gd name="connsiteY32" fmla="*/ 26953 h 254900"/>
              <a:gd name="connsiteX33" fmla="*/ 165045 w 247500"/>
              <a:gd name="connsiteY33" fmla="*/ 72021 h 254900"/>
              <a:gd name="connsiteX34" fmla="*/ 157545 w 247500"/>
              <a:gd name="connsiteY34" fmla="*/ 71316 h 254900"/>
              <a:gd name="connsiteX35" fmla="*/ 120045 w 247500"/>
              <a:gd name="connsiteY35" fmla="*/ 69940 h 254900"/>
              <a:gd name="connsiteX36" fmla="*/ 120045 w 247500"/>
              <a:gd name="connsiteY36" fmla="*/ 8203 h 254900"/>
              <a:gd name="connsiteX37" fmla="*/ 127545 w 247500"/>
              <a:gd name="connsiteY37" fmla="*/ 8203 h 254900"/>
              <a:gd name="connsiteX38" fmla="*/ 127545 w 247500"/>
              <a:gd name="connsiteY38" fmla="*/ 69940 h 254900"/>
              <a:gd name="connsiteX39" fmla="*/ 82545 w 247500"/>
              <a:gd name="connsiteY39" fmla="*/ 26953 h 254900"/>
              <a:gd name="connsiteX40" fmla="*/ 90045 w 247500"/>
              <a:gd name="connsiteY40" fmla="*/ 26953 h 254900"/>
              <a:gd name="connsiteX41" fmla="*/ 90045 w 247500"/>
              <a:gd name="connsiteY41" fmla="*/ 71308 h 254900"/>
              <a:gd name="connsiteX42" fmla="*/ 82545 w 247500"/>
              <a:gd name="connsiteY42" fmla="*/ 72010 h 254900"/>
              <a:gd name="connsiteX43" fmla="*/ 75045 w 247500"/>
              <a:gd name="connsiteY43" fmla="*/ 80425 h 254900"/>
              <a:gd name="connsiteX44" fmla="*/ 75045 w 247500"/>
              <a:gd name="connsiteY44" fmla="*/ 80447 h 254900"/>
              <a:gd name="connsiteX45" fmla="*/ 94950 w 247500"/>
              <a:gd name="connsiteY45" fmla="*/ 78426 h 254900"/>
              <a:gd name="connsiteX46" fmla="*/ 123757 w 247500"/>
              <a:gd name="connsiteY46" fmla="*/ 77440 h 254900"/>
              <a:gd name="connsiteX47" fmla="*/ 153191 w 247500"/>
              <a:gd name="connsiteY47" fmla="*/ 78475 h 254900"/>
              <a:gd name="connsiteX48" fmla="*/ 168079 w 247500"/>
              <a:gd name="connsiteY48" fmla="*/ 79877 h 254900"/>
              <a:gd name="connsiteX49" fmla="*/ 225000 w 247500"/>
              <a:gd name="connsiteY49" fmla="*/ 99940 h 254900"/>
              <a:gd name="connsiteX50" fmla="*/ 225000 w 247500"/>
              <a:gd name="connsiteY50" fmla="*/ 160776 h 254900"/>
              <a:gd name="connsiteX51" fmla="*/ 223125 w 247500"/>
              <a:gd name="connsiteY51" fmla="*/ 160896 h 254900"/>
              <a:gd name="connsiteX52" fmla="*/ 211125 w 247500"/>
              <a:gd name="connsiteY52" fmla="*/ 156838 h 254900"/>
              <a:gd name="connsiteX53" fmla="*/ 178830 w 247500"/>
              <a:gd name="connsiteY53" fmla="*/ 156838 h 254900"/>
              <a:gd name="connsiteX54" fmla="*/ 154860 w 247500"/>
              <a:gd name="connsiteY54" fmla="*/ 156838 h 254900"/>
              <a:gd name="connsiteX55" fmla="*/ 122573 w 247500"/>
              <a:gd name="connsiteY55" fmla="*/ 156838 h 254900"/>
              <a:gd name="connsiteX56" fmla="*/ 98610 w 247500"/>
              <a:gd name="connsiteY56" fmla="*/ 156838 h 254900"/>
              <a:gd name="connsiteX57" fmla="*/ 66334 w 247500"/>
              <a:gd name="connsiteY57" fmla="*/ 156838 h 254900"/>
              <a:gd name="connsiteX58" fmla="*/ 42375 w 247500"/>
              <a:gd name="connsiteY58" fmla="*/ 156838 h 254900"/>
              <a:gd name="connsiteX59" fmla="*/ 26250 w 247500"/>
              <a:gd name="connsiteY59" fmla="*/ 151521 h 254900"/>
              <a:gd name="connsiteX60" fmla="*/ 22523 w 247500"/>
              <a:gd name="connsiteY60" fmla="*/ 151765 h 254900"/>
              <a:gd name="connsiteX61" fmla="*/ 22523 w 247500"/>
              <a:gd name="connsiteY61" fmla="*/ 99940 h 254900"/>
              <a:gd name="connsiteX62" fmla="*/ 75037 w 247500"/>
              <a:gd name="connsiteY62" fmla="*/ 80425 h 254900"/>
              <a:gd name="connsiteX63" fmla="*/ 22500 w 247500"/>
              <a:gd name="connsiteY63" fmla="*/ 159317 h 254900"/>
              <a:gd name="connsiteX64" fmla="*/ 26227 w 247500"/>
              <a:gd name="connsiteY64" fmla="*/ 159002 h 254900"/>
              <a:gd name="connsiteX65" fmla="*/ 38205 w 247500"/>
              <a:gd name="connsiteY65" fmla="*/ 163060 h 254900"/>
              <a:gd name="connsiteX66" fmla="*/ 70481 w 247500"/>
              <a:gd name="connsiteY66" fmla="*/ 163060 h 254900"/>
              <a:gd name="connsiteX67" fmla="*/ 94440 w 247500"/>
              <a:gd name="connsiteY67" fmla="*/ 163060 h 254900"/>
              <a:gd name="connsiteX68" fmla="*/ 126720 w 247500"/>
              <a:gd name="connsiteY68" fmla="*/ 163060 h 254900"/>
              <a:gd name="connsiteX69" fmla="*/ 150690 w 247500"/>
              <a:gd name="connsiteY69" fmla="*/ 163060 h 254900"/>
              <a:gd name="connsiteX70" fmla="*/ 182978 w 247500"/>
              <a:gd name="connsiteY70" fmla="*/ 163060 h 254900"/>
              <a:gd name="connsiteX71" fmla="*/ 206951 w 247500"/>
              <a:gd name="connsiteY71" fmla="*/ 163060 h 254900"/>
              <a:gd name="connsiteX72" fmla="*/ 223125 w 247500"/>
              <a:gd name="connsiteY72" fmla="*/ 168377 h 254900"/>
              <a:gd name="connsiteX73" fmla="*/ 225000 w 247500"/>
              <a:gd name="connsiteY73" fmla="*/ 168291 h 254900"/>
              <a:gd name="connsiteX74" fmla="*/ 225000 w 247500"/>
              <a:gd name="connsiteY74" fmla="*/ 228651 h 254900"/>
              <a:gd name="connsiteX75" fmla="*/ 22500 w 247500"/>
              <a:gd name="connsiteY75" fmla="*/ 228651 h 254900"/>
              <a:gd name="connsiteX76" fmla="*/ 240000 w 247500"/>
              <a:gd name="connsiteY76" fmla="*/ 242151 h 254900"/>
              <a:gd name="connsiteX77" fmla="*/ 234750 w 247500"/>
              <a:gd name="connsiteY77" fmla="*/ 247401 h 254900"/>
              <a:gd name="connsiteX78" fmla="*/ 12750 w 247500"/>
              <a:gd name="connsiteY78" fmla="*/ 247401 h 254900"/>
              <a:gd name="connsiteX79" fmla="*/ 7500 w 247500"/>
              <a:gd name="connsiteY79" fmla="*/ 242151 h 254900"/>
              <a:gd name="connsiteX80" fmla="*/ 7500 w 247500"/>
              <a:gd name="connsiteY80" fmla="*/ 241401 h 254900"/>
              <a:gd name="connsiteX81" fmla="*/ 12750 w 247500"/>
              <a:gd name="connsiteY81" fmla="*/ 236151 h 254900"/>
              <a:gd name="connsiteX82" fmla="*/ 234750 w 247500"/>
              <a:gd name="connsiteY82" fmla="*/ 236151 h 254900"/>
              <a:gd name="connsiteX83" fmla="*/ 240000 w 247500"/>
              <a:gd name="connsiteY83" fmla="*/ 241401 h 2549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</a:cxnLst>
            <a:rect l="l" t="t" r="r" b="b"/>
            <a:pathLst>
              <a:path w="247500" h="254900">
                <a:moveTo>
                  <a:pt x="234750" y="228651"/>
                </a:moveTo>
                <a:lnTo>
                  <a:pt x="232500" y="228651"/>
                </a:lnTo>
                <a:lnTo>
                  <a:pt x="232500" y="99940"/>
                </a:lnTo>
                <a:cubicBezTo>
                  <a:pt x="232500" y="86350"/>
                  <a:pt x="206449" y="77233"/>
                  <a:pt x="172545" y="72887"/>
                </a:cubicBezTo>
                <a:lnTo>
                  <a:pt x="172545" y="23203"/>
                </a:lnTo>
                <a:lnTo>
                  <a:pt x="171221" y="22078"/>
                </a:lnTo>
                <a:cubicBezTo>
                  <a:pt x="165339" y="17641"/>
                  <a:pt x="157228" y="17641"/>
                  <a:pt x="151346" y="22078"/>
                </a:cubicBezTo>
                <a:lnTo>
                  <a:pt x="150026" y="23203"/>
                </a:lnTo>
                <a:lnTo>
                  <a:pt x="150026" y="70776"/>
                </a:lnTo>
                <a:cubicBezTo>
                  <a:pt x="145080" y="70461"/>
                  <a:pt x="140066" y="70236"/>
                  <a:pt x="135026" y="70105"/>
                </a:cubicBezTo>
                <a:lnTo>
                  <a:pt x="135026" y="4453"/>
                </a:lnTo>
                <a:lnTo>
                  <a:pt x="133703" y="3328"/>
                </a:lnTo>
                <a:cubicBezTo>
                  <a:pt x="127821" y="-1109"/>
                  <a:pt x="119709" y="-1109"/>
                  <a:pt x="113828" y="3328"/>
                </a:cubicBezTo>
                <a:lnTo>
                  <a:pt x="112507" y="4453"/>
                </a:lnTo>
                <a:lnTo>
                  <a:pt x="112507" y="70078"/>
                </a:lnTo>
                <a:cubicBezTo>
                  <a:pt x="107464" y="70210"/>
                  <a:pt x="102450" y="70435"/>
                  <a:pt x="97507" y="70746"/>
                </a:cubicBezTo>
                <a:lnTo>
                  <a:pt x="97507" y="23203"/>
                </a:lnTo>
                <a:lnTo>
                  <a:pt x="96184" y="22078"/>
                </a:lnTo>
                <a:cubicBezTo>
                  <a:pt x="90302" y="17641"/>
                  <a:pt x="82191" y="17641"/>
                  <a:pt x="76309" y="22078"/>
                </a:cubicBezTo>
                <a:lnTo>
                  <a:pt x="74989" y="23203"/>
                </a:lnTo>
                <a:lnTo>
                  <a:pt x="74989" y="72876"/>
                </a:lnTo>
                <a:cubicBezTo>
                  <a:pt x="41093" y="77218"/>
                  <a:pt x="15000" y="86338"/>
                  <a:pt x="15000" y="99940"/>
                </a:cubicBezTo>
                <a:lnTo>
                  <a:pt x="15000" y="228651"/>
                </a:lnTo>
                <a:lnTo>
                  <a:pt x="12750" y="228651"/>
                </a:lnTo>
                <a:cubicBezTo>
                  <a:pt x="5708" y="228651"/>
                  <a:pt x="0" y="234359"/>
                  <a:pt x="0" y="241401"/>
                </a:cubicBezTo>
                <a:lnTo>
                  <a:pt x="0" y="242151"/>
                </a:lnTo>
                <a:cubicBezTo>
                  <a:pt x="0" y="249193"/>
                  <a:pt x="5708" y="254901"/>
                  <a:pt x="12750" y="254901"/>
                </a:cubicBezTo>
                <a:lnTo>
                  <a:pt x="234750" y="254901"/>
                </a:lnTo>
                <a:cubicBezTo>
                  <a:pt x="241792" y="254901"/>
                  <a:pt x="247500" y="249193"/>
                  <a:pt x="247500" y="242151"/>
                </a:cubicBezTo>
                <a:lnTo>
                  <a:pt x="247500" y="241401"/>
                </a:lnTo>
                <a:cubicBezTo>
                  <a:pt x="247500" y="234359"/>
                  <a:pt x="241792" y="228651"/>
                  <a:pt x="234750" y="228651"/>
                </a:cubicBezTo>
                <a:close/>
                <a:moveTo>
                  <a:pt x="157545" y="26953"/>
                </a:moveTo>
                <a:cubicBezTo>
                  <a:pt x="159938" y="25919"/>
                  <a:pt x="162652" y="25919"/>
                  <a:pt x="165045" y="26953"/>
                </a:cubicBezTo>
                <a:lnTo>
                  <a:pt x="165045" y="72021"/>
                </a:lnTo>
                <a:cubicBezTo>
                  <a:pt x="162573" y="71771"/>
                  <a:pt x="160073" y="71536"/>
                  <a:pt x="157545" y="71316"/>
                </a:cubicBezTo>
                <a:close/>
                <a:moveTo>
                  <a:pt x="120045" y="69940"/>
                </a:moveTo>
                <a:lnTo>
                  <a:pt x="120045" y="8203"/>
                </a:lnTo>
                <a:cubicBezTo>
                  <a:pt x="122438" y="7169"/>
                  <a:pt x="125152" y="7169"/>
                  <a:pt x="127545" y="8203"/>
                </a:cubicBezTo>
                <a:lnTo>
                  <a:pt x="127545" y="69940"/>
                </a:lnTo>
                <a:close/>
                <a:moveTo>
                  <a:pt x="82545" y="26953"/>
                </a:moveTo>
                <a:cubicBezTo>
                  <a:pt x="84938" y="25919"/>
                  <a:pt x="87652" y="25919"/>
                  <a:pt x="90045" y="26953"/>
                </a:cubicBezTo>
                <a:lnTo>
                  <a:pt x="90045" y="71308"/>
                </a:lnTo>
                <a:cubicBezTo>
                  <a:pt x="87518" y="71518"/>
                  <a:pt x="85017" y="71752"/>
                  <a:pt x="82545" y="72010"/>
                </a:cubicBezTo>
                <a:close/>
                <a:moveTo>
                  <a:pt x="75045" y="80425"/>
                </a:moveTo>
                <a:lnTo>
                  <a:pt x="75045" y="80447"/>
                </a:lnTo>
                <a:lnTo>
                  <a:pt x="94950" y="78426"/>
                </a:lnTo>
                <a:cubicBezTo>
                  <a:pt x="103868" y="77796"/>
                  <a:pt x="113479" y="77440"/>
                  <a:pt x="123757" y="77440"/>
                </a:cubicBezTo>
                <a:cubicBezTo>
                  <a:pt x="134280" y="77440"/>
                  <a:pt x="144101" y="77815"/>
                  <a:pt x="153191" y="78475"/>
                </a:cubicBezTo>
                <a:lnTo>
                  <a:pt x="168079" y="79877"/>
                </a:lnTo>
                <a:cubicBezTo>
                  <a:pt x="204109" y="84107"/>
                  <a:pt x="225000" y="93025"/>
                  <a:pt x="225000" y="99940"/>
                </a:cubicBezTo>
                <a:lnTo>
                  <a:pt x="225000" y="160776"/>
                </a:lnTo>
                <a:cubicBezTo>
                  <a:pt x="224385" y="160825"/>
                  <a:pt x="223804" y="160896"/>
                  <a:pt x="223125" y="160896"/>
                </a:cubicBezTo>
                <a:cubicBezTo>
                  <a:pt x="218772" y="160998"/>
                  <a:pt x="214523" y="159561"/>
                  <a:pt x="211125" y="156838"/>
                </a:cubicBezTo>
                <a:cubicBezTo>
                  <a:pt x="201527" y="149748"/>
                  <a:pt x="188428" y="149748"/>
                  <a:pt x="178830" y="156838"/>
                </a:cubicBezTo>
                <a:cubicBezTo>
                  <a:pt x="171756" y="162248"/>
                  <a:pt x="161934" y="162248"/>
                  <a:pt x="154860" y="156838"/>
                </a:cubicBezTo>
                <a:cubicBezTo>
                  <a:pt x="145265" y="149749"/>
                  <a:pt x="132167" y="149749"/>
                  <a:pt x="122573" y="156838"/>
                </a:cubicBezTo>
                <a:cubicBezTo>
                  <a:pt x="115501" y="162248"/>
                  <a:pt x="105681" y="162248"/>
                  <a:pt x="98610" y="156838"/>
                </a:cubicBezTo>
                <a:cubicBezTo>
                  <a:pt x="89019" y="149748"/>
                  <a:pt x="75924" y="149748"/>
                  <a:pt x="66334" y="156838"/>
                </a:cubicBezTo>
                <a:cubicBezTo>
                  <a:pt x="59264" y="162248"/>
                  <a:pt x="49445" y="162248"/>
                  <a:pt x="42375" y="156838"/>
                </a:cubicBezTo>
                <a:cubicBezTo>
                  <a:pt x="37754" y="153297"/>
                  <a:pt x="32071" y="151423"/>
                  <a:pt x="26250" y="151521"/>
                </a:cubicBezTo>
                <a:cubicBezTo>
                  <a:pt x="25004" y="151524"/>
                  <a:pt x="23759" y="151606"/>
                  <a:pt x="22523" y="151765"/>
                </a:cubicBezTo>
                <a:lnTo>
                  <a:pt x="22523" y="99940"/>
                </a:lnTo>
                <a:cubicBezTo>
                  <a:pt x="22500" y="93310"/>
                  <a:pt x="41704" y="84838"/>
                  <a:pt x="75037" y="80425"/>
                </a:cubicBezTo>
                <a:close/>
                <a:moveTo>
                  <a:pt x="22500" y="159317"/>
                </a:moveTo>
                <a:cubicBezTo>
                  <a:pt x="23731" y="159103"/>
                  <a:pt x="24978" y="158998"/>
                  <a:pt x="26227" y="159002"/>
                </a:cubicBezTo>
                <a:cubicBezTo>
                  <a:pt x="30573" y="158906"/>
                  <a:pt x="34813" y="160342"/>
                  <a:pt x="38205" y="163060"/>
                </a:cubicBezTo>
                <a:cubicBezTo>
                  <a:pt x="47796" y="170150"/>
                  <a:pt x="60891" y="170150"/>
                  <a:pt x="70481" y="163060"/>
                </a:cubicBezTo>
                <a:cubicBezTo>
                  <a:pt x="77552" y="157650"/>
                  <a:pt x="87370" y="157650"/>
                  <a:pt x="94440" y="163060"/>
                </a:cubicBezTo>
                <a:cubicBezTo>
                  <a:pt x="104032" y="170149"/>
                  <a:pt x="117128" y="170149"/>
                  <a:pt x="126720" y="163060"/>
                </a:cubicBezTo>
                <a:cubicBezTo>
                  <a:pt x="133794" y="157649"/>
                  <a:pt x="143616" y="157649"/>
                  <a:pt x="150690" y="163060"/>
                </a:cubicBezTo>
                <a:cubicBezTo>
                  <a:pt x="160285" y="170149"/>
                  <a:pt x="173383" y="170149"/>
                  <a:pt x="182978" y="163060"/>
                </a:cubicBezTo>
                <a:cubicBezTo>
                  <a:pt x="190053" y="157650"/>
                  <a:pt x="199875" y="157650"/>
                  <a:pt x="206951" y="163060"/>
                </a:cubicBezTo>
                <a:cubicBezTo>
                  <a:pt x="211587" y="166609"/>
                  <a:pt x="217288" y="168483"/>
                  <a:pt x="223125" y="168377"/>
                </a:cubicBezTo>
                <a:cubicBezTo>
                  <a:pt x="223796" y="168377"/>
                  <a:pt x="224400" y="168328"/>
                  <a:pt x="225000" y="168291"/>
                </a:cubicBezTo>
                <a:lnTo>
                  <a:pt x="225000" y="228651"/>
                </a:lnTo>
                <a:lnTo>
                  <a:pt x="22500" y="228651"/>
                </a:lnTo>
                <a:close/>
                <a:moveTo>
                  <a:pt x="240000" y="242151"/>
                </a:moveTo>
                <a:cubicBezTo>
                  <a:pt x="240000" y="245050"/>
                  <a:pt x="237650" y="247401"/>
                  <a:pt x="234750" y="247401"/>
                </a:cubicBezTo>
                <a:lnTo>
                  <a:pt x="12750" y="247401"/>
                </a:lnTo>
                <a:cubicBezTo>
                  <a:pt x="9851" y="247401"/>
                  <a:pt x="7500" y="245050"/>
                  <a:pt x="7500" y="242151"/>
                </a:cubicBezTo>
                <a:lnTo>
                  <a:pt x="7500" y="241401"/>
                </a:lnTo>
                <a:cubicBezTo>
                  <a:pt x="7500" y="238501"/>
                  <a:pt x="9851" y="236151"/>
                  <a:pt x="12750" y="236151"/>
                </a:cubicBezTo>
                <a:lnTo>
                  <a:pt x="234750" y="236151"/>
                </a:lnTo>
                <a:cubicBezTo>
                  <a:pt x="237650" y="236151"/>
                  <a:pt x="240000" y="238501"/>
                  <a:pt x="240000" y="241401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6</xdr:col>
      <xdr:colOff>118218</xdr:colOff>
      <xdr:row>5</xdr:row>
      <xdr:rowOff>149855</xdr:rowOff>
    </xdr:from>
    <xdr:to>
      <xdr:col>6</xdr:col>
      <xdr:colOff>465826</xdr:colOff>
      <xdr:row>5</xdr:row>
      <xdr:rowOff>434855</xdr:rowOff>
    </xdr:to>
    <xdr:grpSp>
      <xdr:nvGrpSpPr>
        <xdr:cNvPr id="491" name="fireworks" descr="Fireworks outline">
          <a:extLst>
            <a:ext uri="{FF2B5EF4-FFF2-40B4-BE49-F238E27FC236}">
              <a16:creationId xmlns:a16="http://schemas.microsoft.com/office/drawing/2014/main" id="{B18347DD-0371-4C92-87A0-5BA0252C62A4}"/>
            </a:ext>
          </a:extLst>
        </xdr:cNvPr>
        <xdr:cNvGrpSpPr>
          <a:grpSpLocks noChangeAspect="1"/>
        </xdr:cNvGrpSpPr>
      </xdr:nvGrpSpPr>
      <xdr:grpSpPr>
        <a:xfrm>
          <a:off x="5337918" y="1159505"/>
          <a:ext cx="347608" cy="285000"/>
          <a:chOff x="11744332" y="10572814"/>
          <a:chExt cx="347608" cy="285000"/>
        </a:xfrm>
        <a:solidFill>
          <a:srgbClr val="1F4E78"/>
        </a:solidFill>
      </xdr:grpSpPr>
      <xdr:sp macro="" textlink="">
        <xdr:nvSpPr>
          <xdr:cNvPr id="492" name="Freeform: Shape 491">
            <a:extLst>
              <a:ext uri="{FF2B5EF4-FFF2-40B4-BE49-F238E27FC236}">
                <a16:creationId xmlns:a16="http://schemas.microsoft.com/office/drawing/2014/main" id="{C7953342-DA76-4466-B5A1-D7B32904E6F6}"/>
              </a:ext>
            </a:extLst>
          </xdr:cNvPr>
          <xdr:cNvSpPr/>
        </xdr:nvSpPr>
        <xdr:spPr>
          <a:xfrm>
            <a:off x="11832331" y="10691117"/>
            <a:ext cx="53912" cy="27792"/>
          </a:xfrm>
          <a:custGeom>
            <a:avLst/>
            <a:gdLst>
              <a:gd name="connsiteX0" fmla="*/ 53865 w 53912"/>
              <a:gd name="connsiteY0" fmla="*/ 3159 h 27792"/>
              <a:gd name="connsiteX1" fmla="*/ 49539 w 53912"/>
              <a:gd name="connsiteY1" fmla="*/ 46 h 27792"/>
              <a:gd name="connsiteX2" fmla="*/ 1474 w 53912"/>
              <a:gd name="connsiteY2" fmla="*/ 21071 h 27792"/>
              <a:gd name="connsiteX3" fmla="*/ 785 w 53912"/>
              <a:gd name="connsiteY3" fmla="*/ 26330 h 27792"/>
              <a:gd name="connsiteX4" fmla="*/ 6083 w 53912"/>
              <a:gd name="connsiteY4" fmla="*/ 27014 h 27792"/>
              <a:gd name="connsiteX5" fmla="*/ 50728 w 53912"/>
              <a:gd name="connsiteY5" fmla="*/ 7453 h 27792"/>
              <a:gd name="connsiteX6" fmla="*/ 53865 w 53912"/>
              <a:gd name="connsiteY6" fmla="*/ 3159 h 277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53912" h="27792">
                <a:moveTo>
                  <a:pt x="53865" y="3159"/>
                </a:moveTo>
                <a:cubicBezTo>
                  <a:pt x="53533" y="1116"/>
                  <a:pt x="51599" y="-276"/>
                  <a:pt x="49539" y="46"/>
                </a:cubicBezTo>
                <a:cubicBezTo>
                  <a:pt x="32005" y="2979"/>
                  <a:pt x="15485" y="10205"/>
                  <a:pt x="1474" y="21071"/>
                </a:cubicBezTo>
                <a:cubicBezTo>
                  <a:pt x="-180" y="22334"/>
                  <a:pt x="-488" y="24689"/>
                  <a:pt x="785" y="26330"/>
                </a:cubicBezTo>
                <a:cubicBezTo>
                  <a:pt x="2057" y="27971"/>
                  <a:pt x="4430" y="28277"/>
                  <a:pt x="6083" y="27014"/>
                </a:cubicBezTo>
                <a:cubicBezTo>
                  <a:pt x="19095" y="16911"/>
                  <a:pt x="34440" y="10188"/>
                  <a:pt x="50728" y="7453"/>
                </a:cubicBezTo>
                <a:cubicBezTo>
                  <a:pt x="52789" y="7126"/>
                  <a:pt x="54193" y="5204"/>
                  <a:pt x="53865" y="315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93" name="Freeform: Shape 492">
            <a:extLst>
              <a:ext uri="{FF2B5EF4-FFF2-40B4-BE49-F238E27FC236}">
                <a16:creationId xmlns:a16="http://schemas.microsoft.com/office/drawing/2014/main" id="{92D668CE-3F23-40B5-9699-D914795918EE}"/>
              </a:ext>
            </a:extLst>
          </xdr:cNvPr>
          <xdr:cNvSpPr/>
        </xdr:nvSpPr>
        <xdr:spPr>
          <a:xfrm>
            <a:off x="11792674" y="10744946"/>
            <a:ext cx="18193" cy="44043"/>
          </a:xfrm>
          <a:custGeom>
            <a:avLst/>
            <a:gdLst>
              <a:gd name="connsiteX0" fmla="*/ 11068 w 18193"/>
              <a:gd name="connsiteY0" fmla="*/ 2010 h 44043"/>
              <a:gd name="connsiteX1" fmla="*/ 4 w 18193"/>
              <a:gd name="connsiteY1" fmla="*/ 40118 h 44043"/>
              <a:gd name="connsiteX2" fmla="*/ 3602 w 18193"/>
              <a:gd name="connsiteY2" fmla="*/ 44039 h 44043"/>
              <a:gd name="connsiteX3" fmla="*/ 3783 w 18193"/>
              <a:gd name="connsiteY3" fmla="*/ 44043 h 44043"/>
              <a:gd name="connsiteX4" fmla="*/ 7553 w 18193"/>
              <a:gd name="connsiteY4" fmla="*/ 40469 h 44043"/>
              <a:gd name="connsiteX5" fmla="*/ 17721 w 18193"/>
              <a:gd name="connsiteY5" fmla="*/ 5565 h 44043"/>
              <a:gd name="connsiteX6" fmla="*/ 16243 w 18193"/>
              <a:gd name="connsiteY6" fmla="*/ 469 h 44043"/>
              <a:gd name="connsiteX7" fmla="*/ 11108 w 18193"/>
              <a:gd name="connsiteY7" fmla="*/ 1936 h 44043"/>
              <a:gd name="connsiteX8" fmla="*/ 11068 w 18193"/>
              <a:gd name="connsiteY8" fmla="*/ 2010 h 4404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8193" h="44043">
                <a:moveTo>
                  <a:pt x="11068" y="2010"/>
                </a:moveTo>
                <a:cubicBezTo>
                  <a:pt x="4575" y="13740"/>
                  <a:pt x="796" y="26757"/>
                  <a:pt x="4" y="40118"/>
                </a:cubicBezTo>
                <a:cubicBezTo>
                  <a:pt x="-93" y="42186"/>
                  <a:pt x="1517" y="43942"/>
                  <a:pt x="3602" y="44039"/>
                </a:cubicBezTo>
                <a:cubicBezTo>
                  <a:pt x="3663" y="44042"/>
                  <a:pt x="3722" y="44043"/>
                  <a:pt x="3783" y="44043"/>
                </a:cubicBezTo>
                <a:cubicBezTo>
                  <a:pt x="5799" y="44042"/>
                  <a:pt x="7459" y="42468"/>
                  <a:pt x="7553" y="40469"/>
                </a:cubicBezTo>
                <a:cubicBezTo>
                  <a:pt x="8291" y="28230"/>
                  <a:pt x="11764" y="16307"/>
                  <a:pt x="17721" y="5565"/>
                </a:cubicBezTo>
                <a:cubicBezTo>
                  <a:pt x="18731" y="3753"/>
                  <a:pt x="18069" y="1471"/>
                  <a:pt x="16243" y="469"/>
                </a:cubicBezTo>
                <a:cubicBezTo>
                  <a:pt x="14417" y="-533"/>
                  <a:pt x="12118" y="123"/>
                  <a:pt x="11108" y="1936"/>
                </a:cubicBezTo>
                <a:cubicBezTo>
                  <a:pt x="11094" y="1960"/>
                  <a:pt x="11081" y="1985"/>
                  <a:pt x="11068" y="201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94" name="Freeform: Shape 493">
            <a:extLst>
              <a:ext uri="{FF2B5EF4-FFF2-40B4-BE49-F238E27FC236}">
                <a16:creationId xmlns:a16="http://schemas.microsoft.com/office/drawing/2014/main" id="{97405410-D220-4986-9E1D-368E862FE78B}"/>
              </a:ext>
            </a:extLst>
          </xdr:cNvPr>
          <xdr:cNvSpPr/>
        </xdr:nvSpPr>
        <xdr:spPr>
          <a:xfrm>
            <a:off x="11752677" y="10664657"/>
            <a:ext cx="121796" cy="28548"/>
          </a:xfrm>
          <a:custGeom>
            <a:avLst/>
            <a:gdLst>
              <a:gd name="connsiteX0" fmla="*/ 117156 w 121796"/>
              <a:gd name="connsiteY0" fmla="*/ 11565 h 28548"/>
              <a:gd name="connsiteX1" fmla="*/ 121696 w 121796"/>
              <a:gd name="connsiteY1" fmla="*/ 8769 h 28548"/>
              <a:gd name="connsiteX2" fmla="*/ 118879 w 121796"/>
              <a:gd name="connsiteY2" fmla="*/ 4263 h 28548"/>
              <a:gd name="connsiteX3" fmla="*/ 80446 w 121796"/>
              <a:gd name="connsiteY3" fmla="*/ 1 h 28548"/>
              <a:gd name="connsiteX4" fmla="*/ 1514 w 121796"/>
              <a:gd name="connsiteY4" fmla="*/ 21795 h 28548"/>
              <a:gd name="connsiteX5" fmla="*/ 755 w 121796"/>
              <a:gd name="connsiteY5" fmla="*/ 27046 h 28548"/>
              <a:gd name="connsiteX6" fmla="*/ 6045 w 121796"/>
              <a:gd name="connsiteY6" fmla="*/ 27799 h 28548"/>
              <a:gd name="connsiteX7" fmla="*/ 80446 w 121796"/>
              <a:gd name="connsiteY7" fmla="*/ 7501 h 28548"/>
              <a:gd name="connsiteX8" fmla="*/ 117156 w 121796"/>
              <a:gd name="connsiteY8" fmla="*/ 11565 h 2854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1796" h="28548">
                <a:moveTo>
                  <a:pt x="117156" y="11565"/>
                </a:moveTo>
                <a:cubicBezTo>
                  <a:pt x="119187" y="12037"/>
                  <a:pt x="121220" y="10786"/>
                  <a:pt x="121696" y="8769"/>
                </a:cubicBezTo>
                <a:cubicBezTo>
                  <a:pt x="122172" y="6753"/>
                  <a:pt x="120911" y="4735"/>
                  <a:pt x="118879" y="4263"/>
                </a:cubicBezTo>
                <a:cubicBezTo>
                  <a:pt x="106275" y="1385"/>
                  <a:pt x="93379" y="-45"/>
                  <a:pt x="80446" y="1"/>
                </a:cubicBezTo>
                <a:cubicBezTo>
                  <a:pt x="49383" y="1"/>
                  <a:pt x="19876" y="8149"/>
                  <a:pt x="1514" y="21795"/>
                </a:cubicBezTo>
                <a:cubicBezTo>
                  <a:pt x="-157" y="23037"/>
                  <a:pt x="-497" y="25388"/>
                  <a:pt x="755" y="27046"/>
                </a:cubicBezTo>
                <a:cubicBezTo>
                  <a:pt x="2006" y="28704"/>
                  <a:pt x="4374" y="29041"/>
                  <a:pt x="6045" y="27799"/>
                </a:cubicBezTo>
                <a:cubicBezTo>
                  <a:pt x="23145" y="15089"/>
                  <a:pt x="50959" y="7501"/>
                  <a:pt x="80446" y="7501"/>
                </a:cubicBezTo>
                <a:cubicBezTo>
                  <a:pt x="92799" y="7455"/>
                  <a:pt x="105116" y="8819"/>
                  <a:pt x="117156" y="1156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95" name="Freeform: Shape 494">
            <a:extLst>
              <a:ext uri="{FF2B5EF4-FFF2-40B4-BE49-F238E27FC236}">
                <a16:creationId xmlns:a16="http://schemas.microsoft.com/office/drawing/2014/main" id="{47C01621-EFE2-4953-A38F-EA620D09047A}"/>
              </a:ext>
            </a:extLst>
          </xdr:cNvPr>
          <xdr:cNvSpPr/>
        </xdr:nvSpPr>
        <xdr:spPr>
          <a:xfrm>
            <a:off x="11798039" y="10598732"/>
            <a:ext cx="107633" cy="67850"/>
          </a:xfrm>
          <a:custGeom>
            <a:avLst/>
            <a:gdLst>
              <a:gd name="connsiteX0" fmla="*/ 3776 w 107633"/>
              <a:gd name="connsiteY0" fmla="*/ 7500 h 67850"/>
              <a:gd name="connsiteX1" fmla="*/ 68069 w 107633"/>
              <a:gd name="connsiteY1" fmla="*/ 32576 h 67850"/>
              <a:gd name="connsiteX2" fmla="*/ 100694 w 107633"/>
              <a:gd name="connsiteY2" fmla="*/ 66156 h 67850"/>
              <a:gd name="connsiteX3" fmla="*/ 105926 w 107633"/>
              <a:gd name="connsiteY3" fmla="*/ 67236 h 67850"/>
              <a:gd name="connsiteX4" fmla="*/ 107014 w 107633"/>
              <a:gd name="connsiteY4" fmla="*/ 62043 h 67850"/>
              <a:gd name="connsiteX5" fmla="*/ 72585 w 107633"/>
              <a:gd name="connsiteY5" fmla="*/ 26563 h 67850"/>
              <a:gd name="connsiteX6" fmla="*/ 3787 w 107633"/>
              <a:gd name="connsiteY6" fmla="*/ 0 h 67850"/>
              <a:gd name="connsiteX7" fmla="*/ 3781 w 107633"/>
              <a:gd name="connsiteY7" fmla="*/ 0 h 67850"/>
              <a:gd name="connsiteX8" fmla="*/ 0 w 107633"/>
              <a:gd name="connsiteY8" fmla="*/ 3747 h 67850"/>
              <a:gd name="connsiteX9" fmla="*/ 3776 w 107633"/>
              <a:gd name="connsiteY9" fmla="*/ 7500 h 678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107633" h="67850">
                <a:moveTo>
                  <a:pt x="3776" y="7500"/>
                </a:moveTo>
                <a:cubicBezTo>
                  <a:pt x="22852" y="7526"/>
                  <a:pt x="46887" y="16900"/>
                  <a:pt x="68069" y="32576"/>
                </a:cubicBezTo>
                <a:cubicBezTo>
                  <a:pt x="80810" y="41822"/>
                  <a:pt x="91847" y="53182"/>
                  <a:pt x="100694" y="66156"/>
                </a:cubicBezTo>
                <a:cubicBezTo>
                  <a:pt x="101838" y="67889"/>
                  <a:pt x="104180" y="68372"/>
                  <a:pt x="105926" y="67236"/>
                </a:cubicBezTo>
                <a:cubicBezTo>
                  <a:pt x="107671" y="66101"/>
                  <a:pt x="108158" y="63776"/>
                  <a:pt x="107014" y="62043"/>
                </a:cubicBezTo>
                <a:cubicBezTo>
                  <a:pt x="97682" y="48337"/>
                  <a:pt x="86034" y="36334"/>
                  <a:pt x="72585" y="26563"/>
                </a:cubicBezTo>
                <a:cubicBezTo>
                  <a:pt x="50147" y="9958"/>
                  <a:pt x="24427" y="27"/>
                  <a:pt x="3787" y="0"/>
                </a:cubicBezTo>
                <a:lnTo>
                  <a:pt x="3781" y="0"/>
                </a:lnTo>
                <a:cubicBezTo>
                  <a:pt x="1694" y="-2"/>
                  <a:pt x="2" y="1676"/>
                  <a:pt x="0" y="3747"/>
                </a:cubicBezTo>
                <a:cubicBezTo>
                  <a:pt x="-2" y="5818"/>
                  <a:pt x="1689" y="7498"/>
                  <a:pt x="3776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96" name="Freeform: Shape 495">
            <a:extLst>
              <a:ext uri="{FF2B5EF4-FFF2-40B4-BE49-F238E27FC236}">
                <a16:creationId xmlns:a16="http://schemas.microsoft.com/office/drawing/2014/main" id="{3BC089CC-8501-49E6-B325-7576AF586E00}"/>
              </a:ext>
            </a:extLst>
          </xdr:cNvPr>
          <xdr:cNvSpPr/>
        </xdr:nvSpPr>
        <xdr:spPr>
          <a:xfrm>
            <a:off x="11962512" y="10689597"/>
            <a:ext cx="84959" cy="65801"/>
          </a:xfrm>
          <a:custGeom>
            <a:avLst/>
            <a:gdLst>
              <a:gd name="connsiteX0" fmla="*/ 33900 w 84959"/>
              <a:gd name="connsiteY0" fmla="*/ 9854 h 65801"/>
              <a:gd name="connsiteX1" fmla="*/ 4529 w 84959"/>
              <a:gd name="connsiteY1" fmla="*/ 75 h 65801"/>
              <a:gd name="connsiteX2" fmla="*/ 76 w 84959"/>
              <a:gd name="connsiteY2" fmla="*/ 3006 h 65801"/>
              <a:gd name="connsiteX3" fmla="*/ 3029 w 84959"/>
              <a:gd name="connsiteY3" fmla="*/ 7426 h 65801"/>
              <a:gd name="connsiteX4" fmla="*/ 3113 w 84959"/>
              <a:gd name="connsiteY4" fmla="*/ 7442 h 65801"/>
              <a:gd name="connsiteX5" fmla="*/ 30596 w 84959"/>
              <a:gd name="connsiteY5" fmla="*/ 16599 h 65801"/>
              <a:gd name="connsiteX6" fmla="*/ 77645 w 84959"/>
              <a:gd name="connsiteY6" fmla="*/ 63376 h 65801"/>
              <a:gd name="connsiteX7" fmla="*/ 82517 w 84959"/>
              <a:gd name="connsiteY7" fmla="*/ 65558 h 65801"/>
              <a:gd name="connsiteX8" fmla="*/ 84714 w 84959"/>
              <a:gd name="connsiteY8" fmla="*/ 60723 h 65801"/>
              <a:gd name="connsiteX9" fmla="*/ 33900 w 84959"/>
              <a:gd name="connsiteY9" fmla="*/ 9854 h 6580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84959" h="65801">
                <a:moveTo>
                  <a:pt x="33900" y="9854"/>
                </a:moveTo>
                <a:cubicBezTo>
                  <a:pt x="24586" y="5326"/>
                  <a:pt x="14711" y="2039"/>
                  <a:pt x="4529" y="75"/>
                </a:cubicBezTo>
                <a:cubicBezTo>
                  <a:pt x="2484" y="-336"/>
                  <a:pt x="490" y="976"/>
                  <a:pt x="76" y="3006"/>
                </a:cubicBezTo>
                <a:cubicBezTo>
                  <a:pt x="-338" y="5036"/>
                  <a:pt x="984" y="7015"/>
                  <a:pt x="3029" y="7426"/>
                </a:cubicBezTo>
                <a:cubicBezTo>
                  <a:pt x="3057" y="7432"/>
                  <a:pt x="3085" y="7437"/>
                  <a:pt x="3113" y="7442"/>
                </a:cubicBezTo>
                <a:cubicBezTo>
                  <a:pt x="12640" y="9282"/>
                  <a:pt x="21881" y="12360"/>
                  <a:pt x="30596" y="16599"/>
                </a:cubicBezTo>
                <a:cubicBezTo>
                  <a:pt x="53016" y="27416"/>
                  <a:pt x="70605" y="44903"/>
                  <a:pt x="77645" y="63376"/>
                </a:cubicBezTo>
                <a:cubicBezTo>
                  <a:pt x="78383" y="65314"/>
                  <a:pt x="80564" y="66291"/>
                  <a:pt x="82517" y="65558"/>
                </a:cubicBezTo>
                <a:cubicBezTo>
                  <a:pt x="84468" y="64825"/>
                  <a:pt x="85453" y="62660"/>
                  <a:pt x="84714" y="60723"/>
                </a:cubicBezTo>
                <a:cubicBezTo>
                  <a:pt x="77007" y="40505"/>
                  <a:pt x="58011" y="21488"/>
                  <a:pt x="33900" y="985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97" name="Freeform: Shape 496">
            <a:extLst>
              <a:ext uri="{FF2B5EF4-FFF2-40B4-BE49-F238E27FC236}">
                <a16:creationId xmlns:a16="http://schemas.microsoft.com/office/drawing/2014/main" id="{C444E083-7E0F-4AD1-8EB8-762652501C34}"/>
              </a:ext>
            </a:extLst>
          </xdr:cNvPr>
          <xdr:cNvSpPr/>
        </xdr:nvSpPr>
        <xdr:spPr>
          <a:xfrm>
            <a:off x="11941212" y="10709087"/>
            <a:ext cx="36274" cy="55014"/>
          </a:xfrm>
          <a:custGeom>
            <a:avLst/>
            <a:gdLst>
              <a:gd name="connsiteX0" fmla="*/ 5790 w 36274"/>
              <a:gd name="connsiteY0" fmla="*/ 576 h 55014"/>
              <a:gd name="connsiteX1" fmla="*/ 580 w 36274"/>
              <a:gd name="connsiteY1" fmla="*/ 1754 h 55014"/>
              <a:gd name="connsiteX2" fmla="*/ 1732 w 36274"/>
              <a:gd name="connsiteY2" fmla="*/ 6902 h 55014"/>
              <a:gd name="connsiteX3" fmla="*/ 14030 w 36274"/>
              <a:gd name="connsiteY3" fmla="*/ 17219 h 55014"/>
              <a:gd name="connsiteX4" fmla="*/ 28716 w 36274"/>
              <a:gd name="connsiteY4" fmla="*/ 51189 h 55014"/>
              <a:gd name="connsiteX5" fmla="*/ 32415 w 36274"/>
              <a:gd name="connsiteY5" fmla="*/ 55014 h 55014"/>
              <a:gd name="connsiteX6" fmla="*/ 32496 w 36274"/>
              <a:gd name="connsiteY6" fmla="*/ 55014 h 55014"/>
              <a:gd name="connsiteX7" fmla="*/ 36274 w 36274"/>
              <a:gd name="connsiteY7" fmla="*/ 51342 h 55014"/>
              <a:gd name="connsiteX8" fmla="*/ 19607 w 36274"/>
              <a:gd name="connsiteY8" fmla="*/ 12156 h 55014"/>
              <a:gd name="connsiteX9" fmla="*/ 5790 w 36274"/>
              <a:gd name="connsiteY9" fmla="*/ 576 h 5501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36274" h="55014">
                <a:moveTo>
                  <a:pt x="5790" y="576"/>
                </a:moveTo>
                <a:cubicBezTo>
                  <a:pt x="4024" y="-526"/>
                  <a:pt x="1691" y="1"/>
                  <a:pt x="580" y="1754"/>
                </a:cubicBezTo>
                <a:cubicBezTo>
                  <a:pt x="-522" y="3493"/>
                  <a:pt x="-8" y="5789"/>
                  <a:pt x="1732" y="6902"/>
                </a:cubicBezTo>
                <a:cubicBezTo>
                  <a:pt x="6269" y="9791"/>
                  <a:pt x="10404" y="13260"/>
                  <a:pt x="14030" y="17219"/>
                </a:cubicBezTo>
                <a:cubicBezTo>
                  <a:pt x="22999" y="26344"/>
                  <a:pt x="28233" y="38450"/>
                  <a:pt x="28716" y="51189"/>
                </a:cubicBezTo>
                <a:cubicBezTo>
                  <a:pt x="28673" y="53259"/>
                  <a:pt x="30329" y="54971"/>
                  <a:pt x="32415" y="55014"/>
                </a:cubicBezTo>
                <a:lnTo>
                  <a:pt x="32496" y="55014"/>
                </a:lnTo>
                <a:cubicBezTo>
                  <a:pt x="34552" y="55014"/>
                  <a:pt x="36231" y="53382"/>
                  <a:pt x="36274" y="51342"/>
                </a:cubicBezTo>
                <a:cubicBezTo>
                  <a:pt x="35820" y="36678"/>
                  <a:pt x="29878" y="22707"/>
                  <a:pt x="19607" y="12156"/>
                </a:cubicBezTo>
                <a:cubicBezTo>
                  <a:pt x="15534" y="7711"/>
                  <a:pt x="10888" y="3818"/>
                  <a:pt x="5790" y="57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98" name="Freeform: Shape 497">
            <a:extLst>
              <a:ext uri="{FF2B5EF4-FFF2-40B4-BE49-F238E27FC236}">
                <a16:creationId xmlns:a16="http://schemas.microsoft.com/office/drawing/2014/main" id="{72A9249A-D659-4F24-96E3-6FC382D79BC0}"/>
              </a:ext>
            </a:extLst>
          </xdr:cNvPr>
          <xdr:cNvSpPr/>
        </xdr:nvSpPr>
        <xdr:spPr>
          <a:xfrm>
            <a:off x="11940186" y="10659335"/>
            <a:ext cx="36738" cy="17980"/>
          </a:xfrm>
          <a:custGeom>
            <a:avLst/>
            <a:gdLst>
              <a:gd name="connsiteX0" fmla="*/ 32056 w 36738"/>
              <a:gd name="connsiteY0" fmla="*/ 108 h 17980"/>
              <a:gd name="connsiteX1" fmla="*/ 2045 w 36738"/>
              <a:gd name="connsiteY1" fmla="*/ 10898 h 17980"/>
              <a:gd name="connsiteX2" fmla="*/ 423 w 36738"/>
              <a:gd name="connsiteY2" fmla="*/ 15951 h 17980"/>
              <a:gd name="connsiteX3" fmla="*/ 5514 w 36738"/>
              <a:gd name="connsiteY3" fmla="*/ 17561 h 17980"/>
              <a:gd name="connsiteX4" fmla="*/ 5576 w 36738"/>
              <a:gd name="connsiteY4" fmla="*/ 17529 h 17980"/>
              <a:gd name="connsiteX5" fmla="*/ 33756 w 36738"/>
              <a:gd name="connsiteY5" fmla="*/ 7416 h 17980"/>
              <a:gd name="connsiteX6" fmla="*/ 36652 w 36738"/>
              <a:gd name="connsiteY6" fmla="*/ 2960 h 17980"/>
              <a:gd name="connsiteX7" fmla="*/ 32162 w 36738"/>
              <a:gd name="connsiteY7" fmla="*/ 85 h 17980"/>
              <a:gd name="connsiteX8" fmla="*/ 32059 w 36738"/>
              <a:gd name="connsiteY8" fmla="*/ 109 h 179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36738" h="17980">
                <a:moveTo>
                  <a:pt x="32056" y="108"/>
                </a:moveTo>
                <a:cubicBezTo>
                  <a:pt x="21624" y="2402"/>
                  <a:pt x="11537" y="6029"/>
                  <a:pt x="2045" y="10898"/>
                </a:cubicBezTo>
                <a:cubicBezTo>
                  <a:pt x="191" y="11849"/>
                  <a:pt x="-536" y="14111"/>
                  <a:pt x="423" y="15951"/>
                </a:cubicBezTo>
                <a:cubicBezTo>
                  <a:pt x="1380" y="17791"/>
                  <a:pt x="3660" y="18512"/>
                  <a:pt x="5514" y="17561"/>
                </a:cubicBezTo>
                <a:cubicBezTo>
                  <a:pt x="5535" y="17550"/>
                  <a:pt x="5555" y="17540"/>
                  <a:pt x="5576" y="17529"/>
                </a:cubicBezTo>
                <a:cubicBezTo>
                  <a:pt x="14490" y="12964"/>
                  <a:pt x="23962" y="9565"/>
                  <a:pt x="33756" y="7416"/>
                </a:cubicBezTo>
                <a:cubicBezTo>
                  <a:pt x="35796" y="6980"/>
                  <a:pt x="37093" y="4984"/>
                  <a:pt x="36652" y="2960"/>
                </a:cubicBezTo>
                <a:cubicBezTo>
                  <a:pt x="36212" y="935"/>
                  <a:pt x="34202" y="-352"/>
                  <a:pt x="32162" y="85"/>
                </a:cubicBezTo>
                <a:cubicBezTo>
                  <a:pt x="32127" y="93"/>
                  <a:pt x="32093" y="101"/>
                  <a:pt x="32059" y="10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99" name="Freeform: Shape 498">
            <a:extLst>
              <a:ext uri="{FF2B5EF4-FFF2-40B4-BE49-F238E27FC236}">
                <a16:creationId xmlns:a16="http://schemas.microsoft.com/office/drawing/2014/main" id="{F03DB0BA-778E-4430-9A1F-62717B30A3E6}"/>
              </a:ext>
            </a:extLst>
          </xdr:cNvPr>
          <xdr:cNvSpPr/>
        </xdr:nvSpPr>
        <xdr:spPr>
          <a:xfrm>
            <a:off x="12017474" y="10655869"/>
            <a:ext cx="64269" cy="24033"/>
          </a:xfrm>
          <a:custGeom>
            <a:avLst/>
            <a:gdLst>
              <a:gd name="connsiteX0" fmla="*/ 63605 w 64269"/>
              <a:gd name="connsiteY0" fmla="*/ 22406 h 24033"/>
              <a:gd name="connsiteX1" fmla="*/ 62632 w 64269"/>
              <a:gd name="connsiteY1" fmla="*/ 17195 h 24033"/>
              <a:gd name="connsiteX2" fmla="*/ 62629 w 64269"/>
              <a:gd name="connsiteY2" fmla="*/ 17193 h 24033"/>
              <a:gd name="connsiteX3" fmla="*/ 4055 w 64269"/>
              <a:gd name="connsiteY3" fmla="*/ 10 h 24033"/>
              <a:gd name="connsiteX4" fmla="*/ 10 w 64269"/>
              <a:gd name="connsiteY4" fmla="*/ 3476 h 24033"/>
              <a:gd name="connsiteX5" fmla="*/ 3502 w 64269"/>
              <a:gd name="connsiteY5" fmla="*/ 7490 h 24033"/>
              <a:gd name="connsiteX6" fmla="*/ 58353 w 64269"/>
              <a:gd name="connsiteY6" fmla="*/ 23375 h 24033"/>
              <a:gd name="connsiteX7" fmla="*/ 63603 w 64269"/>
              <a:gd name="connsiteY7" fmla="*/ 22409 h 24033"/>
              <a:gd name="connsiteX8" fmla="*/ 63605 w 64269"/>
              <a:gd name="connsiteY8" fmla="*/ 22407 h 240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64269" h="24033">
                <a:moveTo>
                  <a:pt x="63605" y="22406"/>
                </a:moveTo>
                <a:cubicBezTo>
                  <a:pt x="64786" y="20700"/>
                  <a:pt x="64350" y="18368"/>
                  <a:pt x="62632" y="17195"/>
                </a:cubicBezTo>
                <a:cubicBezTo>
                  <a:pt x="62631" y="17195"/>
                  <a:pt x="62630" y="17194"/>
                  <a:pt x="62629" y="17193"/>
                </a:cubicBezTo>
                <a:cubicBezTo>
                  <a:pt x="49148" y="8006"/>
                  <a:pt x="27799" y="1743"/>
                  <a:pt x="4055" y="10"/>
                </a:cubicBezTo>
                <a:cubicBezTo>
                  <a:pt x="1974" y="-141"/>
                  <a:pt x="163" y="1410"/>
                  <a:pt x="10" y="3476"/>
                </a:cubicBezTo>
                <a:cubicBezTo>
                  <a:pt x="-143" y="5541"/>
                  <a:pt x="1421" y="7339"/>
                  <a:pt x="3502" y="7490"/>
                </a:cubicBezTo>
                <a:cubicBezTo>
                  <a:pt x="25620" y="9103"/>
                  <a:pt x="46124" y="15041"/>
                  <a:pt x="58353" y="23375"/>
                </a:cubicBezTo>
                <a:cubicBezTo>
                  <a:pt x="60071" y="24547"/>
                  <a:pt x="62422" y="24114"/>
                  <a:pt x="63603" y="22409"/>
                </a:cubicBezTo>
                <a:cubicBezTo>
                  <a:pt x="63604" y="22408"/>
                  <a:pt x="63604" y="22407"/>
                  <a:pt x="63605" y="2240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00" name="Freeform: Shape 499">
            <a:extLst>
              <a:ext uri="{FF2B5EF4-FFF2-40B4-BE49-F238E27FC236}">
                <a16:creationId xmlns:a16="http://schemas.microsoft.com/office/drawing/2014/main" id="{92C18BC9-0E13-462A-97A0-32B16729E378}"/>
              </a:ext>
            </a:extLst>
          </xdr:cNvPr>
          <xdr:cNvSpPr/>
        </xdr:nvSpPr>
        <xdr:spPr>
          <a:xfrm>
            <a:off x="11926256" y="10582334"/>
            <a:ext cx="86610" cy="75450"/>
          </a:xfrm>
          <a:custGeom>
            <a:avLst/>
            <a:gdLst>
              <a:gd name="connsiteX0" fmla="*/ 7206 w 86610"/>
              <a:gd name="connsiteY0" fmla="*/ 73282 h 75450"/>
              <a:gd name="connsiteX1" fmla="*/ 27263 w 86610"/>
              <a:gd name="connsiteY1" fmla="*/ 43125 h 75450"/>
              <a:gd name="connsiteX2" fmla="*/ 83533 w 86610"/>
              <a:gd name="connsiteY2" fmla="*/ 7435 h 75450"/>
              <a:gd name="connsiteX3" fmla="*/ 86544 w 86610"/>
              <a:gd name="connsiteY3" fmla="*/ 3055 h 75450"/>
              <a:gd name="connsiteX4" fmla="*/ 82172 w 86610"/>
              <a:gd name="connsiteY4" fmla="*/ 58 h 75450"/>
              <a:gd name="connsiteX5" fmla="*/ 21578 w 86610"/>
              <a:gd name="connsiteY5" fmla="*/ 38184 h 75450"/>
              <a:gd name="connsiteX6" fmla="*/ 354 w 86610"/>
              <a:gd name="connsiteY6" fmla="*/ 70116 h 75450"/>
              <a:gd name="connsiteX7" fmla="*/ 2185 w 86610"/>
              <a:gd name="connsiteY7" fmla="*/ 75099 h 75450"/>
              <a:gd name="connsiteX8" fmla="*/ 7206 w 86610"/>
              <a:gd name="connsiteY8" fmla="*/ 73282 h 754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86610" h="75450">
                <a:moveTo>
                  <a:pt x="7206" y="73282"/>
                </a:moveTo>
                <a:cubicBezTo>
                  <a:pt x="12420" y="62338"/>
                  <a:pt x="19174" y="52185"/>
                  <a:pt x="27263" y="43125"/>
                </a:cubicBezTo>
                <a:cubicBezTo>
                  <a:pt x="44011" y="24140"/>
                  <a:pt x="65047" y="10800"/>
                  <a:pt x="83533" y="7435"/>
                </a:cubicBezTo>
                <a:cubicBezTo>
                  <a:pt x="85583" y="7051"/>
                  <a:pt x="86931" y="5089"/>
                  <a:pt x="86544" y="3055"/>
                </a:cubicBezTo>
                <a:cubicBezTo>
                  <a:pt x="86160" y="1036"/>
                  <a:pt x="84210" y="-300"/>
                  <a:pt x="82172" y="58"/>
                </a:cubicBezTo>
                <a:cubicBezTo>
                  <a:pt x="62064" y="3717"/>
                  <a:pt x="39412" y="17967"/>
                  <a:pt x="21578" y="38184"/>
                </a:cubicBezTo>
                <a:cubicBezTo>
                  <a:pt x="13018" y="47779"/>
                  <a:pt x="5872" y="58530"/>
                  <a:pt x="354" y="70116"/>
                </a:cubicBezTo>
                <a:cubicBezTo>
                  <a:pt x="-527" y="71994"/>
                  <a:pt x="293" y="74225"/>
                  <a:pt x="2185" y="75099"/>
                </a:cubicBezTo>
                <a:cubicBezTo>
                  <a:pt x="4077" y="75973"/>
                  <a:pt x="6325" y="75160"/>
                  <a:pt x="7206" y="7328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01" name="Freeform: Shape 500">
            <a:extLst>
              <a:ext uri="{FF2B5EF4-FFF2-40B4-BE49-F238E27FC236}">
                <a16:creationId xmlns:a16="http://schemas.microsoft.com/office/drawing/2014/main" id="{5273868D-733F-4F49-8927-9F7B52C28737}"/>
              </a:ext>
            </a:extLst>
          </xdr:cNvPr>
          <xdr:cNvSpPr/>
        </xdr:nvSpPr>
        <xdr:spPr>
          <a:xfrm>
            <a:off x="11885127" y="10722848"/>
            <a:ext cx="24390" cy="124783"/>
          </a:xfrm>
          <a:custGeom>
            <a:avLst/>
            <a:gdLst>
              <a:gd name="connsiteX0" fmla="*/ 22118 w 24390"/>
              <a:gd name="connsiteY0" fmla="*/ 312 h 124783"/>
              <a:gd name="connsiteX1" fmla="*/ 17146 w 24390"/>
              <a:gd name="connsiteY1" fmla="*/ 2255 h 124783"/>
              <a:gd name="connsiteX2" fmla="*/ 17146 w 24390"/>
              <a:gd name="connsiteY2" fmla="*/ 2256 h 124783"/>
              <a:gd name="connsiteX3" fmla="*/ 1977 w 24390"/>
              <a:gd name="connsiteY3" fmla="*/ 63106 h 124783"/>
              <a:gd name="connsiteX4" fmla="*/ 1691 w 24390"/>
              <a:gd name="connsiteY4" fmla="*/ 121558 h 124783"/>
              <a:gd name="connsiteX5" fmla="*/ 5427 w 24390"/>
              <a:gd name="connsiteY5" fmla="*/ 124783 h 124783"/>
              <a:gd name="connsiteX6" fmla="*/ 5962 w 24390"/>
              <a:gd name="connsiteY6" fmla="*/ 124746 h 124783"/>
              <a:gd name="connsiteX7" fmla="*/ 9174 w 24390"/>
              <a:gd name="connsiteY7" fmla="*/ 120508 h 124783"/>
              <a:gd name="connsiteX8" fmla="*/ 9482 w 24390"/>
              <a:gd name="connsiteY8" fmla="*/ 63993 h 124783"/>
              <a:gd name="connsiteX9" fmla="*/ 24075 w 24390"/>
              <a:gd name="connsiteY9" fmla="*/ 5249 h 124783"/>
              <a:gd name="connsiteX10" fmla="*/ 22120 w 24390"/>
              <a:gd name="connsiteY10" fmla="*/ 313 h 124783"/>
              <a:gd name="connsiteX11" fmla="*/ 22118 w 24390"/>
              <a:gd name="connsiteY11" fmla="*/ 312 h 12478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24390" h="124783">
                <a:moveTo>
                  <a:pt x="22118" y="312"/>
                </a:moveTo>
                <a:cubicBezTo>
                  <a:pt x="20204" y="-514"/>
                  <a:pt x="17978" y="356"/>
                  <a:pt x="17146" y="2255"/>
                </a:cubicBezTo>
                <a:cubicBezTo>
                  <a:pt x="17146" y="2255"/>
                  <a:pt x="17146" y="2256"/>
                  <a:pt x="17146" y="2256"/>
                </a:cubicBezTo>
                <a:cubicBezTo>
                  <a:pt x="9258" y="21739"/>
                  <a:pt x="4153" y="42220"/>
                  <a:pt x="1977" y="63106"/>
                </a:cubicBezTo>
                <a:cubicBezTo>
                  <a:pt x="-560" y="82503"/>
                  <a:pt x="-656" y="102137"/>
                  <a:pt x="1691" y="121558"/>
                </a:cubicBezTo>
                <a:cubicBezTo>
                  <a:pt x="1954" y="123406"/>
                  <a:pt x="3547" y="124781"/>
                  <a:pt x="5427" y="124783"/>
                </a:cubicBezTo>
                <a:cubicBezTo>
                  <a:pt x="5606" y="124784"/>
                  <a:pt x="5785" y="124771"/>
                  <a:pt x="5962" y="124746"/>
                </a:cubicBezTo>
                <a:cubicBezTo>
                  <a:pt x="8028" y="124456"/>
                  <a:pt x="9465" y="122558"/>
                  <a:pt x="9174" y="120508"/>
                </a:cubicBezTo>
                <a:cubicBezTo>
                  <a:pt x="6917" y="101730"/>
                  <a:pt x="7020" y="82746"/>
                  <a:pt x="9482" y="63993"/>
                </a:cubicBezTo>
                <a:cubicBezTo>
                  <a:pt x="11568" y="43833"/>
                  <a:pt x="16480" y="24061"/>
                  <a:pt x="24075" y="5249"/>
                </a:cubicBezTo>
                <a:cubicBezTo>
                  <a:pt x="24908" y="3350"/>
                  <a:pt x="24033" y="1141"/>
                  <a:pt x="22120" y="313"/>
                </a:cubicBezTo>
                <a:cubicBezTo>
                  <a:pt x="22120" y="313"/>
                  <a:pt x="22119" y="313"/>
                  <a:pt x="22118" y="31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02" name="Freeform: Shape 501">
            <a:extLst>
              <a:ext uri="{FF2B5EF4-FFF2-40B4-BE49-F238E27FC236}">
                <a16:creationId xmlns:a16="http://schemas.microsoft.com/office/drawing/2014/main" id="{D6A6348C-AD4E-4FBD-B69B-32B13F5D65E5}"/>
              </a:ext>
            </a:extLst>
          </xdr:cNvPr>
          <xdr:cNvSpPr/>
        </xdr:nvSpPr>
        <xdr:spPr>
          <a:xfrm>
            <a:off x="11856873" y="10716895"/>
            <a:ext cx="26354" cy="41127"/>
          </a:xfrm>
          <a:custGeom>
            <a:avLst/>
            <a:gdLst>
              <a:gd name="connsiteX0" fmla="*/ 19821 w 26354"/>
              <a:gd name="connsiteY0" fmla="*/ 1183 h 41127"/>
              <a:gd name="connsiteX1" fmla="*/ 12712 w 26354"/>
              <a:gd name="connsiteY1" fmla="*/ 9763 h 41127"/>
              <a:gd name="connsiteX2" fmla="*/ 84 w 26354"/>
              <a:gd name="connsiteY2" fmla="*/ 36594 h 41127"/>
              <a:gd name="connsiteX3" fmla="*/ 2990 w 26354"/>
              <a:gd name="connsiteY3" fmla="*/ 41044 h 41127"/>
              <a:gd name="connsiteX4" fmla="*/ 3783 w 26354"/>
              <a:gd name="connsiteY4" fmla="*/ 41128 h 41127"/>
              <a:gd name="connsiteX5" fmla="*/ 7475 w 26354"/>
              <a:gd name="connsiteY5" fmla="*/ 38160 h 41127"/>
              <a:gd name="connsiteX6" fmla="*/ 18845 w 26354"/>
              <a:gd name="connsiteY6" fmla="*/ 14146 h 41127"/>
              <a:gd name="connsiteX7" fmla="*/ 25331 w 26354"/>
              <a:gd name="connsiteY7" fmla="*/ 6317 h 41127"/>
              <a:gd name="connsiteX8" fmla="*/ 25162 w 26354"/>
              <a:gd name="connsiteY8" fmla="*/ 1016 h 41127"/>
              <a:gd name="connsiteX9" fmla="*/ 19822 w 26354"/>
              <a:gd name="connsiteY9" fmla="*/ 1183 h 411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26354" h="41127">
                <a:moveTo>
                  <a:pt x="19821" y="1183"/>
                </a:moveTo>
                <a:cubicBezTo>
                  <a:pt x="17268" y="3888"/>
                  <a:pt x="14894" y="6754"/>
                  <a:pt x="12712" y="9763"/>
                </a:cubicBezTo>
                <a:cubicBezTo>
                  <a:pt x="6728" y="17773"/>
                  <a:pt x="2433" y="26898"/>
                  <a:pt x="84" y="36594"/>
                </a:cubicBezTo>
                <a:cubicBezTo>
                  <a:pt x="-352" y="38619"/>
                  <a:pt x="949" y="40611"/>
                  <a:pt x="2990" y="41044"/>
                </a:cubicBezTo>
                <a:cubicBezTo>
                  <a:pt x="3250" y="41099"/>
                  <a:pt x="3516" y="41127"/>
                  <a:pt x="3783" y="41128"/>
                </a:cubicBezTo>
                <a:cubicBezTo>
                  <a:pt x="5565" y="41125"/>
                  <a:pt x="7102" y="39889"/>
                  <a:pt x="7475" y="38160"/>
                </a:cubicBezTo>
                <a:cubicBezTo>
                  <a:pt x="9602" y="29479"/>
                  <a:pt x="13469" y="21312"/>
                  <a:pt x="18845" y="14146"/>
                </a:cubicBezTo>
                <a:cubicBezTo>
                  <a:pt x="20834" y="11400"/>
                  <a:pt x="23001" y="8785"/>
                  <a:pt x="25331" y="6317"/>
                </a:cubicBezTo>
                <a:cubicBezTo>
                  <a:pt x="26759" y="4807"/>
                  <a:pt x="26684" y="2434"/>
                  <a:pt x="25162" y="1016"/>
                </a:cubicBezTo>
                <a:cubicBezTo>
                  <a:pt x="23641" y="-401"/>
                  <a:pt x="21250" y="-327"/>
                  <a:pt x="19822" y="118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03" name="Freeform: Shape 502">
            <a:extLst>
              <a:ext uri="{FF2B5EF4-FFF2-40B4-BE49-F238E27FC236}">
                <a16:creationId xmlns:a16="http://schemas.microsoft.com/office/drawing/2014/main" id="{89870A57-FB4C-473D-B7FB-9AADEAEE18E8}"/>
              </a:ext>
            </a:extLst>
          </xdr:cNvPr>
          <xdr:cNvSpPr/>
        </xdr:nvSpPr>
        <xdr:spPr>
          <a:xfrm>
            <a:off x="11893355" y="10576946"/>
            <a:ext cx="16299" cy="35423"/>
          </a:xfrm>
          <a:custGeom>
            <a:avLst/>
            <a:gdLst>
              <a:gd name="connsiteX0" fmla="*/ 8804 w 16299"/>
              <a:gd name="connsiteY0" fmla="*/ 32355 h 35423"/>
              <a:gd name="connsiteX1" fmla="*/ 13208 w 16299"/>
              <a:gd name="connsiteY1" fmla="*/ 35360 h 35423"/>
              <a:gd name="connsiteX2" fmla="*/ 16235 w 16299"/>
              <a:gd name="connsiteY2" fmla="*/ 30989 h 35423"/>
              <a:gd name="connsiteX3" fmla="*/ 7167 w 16299"/>
              <a:gd name="connsiteY3" fmla="*/ 2092 h 35423"/>
              <a:gd name="connsiteX4" fmla="*/ 2107 w 16299"/>
              <a:gd name="connsiteY4" fmla="*/ 388 h 35423"/>
              <a:gd name="connsiteX5" fmla="*/ 391 w 16299"/>
              <a:gd name="connsiteY5" fmla="*/ 5410 h 35423"/>
              <a:gd name="connsiteX6" fmla="*/ 459 w 16299"/>
              <a:gd name="connsiteY6" fmla="*/ 5542 h 35423"/>
              <a:gd name="connsiteX7" fmla="*/ 8804 w 16299"/>
              <a:gd name="connsiteY7" fmla="*/ 32355 h 3542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16299" h="35423">
                <a:moveTo>
                  <a:pt x="8804" y="32355"/>
                </a:moveTo>
                <a:cubicBezTo>
                  <a:pt x="9184" y="34392"/>
                  <a:pt x="11156" y="35737"/>
                  <a:pt x="13208" y="35360"/>
                </a:cubicBezTo>
                <a:cubicBezTo>
                  <a:pt x="15260" y="34983"/>
                  <a:pt x="16616" y="33026"/>
                  <a:pt x="16235" y="30989"/>
                </a:cubicBezTo>
                <a:cubicBezTo>
                  <a:pt x="14560" y="20990"/>
                  <a:pt x="11509" y="11266"/>
                  <a:pt x="7167" y="2092"/>
                </a:cubicBezTo>
                <a:cubicBezTo>
                  <a:pt x="6244" y="234"/>
                  <a:pt x="3978" y="-529"/>
                  <a:pt x="2107" y="388"/>
                </a:cubicBezTo>
                <a:cubicBezTo>
                  <a:pt x="236" y="1304"/>
                  <a:pt x="-533" y="3553"/>
                  <a:pt x="391" y="5410"/>
                </a:cubicBezTo>
                <a:cubicBezTo>
                  <a:pt x="413" y="5455"/>
                  <a:pt x="435" y="5498"/>
                  <a:pt x="459" y="5542"/>
                </a:cubicBezTo>
                <a:cubicBezTo>
                  <a:pt x="4458" y="14060"/>
                  <a:pt x="7266" y="23082"/>
                  <a:pt x="8804" y="3235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04" name="Freeform: Shape 503">
            <a:extLst>
              <a:ext uri="{FF2B5EF4-FFF2-40B4-BE49-F238E27FC236}">
                <a16:creationId xmlns:a16="http://schemas.microsoft.com/office/drawing/2014/main" id="{0DF131FC-3C13-4EFE-AA0E-0F495CE8E240}"/>
              </a:ext>
            </a:extLst>
          </xdr:cNvPr>
          <xdr:cNvSpPr/>
        </xdr:nvSpPr>
        <xdr:spPr>
          <a:xfrm>
            <a:off x="11930749" y="10734032"/>
            <a:ext cx="24711" cy="82585"/>
          </a:xfrm>
          <a:custGeom>
            <a:avLst/>
            <a:gdLst>
              <a:gd name="connsiteX0" fmla="*/ 20928 w 24711"/>
              <a:gd name="connsiteY0" fmla="*/ 82585 h 82585"/>
              <a:gd name="connsiteX1" fmla="*/ 24712 w 24711"/>
              <a:gd name="connsiteY1" fmla="*/ 78833 h 82585"/>
              <a:gd name="connsiteX2" fmla="*/ 24684 w 24711"/>
              <a:gd name="connsiteY2" fmla="*/ 78377 h 82585"/>
              <a:gd name="connsiteX3" fmla="*/ 7344 w 24711"/>
              <a:gd name="connsiteY3" fmla="*/ 2506 h 82585"/>
              <a:gd name="connsiteX4" fmla="*/ 2525 w 24711"/>
              <a:gd name="connsiteY4" fmla="*/ 214 h 82585"/>
              <a:gd name="connsiteX5" fmla="*/ 215 w 24711"/>
              <a:gd name="connsiteY5" fmla="*/ 4997 h 82585"/>
              <a:gd name="connsiteX6" fmla="*/ 17183 w 24711"/>
              <a:gd name="connsiteY6" fmla="*/ 79293 h 82585"/>
              <a:gd name="connsiteX7" fmla="*/ 20928 w 24711"/>
              <a:gd name="connsiteY7" fmla="*/ 82585 h 8258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24711" h="82585">
                <a:moveTo>
                  <a:pt x="20928" y="82585"/>
                </a:moveTo>
                <a:cubicBezTo>
                  <a:pt x="23017" y="82586"/>
                  <a:pt x="24711" y="80906"/>
                  <a:pt x="24712" y="78833"/>
                </a:cubicBezTo>
                <a:cubicBezTo>
                  <a:pt x="24712" y="78680"/>
                  <a:pt x="24703" y="78528"/>
                  <a:pt x="24684" y="78377"/>
                </a:cubicBezTo>
                <a:cubicBezTo>
                  <a:pt x="21662" y="52543"/>
                  <a:pt x="15849" y="27106"/>
                  <a:pt x="7344" y="2506"/>
                </a:cubicBezTo>
                <a:cubicBezTo>
                  <a:pt x="6651" y="552"/>
                  <a:pt x="4494" y="-474"/>
                  <a:pt x="2525" y="214"/>
                </a:cubicBezTo>
                <a:cubicBezTo>
                  <a:pt x="557" y="902"/>
                  <a:pt x="-478" y="3043"/>
                  <a:pt x="215" y="4997"/>
                </a:cubicBezTo>
                <a:cubicBezTo>
                  <a:pt x="8540" y="29087"/>
                  <a:pt x="14228" y="53996"/>
                  <a:pt x="17183" y="79293"/>
                </a:cubicBezTo>
                <a:cubicBezTo>
                  <a:pt x="17416" y="81171"/>
                  <a:pt x="19022" y="82583"/>
                  <a:pt x="20928" y="8258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05" name="Freeform: Shape 504">
            <a:extLst>
              <a:ext uri="{FF2B5EF4-FFF2-40B4-BE49-F238E27FC236}">
                <a16:creationId xmlns:a16="http://schemas.microsoft.com/office/drawing/2014/main" id="{82E7D1C4-E2E5-4BC8-A772-00FA2A0B6C70}"/>
              </a:ext>
            </a:extLst>
          </xdr:cNvPr>
          <xdr:cNvSpPr/>
        </xdr:nvSpPr>
        <xdr:spPr>
          <a:xfrm>
            <a:off x="11763223" y="1071156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06" name="Freeform: Shape 505">
            <a:extLst>
              <a:ext uri="{FF2B5EF4-FFF2-40B4-BE49-F238E27FC236}">
                <a16:creationId xmlns:a16="http://schemas.microsoft.com/office/drawing/2014/main" id="{402C51D8-97D5-42FC-BE2E-4D6B8BC622CE}"/>
              </a:ext>
            </a:extLst>
          </xdr:cNvPr>
          <xdr:cNvSpPr/>
        </xdr:nvSpPr>
        <xdr:spPr>
          <a:xfrm>
            <a:off x="11842568" y="1077531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07" name="Freeform: Shape 506">
            <a:extLst>
              <a:ext uri="{FF2B5EF4-FFF2-40B4-BE49-F238E27FC236}">
                <a16:creationId xmlns:a16="http://schemas.microsoft.com/office/drawing/2014/main" id="{CA5BFA39-D7C7-4FA9-B9CA-606DD8B54B34}"/>
              </a:ext>
            </a:extLst>
          </xdr:cNvPr>
          <xdr:cNvSpPr/>
        </xdr:nvSpPr>
        <xdr:spPr>
          <a:xfrm>
            <a:off x="11997481" y="1075656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08" name="Freeform: Shape 507">
            <a:extLst>
              <a:ext uri="{FF2B5EF4-FFF2-40B4-BE49-F238E27FC236}">
                <a16:creationId xmlns:a16="http://schemas.microsoft.com/office/drawing/2014/main" id="{A86DC072-1574-426A-BC0B-F9D87E42A72B}"/>
              </a:ext>
            </a:extLst>
          </xdr:cNvPr>
          <xdr:cNvSpPr/>
        </xdr:nvSpPr>
        <xdr:spPr>
          <a:xfrm>
            <a:off x="11948362" y="1084281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09" name="Freeform: Shape 508">
            <a:extLst>
              <a:ext uri="{FF2B5EF4-FFF2-40B4-BE49-F238E27FC236}">
                <a16:creationId xmlns:a16="http://schemas.microsoft.com/office/drawing/2014/main" id="{E757611E-798F-465A-9141-43ADB04AAD39}"/>
              </a:ext>
            </a:extLst>
          </xdr:cNvPr>
          <xdr:cNvSpPr/>
        </xdr:nvSpPr>
        <xdr:spPr>
          <a:xfrm>
            <a:off x="11933249" y="1058406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10" name="Freeform: Shape 509">
            <a:extLst>
              <a:ext uri="{FF2B5EF4-FFF2-40B4-BE49-F238E27FC236}">
                <a16:creationId xmlns:a16="http://schemas.microsoft.com/office/drawing/2014/main" id="{B6D8634F-2BF6-4B85-9F19-B5164E082784}"/>
              </a:ext>
            </a:extLst>
          </xdr:cNvPr>
          <xdr:cNvSpPr/>
        </xdr:nvSpPr>
        <xdr:spPr>
          <a:xfrm>
            <a:off x="11846347" y="1057281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11" name="Freeform: Shape 510">
            <a:extLst>
              <a:ext uri="{FF2B5EF4-FFF2-40B4-BE49-F238E27FC236}">
                <a16:creationId xmlns:a16="http://schemas.microsoft.com/office/drawing/2014/main" id="{61C6732C-B6DE-456A-997D-3D30611362ED}"/>
              </a:ext>
            </a:extLst>
          </xdr:cNvPr>
          <xdr:cNvSpPr/>
        </xdr:nvSpPr>
        <xdr:spPr>
          <a:xfrm>
            <a:off x="11989924" y="1065156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12" name="Freeform: Shape 511">
            <a:extLst>
              <a:ext uri="{FF2B5EF4-FFF2-40B4-BE49-F238E27FC236}">
                <a16:creationId xmlns:a16="http://schemas.microsoft.com/office/drawing/2014/main" id="{E300161C-1911-4597-8C67-8F1EFD5F9579}"/>
              </a:ext>
            </a:extLst>
          </xdr:cNvPr>
          <xdr:cNvSpPr/>
        </xdr:nvSpPr>
        <xdr:spPr>
          <a:xfrm>
            <a:off x="11812342" y="1072281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13" name="Freeform: Shape 512">
            <a:extLst>
              <a:ext uri="{FF2B5EF4-FFF2-40B4-BE49-F238E27FC236}">
                <a16:creationId xmlns:a16="http://schemas.microsoft.com/office/drawing/2014/main" id="{A75D2545-7133-4914-AE84-C5C5EABFA931}"/>
              </a:ext>
            </a:extLst>
          </xdr:cNvPr>
          <xdr:cNvSpPr/>
        </xdr:nvSpPr>
        <xdr:spPr>
          <a:xfrm>
            <a:off x="11903022" y="10625157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14" name="Freeform: Shape 513">
            <a:extLst>
              <a:ext uri="{FF2B5EF4-FFF2-40B4-BE49-F238E27FC236}">
                <a16:creationId xmlns:a16="http://schemas.microsoft.com/office/drawing/2014/main" id="{41A3F53A-6868-400F-89FD-ED153CD856D0}"/>
              </a:ext>
            </a:extLst>
          </xdr:cNvPr>
          <xdr:cNvSpPr/>
        </xdr:nvSpPr>
        <xdr:spPr>
          <a:xfrm>
            <a:off x="11774558" y="10812857"/>
            <a:ext cx="37769" cy="37412"/>
          </a:xfrm>
          <a:custGeom>
            <a:avLst/>
            <a:gdLst>
              <a:gd name="connsiteX0" fmla="*/ 35296 w 37769"/>
              <a:gd name="connsiteY0" fmla="*/ 12053 h 37412"/>
              <a:gd name="connsiteX1" fmla="*/ 26621 w 37769"/>
              <a:gd name="connsiteY1" fmla="*/ 12053 h 37412"/>
              <a:gd name="connsiteX2" fmla="*/ 24254 w 37769"/>
              <a:gd name="connsiteY2" fmla="*/ 10331 h 37412"/>
              <a:gd name="connsiteX3" fmla="*/ 21415 w 37769"/>
              <a:gd name="connsiteY3" fmla="*/ 1878 h 37412"/>
              <a:gd name="connsiteX4" fmla="*/ 18891 w 37769"/>
              <a:gd name="connsiteY4" fmla="*/ 0 h 37412"/>
              <a:gd name="connsiteX5" fmla="*/ 16367 w 37769"/>
              <a:gd name="connsiteY5" fmla="*/ 1721 h 37412"/>
              <a:gd name="connsiteX6" fmla="*/ 13528 w 37769"/>
              <a:gd name="connsiteY6" fmla="*/ 10174 h 37412"/>
              <a:gd name="connsiteX7" fmla="*/ 11162 w 37769"/>
              <a:gd name="connsiteY7" fmla="*/ 11896 h 37412"/>
              <a:gd name="connsiteX8" fmla="*/ 2486 w 37769"/>
              <a:gd name="connsiteY8" fmla="*/ 11896 h 37412"/>
              <a:gd name="connsiteX9" fmla="*/ 120 w 37769"/>
              <a:gd name="connsiteY9" fmla="*/ 13618 h 37412"/>
              <a:gd name="connsiteX10" fmla="*/ 909 w 37769"/>
              <a:gd name="connsiteY10" fmla="*/ 16437 h 37412"/>
              <a:gd name="connsiteX11" fmla="*/ 3906 w 37769"/>
              <a:gd name="connsiteY11" fmla="*/ 19097 h 37412"/>
              <a:gd name="connsiteX12" fmla="*/ 7692 w 37769"/>
              <a:gd name="connsiteY12" fmla="*/ 22541 h 37412"/>
              <a:gd name="connsiteX13" fmla="*/ 8480 w 37769"/>
              <a:gd name="connsiteY13" fmla="*/ 23794 h 37412"/>
              <a:gd name="connsiteX14" fmla="*/ 8480 w 37769"/>
              <a:gd name="connsiteY14" fmla="*/ 25203 h 37412"/>
              <a:gd name="connsiteX15" fmla="*/ 5798 w 37769"/>
              <a:gd name="connsiteY15" fmla="*/ 34125 h 37412"/>
              <a:gd name="connsiteX16" fmla="*/ 6742 w 37769"/>
              <a:gd name="connsiteY16" fmla="*/ 36943 h 37412"/>
              <a:gd name="connsiteX17" fmla="*/ 9739 w 37769"/>
              <a:gd name="connsiteY17" fmla="*/ 36943 h 37412"/>
              <a:gd name="connsiteX18" fmla="*/ 17311 w 37769"/>
              <a:gd name="connsiteY18" fmla="*/ 31620 h 37412"/>
              <a:gd name="connsiteX19" fmla="*/ 20308 w 37769"/>
              <a:gd name="connsiteY19" fmla="*/ 31620 h 37412"/>
              <a:gd name="connsiteX20" fmla="*/ 27884 w 37769"/>
              <a:gd name="connsiteY20" fmla="*/ 36943 h 37412"/>
              <a:gd name="connsiteX21" fmla="*/ 30881 w 37769"/>
              <a:gd name="connsiteY21" fmla="*/ 36943 h 37412"/>
              <a:gd name="connsiteX22" fmla="*/ 31826 w 37769"/>
              <a:gd name="connsiteY22" fmla="*/ 34125 h 37412"/>
              <a:gd name="connsiteX23" fmla="*/ 29143 w 37769"/>
              <a:gd name="connsiteY23" fmla="*/ 25203 h 37412"/>
              <a:gd name="connsiteX24" fmla="*/ 29932 w 37769"/>
              <a:gd name="connsiteY24" fmla="*/ 22540 h 37412"/>
              <a:gd name="connsiteX25" fmla="*/ 36873 w 37769"/>
              <a:gd name="connsiteY25" fmla="*/ 16592 h 37412"/>
              <a:gd name="connsiteX26" fmla="*/ 37661 w 37769"/>
              <a:gd name="connsiteY26" fmla="*/ 13774 h 37412"/>
              <a:gd name="connsiteX27" fmla="*/ 35296 w 37769"/>
              <a:gd name="connsiteY27" fmla="*/ 12053 h 37412"/>
              <a:gd name="connsiteX28" fmla="*/ 21476 w 37769"/>
              <a:gd name="connsiteY28" fmla="*/ 24006 h 37412"/>
              <a:gd name="connsiteX29" fmla="*/ 16144 w 37769"/>
              <a:gd name="connsiteY29" fmla="*/ 24006 h 37412"/>
              <a:gd name="connsiteX30" fmla="*/ 15650 w 37769"/>
              <a:gd name="connsiteY30" fmla="*/ 21418 h 37412"/>
              <a:gd name="connsiteX31" fmla="*/ 14390 w 37769"/>
              <a:gd name="connsiteY31" fmla="*/ 18882 h 37412"/>
              <a:gd name="connsiteX32" fmla="*/ 18849 w 37769"/>
              <a:gd name="connsiteY32" fmla="*/ 15882 h 37412"/>
              <a:gd name="connsiteX33" fmla="*/ 23141 w 37769"/>
              <a:gd name="connsiteY33" fmla="*/ 18930 h 37412"/>
              <a:gd name="connsiteX34" fmla="*/ 21476 w 37769"/>
              <a:gd name="connsiteY34" fmla="*/ 24006 h 374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</a:cxnLst>
            <a:rect l="l" t="t" r="r" b="b"/>
            <a:pathLst>
              <a:path w="37769" h="37412">
                <a:moveTo>
                  <a:pt x="35296" y="12053"/>
                </a:moveTo>
                <a:lnTo>
                  <a:pt x="26621" y="12053"/>
                </a:lnTo>
                <a:cubicBezTo>
                  <a:pt x="25546" y="12028"/>
                  <a:pt x="24602" y="11340"/>
                  <a:pt x="24254" y="10331"/>
                </a:cubicBezTo>
                <a:lnTo>
                  <a:pt x="21415" y="1878"/>
                </a:lnTo>
                <a:cubicBezTo>
                  <a:pt x="21029" y="807"/>
                  <a:pt x="20036" y="68"/>
                  <a:pt x="18891" y="0"/>
                </a:cubicBezTo>
                <a:cubicBezTo>
                  <a:pt x="17793" y="64"/>
                  <a:pt x="16822" y="727"/>
                  <a:pt x="16367" y="1721"/>
                </a:cubicBezTo>
                <a:lnTo>
                  <a:pt x="13528" y="10174"/>
                </a:lnTo>
                <a:cubicBezTo>
                  <a:pt x="13236" y="11222"/>
                  <a:pt x="12257" y="11934"/>
                  <a:pt x="11162" y="11896"/>
                </a:cubicBezTo>
                <a:lnTo>
                  <a:pt x="2486" y="11896"/>
                </a:lnTo>
                <a:cubicBezTo>
                  <a:pt x="1392" y="11859"/>
                  <a:pt x="413" y="12571"/>
                  <a:pt x="120" y="13618"/>
                </a:cubicBezTo>
                <a:cubicBezTo>
                  <a:pt x="-192" y="14630"/>
                  <a:pt x="116" y="15730"/>
                  <a:pt x="909" y="16437"/>
                </a:cubicBezTo>
                <a:lnTo>
                  <a:pt x="3906" y="19097"/>
                </a:lnTo>
                <a:lnTo>
                  <a:pt x="7692" y="22541"/>
                </a:lnTo>
                <a:cubicBezTo>
                  <a:pt x="8044" y="22896"/>
                  <a:pt x="8313" y="23324"/>
                  <a:pt x="8480" y="23794"/>
                </a:cubicBezTo>
                <a:cubicBezTo>
                  <a:pt x="8638" y="24250"/>
                  <a:pt x="8638" y="24746"/>
                  <a:pt x="8480" y="25203"/>
                </a:cubicBezTo>
                <a:lnTo>
                  <a:pt x="5798" y="34125"/>
                </a:lnTo>
                <a:cubicBezTo>
                  <a:pt x="5438" y="35169"/>
                  <a:pt x="5825" y="36322"/>
                  <a:pt x="6742" y="36943"/>
                </a:cubicBezTo>
                <a:cubicBezTo>
                  <a:pt x="7642" y="37569"/>
                  <a:pt x="8840" y="37569"/>
                  <a:pt x="9739" y="36943"/>
                </a:cubicBezTo>
                <a:lnTo>
                  <a:pt x="17311" y="31620"/>
                </a:lnTo>
                <a:cubicBezTo>
                  <a:pt x="18210" y="30994"/>
                  <a:pt x="19408" y="30994"/>
                  <a:pt x="20308" y="31620"/>
                </a:cubicBezTo>
                <a:lnTo>
                  <a:pt x="27884" y="36943"/>
                </a:lnTo>
                <a:cubicBezTo>
                  <a:pt x="28784" y="37569"/>
                  <a:pt x="29981" y="37569"/>
                  <a:pt x="30881" y="36943"/>
                </a:cubicBezTo>
                <a:cubicBezTo>
                  <a:pt x="31778" y="36306"/>
                  <a:pt x="32159" y="35169"/>
                  <a:pt x="31826" y="34125"/>
                </a:cubicBezTo>
                <a:lnTo>
                  <a:pt x="29143" y="25203"/>
                </a:lnTo>
                <a:cubicBezTo>
                  <a:pt x="28830" y="24239"/>
                  <a:pt x="29143" y="23182"/>
                  <a:pt x="29932" y="22540"/>
                </a:cubicBezTo>
                <a:lnTo>
                  <a:pt x="36873" y="16592"/>
                </a:lnTo>
                <a:cubicBezTo>
                  <a:pt x="37648" y="15874"/>
                  <a:pt x="37952" y="14786"/>
                  <a:pt x="37661" y="13774"/>
                </a:cubicBezTo>
                <a:cubicBezTo>
                  <a:pt x="37275" y="12795"/>
                  <a:pt x="36354" y="12124"/>
                  <a:pt x="35296" y="12053"/>
                </a:cubicBezTo>
                <a:close/>
                <a:moveTo>
                  <a:pt x="21476" y="24006"/>
                </a:moveTo>
                <a:cubicBezTo>
                  <a:pt x="19731" y="23531"/>
                  <a:pt x="17889" y="23531"/>
                  <a:pt x="16144" y="24006"/>
                </a:cubicBezTo>
                <a:cubicBezTo>
                  <a:pt x="16098" y="23125"/>
                  <a:pt x="15931" y="22255"/>
                  <a:pt x="15650" y="21418"/>
                </a:cubicBezTo>
                <a:cubicBezTo>
                  <a:pt x="15344" y="20521"/>
                  <a:pt x="14921" y="19668"/>
                  <a:pt x="14390" y="18882"/>
                </a:cubicBezTo>
                <a:cubicBezTo>
                  <a:pt x="16128" y="18312"/>
                  <a:pt x="17672" y="17273"/>
                  <a:pt x="18849" y="15882"/>
                </a:cubicBezTo>
                <a:cubicBezTo>
                  <a:pt x="19981" y="17259"/>
                  <a:pt x="21463" y="18312"/>
                  <a:pt x="23141" y="18930"/>
                </a:cubicBezTo>
                <a:cubicBezTo>
                  <a:pt x="22134" y="20442"/>
                  <a:pt x="21558" y="22196"/>
                  <a:pt x="21476" y="2400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15" name="Freeform: Shape 514">
            <a:extLst>
              <a:ext uri="{FF2B5EF4-FFF2-40B4-BE49-F238E27FC236}">
                <a16:creationId xmlns:a16="http://schemas.microsoft.com/office/drawing/2014/main" id="{F998BD14-E20A-496C-B536-3016906B74B1}"/>
              </a:ext>
            </a:extLst>
          </xdr:cNvPr>
          <xdr:cNvSpPr/>
        </xdr:nvSpPr>
        <xdr:spPr>
          <a:xfrm>
            <a:off x="11744332" y="10610357"/>
            <a:ext cx="37769" cy="37412"/>
          </a:xfrm>
          <a:custGeom>
            <a:avLst/>
            <a:gdLst>
              <a:gd name="connsiteX0" fmla="*/ 17314 w 37769"/>
              <a:gd name="connsiteY0" fmla="*/ 31620 h 37412"/>
              <a:gd name="connsiteX1" fmla="*/ 20311 w 37769"/>
              <a:gd name="connsiteY1" fmla="*/ 31620 h 37412"/>
              <a:gd name="connsiteX2" fmla="*/ 27884 w 37769"/>
              <a:gd name="connsiteY2" fmla="*/ 36944 h 37412"/>
              <a:gd name="connsiteX3" fmla="*/ 30881 w 37769"/>
              <a:gd name="connsiteY3" fmla="*/ 36944 h 37412"/>
              <a:gd name="connsiteX4" fmla="*/ 31826 w 37769"/>
              <a:gd name="connsiteY4" fmla="*/ 34125 h 37412"/>
              <a:gd name="connsiteX5" fmla="*/ 29143 w 37769"/>
              <a:gd name="connsiteY5" fmla="*/ 25203 h 37412"/>
              <a:gd name="connsiteX6" fmla="*/ 29932 w 37769"/>
              <a:gd name="connsiteY6" fmla="*/ 22540 h 37412"/>
              <a:gd name="connsiteX7" fmla="*/ 36873 w 37769"/>
              <a:gd name="connsiteY7" fmla="*/ 16592 h 37412"/>
              <a:gd name="connsiteX8" fmla="*/ 37661 w 37769"/>
              <a:gd name="connsiteY8" fmla="*/ 13774 h 37412"/>
              <a:gd name="connsiteX9" fmla="*/ 35295 w 37769"/>
              <a:gd name="connsiteY9" fmla="*/ 12052 h 37412"/>
              <a:gd name="connsiteX10" fmla="*/ 26621 w 37769"/>
              <a:gd name="connsiteY10" fmla="*/ 12052 h 37412"/>
              <a:gd name="connsiteX11" fmla="*/ 24254 w 37769"/>
              <a:gd name="connsiteY11" fmla="*/ 10330 h 37412"/>
              <a:gd name="connsiteX12" fmla="*/ 21415 w 37769"/>
              <a:gd name="connsiteY12" fmla="*/ 1878 h 37412"/>
              <a:gd name="connsiteX13" fmla="*/ 18891 w 37769"/>
              <a:gd name="connsiteY13" fmla="*/ 0 h 37412"/>
              <a:gd name="connsiteX14" fmla="*/ 16367 w 37769"/>
              <a:gd name="connsiteY14" fmla="*/ 1721 h 37412"/>
              <a:gd name="connsiteX15" fmla="*/ 13528 w 37769"/>
              <a:gd name="connsiteY15" fmla="*/ 10174 h 37412"/>
              <a:gd name="connsiteX16" fmla="*/ 11162 w 37769"/>
              <a:gd name="connsiteY16" fmla="*/ 11896 h 37412"/>
              <a:gd name="connsiteX17" fmla="*/ 2487 w 37769"/>
              <a:gd name="connsiteY17" fmla="*/ 11896 h 37412"/>
              <a:gd name="connsiteX18" fmla="*/ 120 w 37769"/>
              <a:gd name="connsiteY18" fmla="*/ 13618 h 37412"/>
              <a:gd name="connsiteX19" fmla="*/ 909 w 37769"/>
              <a:gd name="connsiteY19" fmla="*/ 16437 h 37412"/>
              <a:gd name="connsiteX20" fmla="*/ 3906 w 37769"/>
              <a:gd name="connsiteY20" fmla="*/ 19097 h 37412"/>
              <a:gd name="connsiteX21" fmla="*/ 7692 w 37769"/>
              <a:gd name="connsiteY21" fmla="*/ 22541 h 37412"/>
              <a:gd name="connsiteX22" fmla="*/ 8480 w 37769"/>
              <a:gd name="connsiteY22" fmla="*/ 23794 h 37412"/>
              <a:gd name="connsiteX23" fmla="*/ 8480 w 37769"/>
              <a:gd name="connsiteY23" fmla="*/ 25203 h 37412"/>
              <a:gd name="connsiteX24" fmla="*/ 5798 w 37769"/>
              <a:gd name="connsiteY24" fmla="*/ 34125 h 37412"/>
              <a:gd name="connsiteX25" fmla="*/ 6744 w 37769"/>
              <a:gd name="connsiteY25" fmla="*/ 36944 h 37412"/>
              <a:gd name="connsiteX26" fmla="*/ 9741 w 37769"/>
              <a:gd name="connsiteY26" fmla="*/ 36944 h 37412"/>
              <a:gd name="connsiteX27" fmla="*/ 18848 w 37769"/>
              <a:gd name="connsiteY27" fmla="*/ 15886 h 37412"/>
              <a:gd name="connsiteX28" fmla="*/ 23141 w 37769"/>
              <a:gd name="connsiteY28" fmla="*/ 18935 h 37412"/>
              <a:gd name="connsiteX29" fmla="*/ 21476 w 37769"/>
              <a:gd name="connsiteY29" fmla="*/ 24006 h 37412"/>
              <a:gd name="connsiteX30" fmla="*/ 16144 w 37769"/>
              <a:gd name="connsiteY30" fmla="*/ 24006 h 37412"/>
              <a:gd name="connsiteX31" fmla="*/ 15650 w 37769"/>
              <a:gd name="connsiteY31" fmla="*/ 21419 h 37412"/>
              <a:gd name="connsiteX32" fmla="*/ 14390 w 37769"/>
              <a:gd name="connsiteY32" fmla="*/ 18882 h 37412"/>
              <a:gd name="connsiteX33" fmla="*/ 18848 w 37769"/>
              <a:gd name="connsiteY33" fmla="*/ 15886 h 374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</a:cxnLst>
            <a:rect l="l" t="t" r="r" b="b"/>
            <a:pathLst>
              <a:path w="37769" h="37412">
                <a:moveTo>
                  <a:pt x="17314" y="31620"/>
                </a:moveTo>
                <a:cubicBezTo>
                  <a:pt x="18213" y="30994"/>
                  <a:pt x="19411" y="30994"/>
                  <a:pt x="20311" y="31620"/>
                </a:cubicBezTo>
                <a:lnTo>
                  <a:pt x="27884" y="36944"/>
                </a:lnTo>
                <a:cubicBezTo>
                  <a:pt x="28784" y="37569"/>
                  <a:pt x="29981" y="37569"/>
                  <a:pt x="30881" y="36944"/>
                </a:cubicBezTo>
                <a:cubicBezTo>
                  <a:pt x="31778" y="36306"/>
                  <a:pt x="32159" y="35169"/>
                  <a:pt x="31826" y="34125"/>
                </a:cubicBezTo>
                <a:lnTo>
                  <a:pt x="29143" y="25203"/>
                </a:lnTo>
                <a:cubicBezTo>
                  <a:pt x="28830" y="24239"/>
                  <a:pt x="29143" y="23182"/>
                  <a:pt x="29932" y="22540"/>
                </a:cubicBezTo>
                <a:lnTo>
                  <a:pt x="36873" y="16592"/>
                </a:lnTo>
                <a:cubicBezTo>
                  <a:pt x="37648" y="15874"/>
                  <a:pt x="37952" y="14786"/>
                  <a:pt x="37661" y="13774"/>
                </a:cubicBezTo>
                <a:cubicBezTo>
                  <a:pt x="37275" y="12794"/>
                  <a:pt x="36353" y="12123"/>
                  <a:pt x="35295" y="12052"/>
                </a:cubicBezTo>
                <a:lnTo>
                  <a:pt x="26621" y="12052"/>
                </a:lnTo>
                <a:cubicBezTo>
                  <a:pt x="25546" y="12027"/>
                  <a:pt x="24601" y="11339"/>
                  <a:pt x="24254" y="10330"/>
                </a:cubicBezTo>
                <a:lnTo>
                  <a:pt x="21415" y="1878"/>
                </a:lnTo>
                <a:cubicBezTo>
                  <a:pt x="21029" y="807"/>
                  <a:pt x="20036" y="68"/>
                  <a:pt x="18891" y="0"/>
                </a:cubicBezTo>
                <a:cubicBezTo>
                  <a:pt x="17793" y="64"/>
                  <a:pt x="16821" y="727"/>
                  <a:pt x="16367" y="1721"/>
                </a:cubicBezTo>
                <a:lnTo>
                  <a:pt x="13528" y="10174"/>
                </a:lnTo>
                <a:cubicBezTo>
                  <a:pt x="13236" y="11223"/>
                  <a:pt x="12257" y="11934"/>
                  <a:pt x="11162" y="11896"/>
                </a:cubicBezTo>
                <a:lnTo>
                  <a:pt x="2487" y="11896"/>
                </a:lnTo>
                <a:cubicBezTo>
                  <a:pt x="1392" y="11859"/>
                  <a:pt x="413" y="12571"/>
                  <a:pt x="120" y="13618"/>
                </a:cubicBezTo>
                <a:cubicBezTo>
                  <a:pt x="-192" y="14630"/>
                  <a:pt x="115" y="15730"/>
                  <a:pt x="909" y="16437"/>
                </a:cubicBezTo>
                <a:lnTo>
                  <a:pt x="3906" y="19097"/>
                </a:lnTo>
                <a:lnTo>
                  <a:pt x="7692" y="22541"/>
                </a:lnTo>
                <a:cubicBezTo>
                  <a:pt x="8044" y="22896"/>
                  <a:pt x="8313" y="23324"/>
                  <a:pt x="8480" y="23794"/>
                </a:cubicBezTo>
                <a:cubicBezTo>
                  <a:pt x="8638" y="24250"/>
                  <a:pt x="8638" y="24746"/>
                  <a:pt x="8480" y="25203"/>
                </a:cubicBezTo>
                <a:lnTo>
                  <a:pt x="5798" y="34125"/>
                </a:lnTo>
                <a:cubicBezTo>
                  <a:pt x="5438" y="35169"/>
                  <a:pt x="5826" y="36323"/>
                  <a:pt x="6744" y="36944"/>
                </a:cubicBezTo>
                <a:cubicBezTo>
                  <a:pt x="7644" y="37569"/>
                  <a:pt x="8842" y="37569"/>
                  <a:pt x="9741" y="36944"/>
                </a:cubicBezTo>
                <a:close/>
                <a:moveTo>
                  <a:pt x="18848" y="15886"/>
                </a:moveTo>
                <a:cubicBezTo>
                  <a:pt x="19980" y="17263"/>
                  <a:pt x="21462" y="18316"/>
                  <a:pt x="23141" y="18935"/>
                </a:cubicBezTo>
                <a:cubicBezTo>
                  <a:pt x="22134" y="20445"/>
                  <a:pt x="21559" y="22197"/>
                  <a:pt x="21476" y="24006"/>
                </a:cubicBezTo>
                <a:cubicBezTo>
                  <a:pt x="19731" y="23531"/>
                  <a:pt x="17889" y="23531"/>
                  <a:pt x="16144" y="24006"/>
                </a:cubicBezTo>
                <a:cubicBezTo>
                  <a:pt x="16098" y="23125"/>
                  <a:pt x="15931" y="22255"/>
                  <a:pt x="15650" y="21419"/>
                </a:cubicBezTo>
                <a:cubicBezTo>
                  <a:pt x="15344" y="20522"/>
                  <a:pt x="14921" y="19668"/>
                  <a:pt x="14390" y="18882"/>
                </a:cubicBezTo>
                <a:cubicBezTo>
                  <a:pt x="16128" y="18313"/>
                  <a:pt x="17671" y="17276"/>
                  <a:pt x="18848" y="1588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16" name="Freeform: Shape 515">
            <a:extLst>
              <a:ext uri="{FF2B5EF4-FFF2-40B4-BE49-F238E27FC236}">
                <a16:creationId xmlns:a16="http://schemas.microsoft.com/office/drawing/2014/main" id="{C769C6CF-358F-4C63-B412-9D3BB0E67B0E}"/>
              </a:ext>
            </a:extLst>
          </xdr:cNvPr>
          <xdr:cNvSpPr/>
        </xdr:nvSpPr>
        <xdr:spPr>
          <a:xfrm>
            <a:off x="12005038" y="10782482"/>
            <a:ext cx="37769" cy="37414"/>
          </a:xfrm>
          <a:custGeom>
            <a:avLst/>
            <a:gdLst>
              <a:gd name="connsiteX0" fmla="*/ 35296 w 37769"/>
              <a:gd name="connsiteY0" fmla="*/ 12054 h 37414"/>
              <a:gd name="connsiteX1" fmla="*/ 26621 w 37769"/>
              <a:gd name="connsiteY1" fmla="*/ 12054 h 37414"/>
              <a:gd name="connsiteX2" fmla="*/ 24254 w 37769"/>
              <a:gd name="connsiteY2" fmla="*/ 10332 h 37414"/>
              <a:gd name="connsiteX3" fmla="*/ 21415 w 37769"/>
              <a:gd name="connsiteY3" fmla="*/ 1879 h 37414"/>
              <a:gd name="connsiteX4" fmla="*/ 18891 w 37769"/>
              <a:gd name="connsiteY4" fmla="*/ 0 h 37414"/>
              <a:gd name="connsiteX5" fmla="*/ 16367 w 37769"/>
              <a:gd name="connsiteY5" fmla="*/ 1722 h 37414"/>
              <a:gd name="connsiteX6" fmla="*/ 13528 w 37769"/>
              <a:gd name="connsiteY6" fmla="*/ 10175 h 37414"/>
              <a:gd name="connsiteX7" fmla="*/ 11162 w 37769"/>
              <a:gd name="connsiteY7" fmla="*/ 11897 h 37414"/>
              <a:gd name="connsiteX8" fmla="*/ 2487 w 37769"/>
              <a:gd name="connsiteY8" fmla="*/ 11897 h 37414"/>
              <a:gd name="connsiteX9" fmla="*/ 120 w 37769"/>
              <a:gd name="connsiteY9" fmla="*/ 13620 h 37414"/>
              <a:gd name="connsiteX10" fmla="*/ 909 w 37769"/>
              <a:gd name="connsiteY10" fmla="*/ 16437 h 37414"/>
              <a:gd name="connsiteX11" fmla="*/ 3906 w 37769"/>
              <a:gd name="connsiteY11" fmla="*/ 19100 h 37414"/>
              <a:gd name="connsiteX12" fmla="*/ 7692 w 37769"/>
              <a:gd name="connsiteY12" fmla="*/ 22544 h 37414"/>
              <a:gd name="connsiteX13" fmla="*/ 8480 w 37769"/>
              <a:gd name="connsiteY13" fmla="*/ 23796 h 37414"/>
              <a:gd name="connsiteX14" fmla="*/ 8480 w 37769"/>
              <a:gd name="connsiteY14" fmla="*/ 25206 h 37414"/>
              <a:gd name="connsiteX15" fmla="*/ 5798 w 37769"/>
              <a:gd name="connsiteY15" fmla="*/ 34128 h 37414"/>
              <a:gd name="connsiteX16" fmla="*/ 6744 w 37769"/>
              <a:gd name="connsiteY16" fmla="*/ 36945 h 37414"/>
              <a:gd name="connsiteX17" fmla="*/ 9741 w 37769"/>
              <a:gd name="connsiteY17" fmla="*/ 36945 h 37414"/>
              <a:gd name="connsiteX18" fmla="*/ 17313 w 37769"/>
              <a:gd name="connsiteY18" fmla="*/ 31623 h 37414"/>
              <a:gd name="connsiteX19" fmla="*/ 20310 w 37769"/>
              <a:gd name="connsiteY19" fmla="*/ 31623 h 37414"/>
              <a:gd name="connsiteX20" fmla="*/ 27884 w 37769"/>
              <a:gd name="connsiteY20" fmla="*/ 36944 h 37414"/>
              <a:gd name="connsiteX21" fmla="*/ 30881 w 37769"/>
              <a:gd name="connsiteY21" fmla="*/ 36944 h 37414"/>
              <a:gd name="connsiteX22" fmla="*/ 31826 w 37769"/>
              <a:gd name="connsiteY22" fmla="*/ 34127 h 37414"/>
              <a:gd name="connsiteX23" fmla="*/ 29143 w 37769"/>
              <a:gd name="connsiteY23" fmla="*/ 25204 h 37414"/>
              <a:gd name="connsiteX24" fmla="*/ 29932 w 37769"/>
              <a:gd name="connsiteY24" fmla="*/ 22541 h 37414"/>
              <a:gd name="connsiteX25" fmla="*/ 36873 w 37769"/>
              <a:gd name="connsiteY25" fmla="*/ 16593 h 37414"/>
              <a:gd name="connsiteX26" fmla="*/ 37661 w 37769"/>
              <a:gd name="connsiteY26" fmla="*/ 13775 h 37414"/>
              <a:gd name="connsiteX27" fmla="*/ 35296 w 37769"/>
              <a:gd name="connsiteY27" fmla="*/ 12054 h 37414"/>
              <a:gd name="connsiteX28" fmla="*/ 21476 w 37769"/>
              <a:gd name="connsiteY28" fmla="*/ 24007 h 37414"/>
              <a:gd name="connsiteX29" fmla="*/ 16144 w 37769"/>
              <a:gd name="connsiteY29" fmla="*/ 24007 h 37414"/>
              <a:gd name="connsiteX30" fmla="*/ 15650 w 37769"/>
              <a:gd name="connsiteY30" fmla="*/ 21420 h 37414"/>
              <a:gd name="connsiteX31" fmla="*/ 14390 w 37769"/>
              <a:gd name="connsiteY31" fmla="*/ 18883 h 37414"/>
              <a:gd name="connsiteX32" fmla="*/ 18849 w 37769"/>
              <a:gd name="connsiteY32" fmla="*/ 15883 h 37414"/>
              <a:gd name="connsiteX33" fmla="*/ 23141 w 37769"/>
              <a:gd name="connsiteY33" fmla="*/ 18932 h 37414"/>
              <a:gd name="connsiteX34" fmla="*/ 21476 w 37769"/>
              <a:gd name="connsiteY34" fmla="*/ 24007 h 3741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</a:cxnLst>
            <a:rect l="l" t="t" r="r" b="b"/>
            <a:pathLst>
              <a:path w="37769" h="37414">
                <a:moveTo>
                  <a:pt x="35296" y="12054"/>
                </a:moveTo>
                <a:lnTo>
                  <a:pt x="26621" y="12054"/>
                </a:lnTo>
                <a:cubicBezTo>
                  <a:pt x="25546" y="12029"/>
                  <a:pt x="24602" y="11341"/>
                  <a:pt x="24254" y="10332"/>
                </a:cubicBezTo>
                <a:lnTo>
                  <a:pt x="21415" y="1879"/>
                </a:lnTo>
                <a:cubicBezTo>
                  <a:pt x="21029" y="807"/>
                  <a:pt x="20036" y="68"/>
                  <a:pt x="18891" y="0"/>
                </a:cubicBezTo>
                <a:cubicBezTo>
                  <a:pt x="17793" y="65"/>
                  <a:pt x="16822" y="728"/>
                  <a:pt x="16367" y="1722"/>
                </a:cubicBezTo>
                <a:lnTo>
                  <a:pt x="13528" y="10175"/>
                </a:lnTo>
                <a:cubicBezTo>
                  <a:pt x="13236" y="11223"/>
                  <a:pt x="12257" y="11935"/>
                  <a:pt x="11162" y="11897"/>
                </a:cubicBezTo>
                <a:lnTo>
                  <a:pt x="2487" y="11897"/>
                </a:lnTo>
                <a:cubicBezTo>
                  <a:pt x="1392" y="11859"/>
                  <a:pt x="413" y="12572"/>
                  <a:pt x="120" y="13620"/>
                </a:cubicBezTo>
                <a:cubicBezTo>
                  <a:pt x="-192" y="14631"/>
                  <a:pt x="116" y="15731"/>
                  <a:pt x="909" y="16437"/>
                </a:cubicBezTo>
                <a:lnTo>
                  <a:pt x="3906" y="19100"/>
                </a:lnTo>
                <a:lnTo>
                  <a:pt x="7692" y="22544"/>
                </a:lnTo>
                <a:cubicBezTo>
                  <a:pt x="8044" y="22899"/>
                  <a:pt x="8313" y="23327"/>
                  <a:pt x="8480" y="23796"/>
                </a:cubicBezTo>
                <a:cubicBezTo>
                  <a:pt x="8638" y="24253"/>
                  <a:pt x="8638" y="24749"/>
                  <a:pt x="8480" y="25206"/>
                </a:cubicBezTo>
                <a:lnTo>
                  <a:pt x="5798" y="34128"/>
                </a:lnTo>
                <a:cubicBezTo>
                  <a:pt x="5439" y="35172"/>
                  <a:pt x="5826" y="36325"/>
                  <a:pt x="6744" y="36945"/>
                </a:cubicBezTo>
                <a:cubicBezTo>
                  <a:pt x="7644" y="37571"/>
                  <a:pt x="8842" y="37571"/>
                  <a:pt x="9741" y="36945"/>
                </a:cubicBezTo>
                <a:lnTo>
                  <a:pt x="17313" y="31623"/>
                </a:lnTo>
                <a:cubicBezTo>
                  <a:pt x="18212" y="30997"/>
                  <a:pt x="19410" y="30997"/>
                  <a:pt x="20310" y="31623"/>
                </a:cubicBezTo>
                <a:lnTo>
                  <a:pt x="27884" y="36944"/>
                </a:lnTo>
                <a:cubicBezTo>
                  <a:pt x="28783" y="37569"/>
                  <a:pt x="29982" y="37569"/>
                  <a:pt x="30881" y="36944"/>
                </a:cubicBezTo>
                <a:cubicBezTo>
                  <a:pt x="31778" y="36307"/>
                  <a:pt x="32159" y="35169"/>
                  <a:pt x="31826" y="34127"/>
                </a:cubicBezTo>
                <a:lnTo>
                  <a:pt x="29143" y="25204"/>
                </a:lnTo>
                <a:cubicBezTo>
                  <a:pt x="28830" y="24240"/>
                  <a:pt x="29143" y="23183"/>
                  <a:pt x="29932" y="22541"/>
                </a:cubicBezTo>
                <a:lnTo>
                  <a:pt x="36873" y="16593"/>
                </a:lnTo>
                <a:cubicBezTo>
                  <a:pt x="37648" y="15875"/>
                  <a:pt x="37953" y="14787"/>
                  <a:pt x="37661" y="13775"/>
                </a:cubicBezTo>
                <a:cubicBezTo>
                  <a:pt x="37275" y="12795"/>
                  <a:pt x="36354" y="12125"/>
                  <a:pt x="35296" y="12054"/>
                </a:cubicBezTo>
                <a:close/>
                <a:moveTo>
                  <a:pt x="21476" y="24007"/>
                </a:moveTo>
                <a:cubicBezTo>
                  <a:pt x="19731" y="23532"/>
                  <a:pt x="17889" y="23532"/>
                  <a:pt x="16144" y="24007"/>
                </a:cubicBezTo>
                <a:cubicBezTo>
                  <a:pt x="16098" y="23126"/>
                  <a:pt x="15931" y="22256"/>
                  <a:pt x="15650" y="21420"/>
                </a:cubicBezTo>
                <a:cubicBezTo>
                  <a:pt x="15345" y="20523"/>
                  <a:pt x="14921" y="19670"/>
                  <a:pt x="14390" y="18883"/>
                </a:cubicBezTo>
                <a:cubicBezTo>
                  <a:pt x="16128" y="18313"/>
                  <a:pt x="17672" y="17274"/>
                  <a:pt x="18849" y="15883"/>
                </a:cubicBezTo>
                <a:cubicBezTo>
                  <a:pt x="19981" y="17260"/>
                  <a:pt x="21462" y="18312"/>
                  <a:pt x="23141" y="18932"/>
                </a:cubicBezTo>
                <a:cubicBezTo>
                  <a:pt x="22134" y="20443"/>
                  <a:pt x="21558" y="22197"/>
                  <a:pt x="21476" y="2400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17" name="Freeform: Shape 516">
            <a:extLst>
              <a:ext uri="{FF2B5EF4-FFF2-40B4-BE49-F238E27FC236}">
                <a16:creationId xmlns:a16="http://schemas.microsoft.com/office/drawing/2014/main" id="{C253CD4B-EA0F-42F7-B71D-09C3DBD55B85}"/>
              </a:ext>
            </a:extLst>
          </xdr:cNvPr>
          <xdr:cNvSpPr/>
        </xdr:nvSpPr>
        <xdr:spPr>
          <a:xfrm>
            <a:off x="12027708" y="10599107"/>
            <a:ext cx="37769" cy="37412"/>
          </a:xfrm>
          <a:custGeom>
            <a:avLst/>
            <a:gdLst>
              <a:gd name="connsiteX0" fmla="*/ 3906 w 37769"/>
              <a:gd name="connsiteY0" fmla="*/ 19098 h 37412"/>
              <a:gd name="connsiteX1" fmla="*/ 7692 w 37769"/>
              <a:gd name="connsiteY1" fmla="*/ 22542 h 37412"/>
              <a:gd name="connsiteX2" fmla="*/ 8480 w 37769"/>
              <a:gd name="connsiteY2" fmla="*/ 23794 h 37412"/>
              <a:gd name="connsiteX3" fmla="*/ 8480 w 37769"/>
              <a:gd name="connsiteY3" fmla="*/ 25203 h 37412"/>
              <a:gd name="connsiteX4" fmla="*/ 5798 w 37769"/>
              <a:gd name="connsiteY4" fmla="*/ 34125 h 37412"/>
              <a:gd name="connsiteX5" fmla="*/ 6744 w 37769"/>
              <a:gd name="connsiteY5" fmla="*/ 36944 h 37412"/>
              <a:gd name="connsiteX6" fmla="*/ 9741 w 37769"/>
              <a:gd name="connsiteY6" fmla="*/ 36944 h 37412"/>
              <a:gd name="connsiteX7" fmla="*/ 17313 w 37769"/>
              <a:gd name="connsiteY7" fmla="*/ 31622 h 37412"/>
              <a:gd name="connsiteX8" fmla="*/ 20310 w 37769"/>
              <a:gd name="connsiteY8" fmla="*/ 31622 h 37412"/>
              <a:gd name="connsiteX9" fmla="*/ 27884 w 37769"/>
              <a:gd name="connsiteY9" fmla="*/ 36944 h 37412"/>
              <a:gd name="connsiteX10" fmla="*/ 30881 w 37769"/>
              <a:gd name="connsiteY10" fmla="*/ 36944 h 37412"/>
              <a:gd name="connsiteX11" fmla="*/ 31826 w 37769"/>
              <a:gd name="connsiteY11" fmla="*/ 34125 h 37412"/>
              <a:gd name="connsiteX12" fmla="*/ 29143 w 37769"/>
              <a:gd name="connsiteY12" fmla="*/ 25203 h 37412"/>
              <a:gd name="connsiteX13" fmla="*/ 29932 w 37769"/>
              <a:gd name="connsiteY13" fmla="*/ 22542 h 37412"/>
              <a:gd name="connsiteX14" fmla="*/ 36872 w 37769"/>
              <a:gd name="connsiteY14" fmla="*/ 16593 h 37412"/>
              <a:gd name="connsiteX15" fmla="*/ 37661 w 37769"/>
              <a:gd name="connsiteY15" fmla="*/ 13776 h 37412"/>
              <a:gd name="connsiteX16" fmla="*/ 35295 w 37769"/>
              <a:gd name="connsiteY16" fmla="*/ 12054 h 37412"/>
              <a:gd name="connsiteX17" fmla="*/ 26621 w 37769"/>
              <a:gd name="connsiteY17" fmla="*/ 12054 h 37412"/>
              <a:gd name="connsiteX18" fmla="*/ 24254 w 37769"/>
              <a:gd name="connsiteY18" fmla="*/ 10332 h 37412"/>
              <a:gd name="connsiteX19" fmla="*/ 21415 w 37769"/>
              <a:gd name="connsiteY19" fmla="*/ 1879 h 37412"/>
              <a:gd name="connsiteX20" fmla="*/ 18891 w 37769"/>
              <a:gd name="connsiteY20" fmla="*/ 0 h 37412"/>
              <a:gd name="connsiteX21" fmla="*/ 16367 w 37769"/>
              <a:gd name="connsiteY21" fmla="*/ 1722 h 37412"/>
              <a:gd name="connsiteX22" fmla="*/ 13528 w 37769"/>
              <a:gd name="connsiteY22" fmla="*/ 10175 h 37412"/>
              <a:gd name="connsiteX23" fmla="*/ 11162 w 37769"/>
              <a:gd name="connsiteY23" fmla="*/ 11897 h 37412"/>
              <a:gd name="connsiteX24" fmla="*/ 2486 w 37769"/>
              <a:gd name="connsiteY24" fmla="*/ 11897 h 37412"/>
              <a:gd name="connsiteX25" fmla="*/ 120 w 37769"/>
              <a:gd name="connsiteY25" fmla="*/ 13620 h 37412"/>
              <a:gd name="connsiteX26" fmla="*/ 909 w 37769"/>
              <a:gd name="connsiteY26" fmla="*/ 16437 h 37412"/>
              <a:gd name="connsiteX27" fmla="*/ 18849 w 37769"/>
              <a:gd name="connsiteY27" fmla="*/ 15887 h 37412"/>
              <a:gd name="connsiteX28" fmla="*/ 23141 w 37769"/>
              <a:gd name="connsiteY28" fmla="*/ 18936 h 37412"/>
              <a:gd name="connsiteX29" fmla="*/ 21476 w 37769"/>
              <a:gd name="connsiteY29" fmla="*/ 24007 h 37412"/>
              <a:gd name="connsiteX30" fmla="*/ 16144 w 37769"/>
              <a:gd name="connsiteY30" fmla="*/ 24009 h 37412"/>
              <a:gd name="connsiteX31" fmla="*/ 15649 w 37769"/>
              <a:gd name="connsiteY31" fmla="*/ 21422 h 37412"/>
              <a:gd name="connsiteX32" fmla="*/ 14390 w 37769"/>
              <a:gd name="connsiteY32" fmla="*/ 18886 h 37412"/>
              <a:gd name="connsiteX33" fmla="*/ 18849 w 37769"/>
              <a:gd name="connsiteY33" fmla="*/ 15887 h 374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</a:cxnLst>
            <a:rect l="l" t="t" r="r" b="b"/>
            <a:pathLst>
              <a:path w="37769" h="37412">
                <a:moveTo>
                  <a:pt x="3906" y="19098"/>
                </a:moveTo>
                <a:lnTo>
                  <a:pt x="7692" y="22542"/>
                </a:lnTo>
                <a:cubicBezTo>
                  <a:pt x="8044" y="22897"/>
                  <a:pt x="8313" y="23324"/>
                  <a:pt x="8480" y="23794"/>
                </a:cubicBezTo>
                <a:cubicBezTo>
                  <a:pt x="8638" y="24250"/>
                  <a:pt x="8638" y="24746"/>
                  <a:pt x="8480" y="25203"/>
                </a:cubicBezTo>
                <a:lnTo>
                  <a:pt x="5798" y="34125"/>
                </a:lnTo>
                <a:cubicBezTo>
                  <a:pt x="5438" y="35169"/>
                  <a:pt x="5826" y="36323"/>
                  <a:pt x="6744" y="36944"/>
                </a:cubicBezTo>
                <a:cubicBezTo>
                  <a:pt x="7644" y="37569"/>
                  <a:pt x="8842" y="37569"/>
                  <a:pt x="9741" y="36944"/>
                </a:cubicBezTo>
                <a:lnTo>
                  <a:pt x="17313" y="31622"/>
                </a:lnTo>
                <a:cubicBezTo>
                  <a:pt x="18212" y="30994"/>
                  <a:pt x="19410" y="30994"/>
                  <a:pt x="20310" y="31622"/>
                </a:cubicBezTo>
                <a:lnTo>
                  <a:pt x="27884" y="36944"/>
                </a:lnTo>
                <a:cubicBezTo>
                  <a:pt x="28783" y="37569"/>
                  <a:pt x="29981" y="37569"/>
                  <a:pt x="30881" y="36944"/>
                </a:cubicBezTo>
                <a:cubicBezTo>
                  <a:pt x="31778" y="36306"/>
                  <a:pt x="32159" y="35169"/>
                  <a:pt x="31826" y="34125"/>
                </a:cubicBezTo>
                <a:lnTo>
                  <a:pt x="29143" y="25203"/>
                </a:lnTo>
                <a:cubicBezTo>
                  <a:pt x="28830" y="24239"/>
                  <a:pt x="29143" y="23184"/>
                  <a:pt x="29932" y="22542"/>
                </a:cubicBezTo>
                <a:lnTo>
                  <a:pt x="36872" y="16593"/>
                </a:lnTo>
                <a:cubicBezTo>
                  <a:pt x="37648" y="15876"/>
                  <a:pt x="37952" y="14787"/>
                  <a:pt x="37661" y="13776"/>
                </a:cubicBezTo>
                <a:cubicBezTo>
                  <a:pt x="37275" y="12796"/>
                  <a:pt x="36353" y="12125"/>
                  <a:pt x="35295" y="12054"/>
                </a:cubicBezTo>
                <a:lnTo>
                  <a:pt x="26621" y="12054"/>
                </a:lnTo>
                <a:cubicBezTo>
                  <a:pt x="25546" y="12029"/>
                  <a:pt x="24601" y="11341"/>
                  <a:pt x="24254" y="10332"/>
                </a:cubicBezTo>
                <a:lnTo>
                  <a:pt x="21415" y="1879"/>
                </a:lnTo>
                <a:cubicBezTo>
                  <a:pt x="21029" y="807"/>
                  <a:pt x="20036" y="68"/>
                  <a:pt x="18891" y="0"/>
                </a:cubicBezTo>
                <a:cubicBezTo>
                  <a:pt x="17793" y="65"/>
                  <a:pt x="16821" y="728"/>
                  <a:pt x="16367" y="1722"/>
                </a:cubicBezTo>
                <a:lnTo>
                  <a:pt x="13528" y="10175"/>
                </a:lnTo>
                <a:cubicBezTo>
                  <a:pt x="13235" y="11223"/>
                  <a:pt x="12257" y="11935"/>
                  <a:pt x="11162" y="11897"/>
                </a:cubicBezTo>
                <a:lnTo>
                  <a:pt x="2486" y="11897"/>
                </a:lnTo>
                <a:cubicBezTo>
                  <a:pt x="1391" y="11859"/>
                  <a:pt x="413" y="12571"/>
                  <a:pt x="120" y="13620"/>
                </a:cubicBezTo>
                <a:cubicBezTo>
                  <a:pt x="-192" y="14631"/>
                  <a:pt x="115" y="15730"/>
                  <a:pt x="909" y="16437"/>
                </a:cubicBezTo>
                <a:close/>
                <a:moveTo>
                  <a:pt x="18849" y="15887"/>
                </a:moveTo>
                <a:cubicBezTo>
                  <a:pt x="19981" y="17265"/>
                  <a:pt x="21462" y="18317"/>
                  <a:pt x="23141" y="18936"/>
                </a:cubicBezTo>
                <a:cubicBezTo>
                  <a:pt x="22134" y="20446"/>
                  <a:pt x="21558" y="22198"/>
                  <a:pt x="21476" y="24007"/>
                </a:cubicBezTo>
                <a:cubicBezTo>
                  <a:pt x="19731" y="23532"/>
                  <a:pt x="17889" y="23533"/>
                  <a:pt x="16144" y="24009"/>
                </a:cubicBezTo>
                <a:cubicBezTo>
                  <a:pt x="16097" y="23128"/>
                  <a:pt x="15931" y="22258"/>
                  <a:pt x="15649" y="21422"/>
                </a:cubicBezTo>
                <a:cubicBezTo>
                  <a:pt x="15344" y="20525"/>
                  <a:pt x="14921" y="19672"/>
                  <a:pt x="14390" y="18886"/>
                </a:cubicBezTo>
                <a:cubicBezTo>
                  <a:pt x="16128" y="18316"/>
                  <a:pt x="17672" y="17278"/>
                  <a:pt x="18849" y="1588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18" name="Freeform: Shape 517">
            <a:extLst>
              <a:ext uri="{FF2B5EF4-FFF2-40B4-BE49-F238E27FC236}">
                <a16:creationId xmlns:a16="http://schemas.microsoft.com/office/drawing/2014/main" id="{4F30A398-B097-4333-BD4B-4CF1DB787B54}"/>
              </a:ext>
            </a:extLst>
          </xdr:cNvPr>
          <xdr:cNvSpPr/>
        </xdr:nvSpPr>
        <xdr:spPr>
          <a:xfrm>
            <a:off x="12076826" y="10722814"/>
            <a:ext cx="15113" cy="15000"/>
          </a:xfrm>
          <a:custGeom>
            <a:avLst/>
            <a:gdLst>
              <a:gd name="connsiteX0" fmla="*/ 15113 w 15113"/>
              <a:gd name="connsiteY0" fmla="*/ 7500 h 15000"/>
              <a:gd name="connsiteX1" fmla="*/ 7557 w 15113"/>
              <a:gd name="connsiteY1" fmla="*/ 15000 h 15000"/>
              <a:gd name="connsiteX2" fmla="*/ 0 w 15113"/>
              <a:gd name="connsiteY2" fmla="*/ 7500 h 15000"/>
              <a:gd name="connsiteX3" fmla="*/ 7557 w 15113"/>
              <a:gd name="connsiteY3" fmla="*/ 0 h 15000"/>
              <a:gd name="connsiteX4" fmla="*/ 15113 w 15113"/>
              <a:gd name="connsiteY4" fmla="*/ 7500 h 15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113" h="15000">
                <a:moveTo>
                  <a:pt x="15113" y="7500"/>
                </a:moveTo>
                <a:cubicBezTo>
                  <a:pt x="15113" y="11642"/>
                  <a:pt x="11730" y="15000"/>
                  <a:pt x="7557" y="15000"/>
                </a:cubicBezTo>
                <a:cubicBezTo>
                  <a:pt x="3383" y="15000"/>
                  <a:pt x="0" y="11642"/>
                  <a:pt x="0" y="7500"/>
                </a:cubicBezTo>
                <a:cubicBezTo>
                  <a:pt x="0" y="3358"/>
                  <a:pt x="3383" y="0"/>
                  <a:pt x="7557" y="0"/>
                </a:cubicBezTo>
                <a:cubicBezTo>
                  <a:pt x="11730" y="0"/>
                  <a:pt x="15113" y="3358"/>
                  <a:pt x="15113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6</xdr:col>
      <xdr:colOff>148604</xdr:colOff>
      <xdr:row>11</xdr:row>
      <xdr:rowOff>128306</xdr:rowOff>
    </xdr:from>
    <xdr:to>
      <xdr:col>6</xdr:col>
      <xdr:colOff>435440</xdr:colOff>
      <xdr:row>11</xdr:row>
      <xdr:rowOff>451240</xdr:rowOff>
    </xdr:to>
    <xdr:sp macro="" textlink="">
      <xdr:nvSpPr>
        <xdr:cNvPr id="537" name="grapes" descr="Grapes outline">
          <a:extLst>
            <a:ext uri="{FF2B5EF4-FFF2-40B4-BE49-F238E27FC236}">
              <a16:creationId xmlns:a16="http://schemas.microsoft.com/office/drawing/2014/main" id="{54467D4B-6FC6-4D7C-9FE7-36BC7AD04028}"/>
            </a:ext>
          </a:extLst>
        </xdr:cNvPr>
        <xdr:cNvSpPr>
          <a:spLocks noChangeAspect="1"/>
        </xdr:cNvSpPr>
      </xdr:nvSpPr>
      <xdr:spPr>
        <a:xfrm>
          <a:off x="4901579" y="4566956"/>
          <a:ext cx="286836" cy="322934"/>
        </a:xfrm>
        <a:custGeom>
          <a:avLst/>
          <a:gdLst>
            <a:gd name="connsiteX0" fmla="*/ 286832 w 286836"/>
            <a:gd name="connsiteY0" fmla="*/ 135335 h 322934"/>
            <a:gd name="connsiteX1" fmla="*/ 250042 w 286836"/>
            <a:gd name="connsiteY1" fmla="*/ 98206 h 322934"/>
            <a:gd name="connsiteX2" fmla="*/ 252128 w 286836"/>
            <a:gd name="connsiteY2" fmla="*/ 85391 h 322934"/>
            <a:gd name="connsiteX3" fmla="*/ 214070 w 286836"/>
            <a:gd name="connsiteY3" fmla="*/ 48199 h 322934"/>
            <a:gd name="connsiteX4" fmla="*/ 213461 w 286836"/>
            <a:gd name="connsiteY4" fmla="*/ 48204 h 322934"/>
            <a:gd name="connsiteX5" fmla="*/ 178726 w 286836"/>
            <a:gd name="connsiteY5" fmla="*/ 71885 h 322934"/>
            <a:gd name="connsiteX6" fmla="*/ 172076 w 286836"/>
            <a:gd name="connsiteY6" fmla="*/ 63890 h 322934"/>
            <a:gd name="connsiteX7" fmla="*/ 173933 w 286836"/>
            <a:gd name="connsiteY7" fmla="*/ 53531 h 322934"/>
            <a:gd name="connsiteX8" fmla="*/ 202573 w 286836"/>
            <a:gd name="connsiteY8" fmla="*/ 6004 h 322934"/>
            <a:gd name="connsiteX9" fmla="*/ 198041 w 286836"/>
            <a:gd name="connsiteY9" fmla="*/ 0 h 322934"/>
            <a:gd name="connsiteX10" fmla="*/ 177667 w 286836"/>
            <a:gd name="connsiteY10" fmla="*/ 24252 h 322934"/>
            <a:gd name="connsiteX11" fmla="*/ 126113 w 286836"/>
            <a:gd name="connsiteY11" fmla="*/ 40635 h 322934"/>
            <a:gd name="connsiteX12" fmla="*/ 121893 w 286836"/>
            <a:gd name="connsiteY12" fmla="*/ 33225 h 322934"/>
            <a:gd name="connsiteX13" fmla="*/ 105658 w 286836"/>
            <a:gd name="connsiteY13" fmla="*/ 9260 h 322934"/>
            <a:gd name="connsiteX14" fmla="*/ 77124 w 286836"/>
            <a:gd name="connsiteY14" fmla="*/ 797 h 322934"/>
            <a:gd name="connsiteX15" fmla="*/ 59800 w 286836"/>
            <a:gd name="connsiteY15" fmla="*/ 2703 h 322934"/>
            <a:gd name="connsiteX16" fmla="*/ 66201 w 286836"/>
            <a:gd name="connsiteY16" fmla="*/ 23377 h 322934"/>
            <a:gd name="connsiteX17" fmla="*/ 64357 w 286836"/>
            <a:gd name="connsiteY17" fmla="*/ 23409 h 322934"/>
            <a:gd name="connsiteX18" fmla="*/ 57319 w 286836"/>
            <a:gd name="connsiteY18" fmla="*/ 24200 h 322934"/>
            <a:gd name="connsiteX19" fmla="*/ 0 w 286836"/>
            <a:gd name="connsiteY19" fmla="*/ 68935 h 322934"/>
            <a:gd name="connsiteX20" fmla="*/ 41084 w 286836"/>
            <a:gd name="connsiteY20" fmla="*/ 91956 h 322934"/>
            <a:gd name="connsiteX21" fmla="*/ 40159 w 286836"/>
            <a:gd name="connsiteY21" fmla="*/ 92984 h 322934"/>
            <a:gd name="connsiteX22" fmla="*/ 23392 w 286836"/>
            <a:gd name="connsiteY22" fmla="*/ 173365 h 322934"/>
            <a:gd name="connsiteX23" fmla="*/ 26125 w 286836"/>
            <a:gd name="connsiteY23" fmla="*/ 173423 h 322934"/>
            <a:gd name="connsiteX24" fmla="*/ 47800 w 286836"/>
            <a:gd name="connsiteY24" fmla="*/ 171186 h 322934"/>
            <a:gd name="connsiteX25" fmla="*/ 54253 w 286836"/>
            <a:gd name="connsiteY25" fmla="*/ 161955 h 322934"/>
            <a:gd name="connsiteX26" fmla="*/ 29670 w 286836"/>
            <a:gd name="connsiteY26" fmla="*/ 165849 h 322934"/>
            <a:gd name="connsiteX27" fmla="*/ 45980 w 286836"/>
            <a:gd name="connsiteY27" fmla="*/ 97767 h 322934"/>
            <a:gd name="connsiteX28" fmla="*/ 46814 w 286836"/>
            <a:gd name="connsiteY28" fmla="*/ 96846 h 322934"/>
            <a:gd name="connsiteX29" fmla="*/ 55761 w 286836"/>
            <a:gd name="connsiteY29" fmla="*/ 86519 h 322934"/>
            <a:gd name="connsiteX30" fmla="*/ 42184 w 286836"/>
            <a:gd name="connsiteY30" fmla="*/ 84535 h 322934"/>
            <a:gd name="connsiteX31" fmla="*/ 9933 w 286836"/>
            <a:gd name="connsiteY31" fmla="*/ 68108 h 322934"/>
            <a:gd name="connsiteX32" fmla="*/ 58756 w 286836"/>
            <a:gd name="connsiteY32" fmla="*/ 31564 h 322934"/>
            <a:gd name="connsiteX33" fmla="*/ 66200 w 286836"/>
            <a:gd name="connsiteY33" fmla="*/ 30878 h 322934"/>
            <a:gd name="connsiteX34" fmla="*/ 79080 w 286836"/>
            <a:gd name="connsiteY34" fmla="*/ 30878 h 322934"/>
            <a:gd name="connsiteX35" fmla="*/ 72797 w 286836"/>
            <a:gd name="connsiteY35" fmla="*/ 19719 h 322934"/>
            <a:gd name="connsiteX36" fmla="*/ 68382 w 286836"/>
            <a:gd name="connsiteY36" fmla="*/ 8838 h 322934"/>
            <a:gd name="connsiteX37" fmla="*/ 77123 w 286836"/>
            <a:gd name="connsiteY37" fmla="*/ 8298 h 322934"/>
            <a:gd name="connsiteX38" fmla="*/ 100837 w 286836"/>
            <a:gd name="connsiteY38" fmla="*/ 15037 h 322934"/>
            <a:gd name="connsiteX39" fmla="*/ 114645 w 286836"/>
            <a:gd name="connsiteY39" fmla="*/ 35348 h 322934"/>
            <a:gd name="connsiteX40" fmla="*/ 120018 w 286836"/>
            <a:gd name="connsiteY40" fmla="*/ 45093 h 322934"/>
            <a:gd name="connsiteX41" fmla="*/ 90271 w 286836"/>
            <a:gd name="connsiteY41" fmla="*/ 80345 h 322934"/>
            <a:gd name="connsiteX42" fmla="*/ 91601 w 286836"/>
            <a:gd name="connsiteY42" fmla="*/ 85482 h 322934"/>
            <a:gd name="connsiteX43" fmla="*/ 96776 w 286836"/>
            <a:gd name="connsiteY43" fmla="*/ 84162 h 322934"/>
            <a:gd name="connsiteX44" fmla="*/ 96845 w 286836"/>
            <a:gd name="connsiteY44" fmla="*/ 84041 h 322934"/>
            <a:gd name="connsiteX45" fmla="*/ 125410 w 286836"/>
            <a:gd name="connsiteY45" fmla="*/ 50433 h 322934"/>
            <a:gd name="connsiteX46" fmla="*/ 139654 w 286836"/>
            <a:gd name="connsiteY46" fmla="*/ 56876 h 322934"/>
            <a:gd name="connsiteX47" fmla="*/ 166825 w 286836"/>
            <a:gd name="connsiteY47" fmla="*/ 69263 h 322934"/>
            <a:gd name="connsiteX48" fmla="*/ 176111 w 286836"/>
            <a:gd name="connsiteY48" fmla="*/ 82997 h 322934"/>
            <a:gd name="connsiteX49" fmla="*/ 175992 w 286836"/>
            <a:gd name="connsiteY49" fmla="*/ 86581 h 322934"/>
            <a:gd name="connsiteX50" fmla="*/ 178620 w 286836"/>
            <a:gd name="connsiteY50" fmla="*/ 99614 h 322934"/>
            <a:gd name="connsiteX51" fmla="*/ 157008 w 286836"/>
            <a:gd name="connsiteY51" fmla="*/ 110639 h 322934"/>
            <a:gd name="connsiteX52" fmla="*/ 151872 w 286836"/>
            <a:gd name="connsiteY52" fmla="*/ 117254 h 322934"/>
            <a:gd name="connsiteX53" fmla="*/ 120598 w 286836"/>
            <a:gd name="connsiteY53" fmla="*/ 100870 h 322934"/>
            <a:gd name="connsiteX54" fmla="*/ 119990 w 286836"/>
            <a:gd name="connsiteY54" fmla="*/ 100875 h 322934"/>
            <a:gd name="connsiteX55" fmla="*/ 82517 w 286836"/>
            <a:gd name="connsiteY55" fmla="*/ 139028 h 322934"/>
            <a:gd name="connsiteX56" fmla="*/ 85978 w 286836"/>
            <a:gd name="connsiteY56" fmla="*/ 154271 h 322934"/>
            <a:gd name="connsiteX57" fmla="*/ 50310 w 286836"/>
            <a:gd name="connsiteY57" fmla="*/ 192533 h 322934"/>
            <a:gd name="connsiteX58" fmla="*/ 87102 w 286836"/>
            <a:gd name="connsiteY58" fmla="*/ 229662 h 322934"/>
            <a:gd name="connsiteX59" fmla="*/ 85013 w 286836"/>
            <a:gd name="connsiteY59" fmla="*/ 242476 h 322934"/>
            <a:gd name="connsiteX60" fmla="*/ 116795 w 286836"/>
            <a:gd name="connsiteY60" fmla="*/ 279105 h 322934"/>
            <a:gd name="connsiteX61" fmla="*/ 116219 w 286836"/>
            <a:gd name="connsiteY61" fmla="*/ 285742 h 322934"/>
            <a:gd name="connsiteX62" fmla="*/ 154278 w 286836"/>
            <a:gd name="connsiteY62" fmla="*/ 322935 h 322934"/>
            <a:gd name="connsiteX63" fmla="*/ 154886 w 286836"/>
            <a:gd name="connsiteY63" fmla="*/ 322930 h 322934"/>
            <a:gd name="connsiteX64" fmla="*/ 192356 w 286836"/>
            <a:gd name="connsiteY64" fmla="*/ 284553 h 322934"/>
            <a:gd name="connsiteX65" fmla="*/ 191685 w 286836"/>
            <a:gd name="connsiteY65" fmla="*/ 278421 h 322934"/>
            <a:gd name="connsiteX66" fmla="*/ 225563 w 286836"/>
            <a:gd name="connsiteY66" fmla="*/ 240280 h 322934"/>
            <a:gd name="connsiteX67" fmla="*/ 222881 w 286836"/>
            <a:gd name="connsiteY67" fmla="*/ 227256 h 322934"/>
            <a:gd name="connsiteX68" fmla="*/ 255277 w 286836"/>
            <a:gd name="connsiteY68" fmla="*/ 189331 h 322934"/>
            <a:gd name="connsiteX69" fmla="*/ 251428 w 286836"/>
            <a:gd name="connsiteY69" fmla="*/ 173581 h 322934"/>
            <a:gd name="connsiteX70" fmla="*/ 286832 w 286836"/>
            <a:gd name="connsiteY70" fmla="*/ 135336 h 322934"/>
            <a:gd name="connsiteX71" fmla="*/ 166586 w 286836"/>
            <a:gd name="connsiteY71" fmla="*/ 51770 h 322934"/>
            <a:gd name="connsiteX72" fmla="*/ 165199 w 286836"/>
            <a:gd name="connsiteY72" fmla="*/ 58717 h 322934"/>
            <a:gd name="connsiteX73" fmla="*/ 140626 w 286836"/>
            <a:gd name="connsiteY73" fmla="*/ 49437 h 322934"/>
            <a:gd name="connsiteX74" fmla="*/ 131744 w 286836"/>
            <a:gd name="connsiteY74" fmla="*/ 45952 h 322934"/>
            <a:gd name="connsiteX75" fmla="*/ 173688 w 286836"/>
            <a:gd name="connsiteY75" fmla="*/ 31838 h 322934"/>
            <a:gd name="connsiteX76" fmla="*/ 166586 w 286836"/>
            <a:gd name="connsiteY76" fmla="*/ 51770 h 322934"/>
            <a:gd name="connsiteX77" fmla="*/ 213580 w 286836"/>
            <a:gd name="connsiteY77" fmla="*/ 55703 h 322934"/>
            <a:gd name="connsiteX78" fmla="*/ 214071 w 286836"/>
            <a:gd name="connsiteY78" fmla="*/ 55699 h 322934"/>
            <a:gd name="connsiteX79" fmla="*/ 244603 w 286836"/>
            <a:gd name="connsiteY79" fmla="*/ 85971 h 322934"/>
            <a:gd name="connsiteX80" fmla="*/ 214542 w 286836"/>
            <a:gd name="connsiteY80" fmla="*/ 116270 h 322934"/>
            <a:gd name="connsiteX81" fmla="*/ 214051 w 286836"/>
            <a:gd name="connsiteY81" fmla="*/ 116273 h 322934"/>
            <a:gd name="connsiteX82" fmla="*/ 183520 w 286836"/>
            <a:gd name="connsiteY82" fmla="*/ 86001 h 322934"/>
            <a:gd name="connsiteX83" fmla="*/ 213581 w 286836"/>
            <a:gd name="connsiteY83" fmla="*/ 55703 h 322934"/>
            <a:gd name="connsiteX84" fmla="*/ 182347 w 286836"/>
            <a:gd name="connsiteY84" fmla="*/ 106752 h 322934"/>
            <a:gd name="connsiteX85" fmla="*/ 212763 w 286836"/>
            <a:gd name="connsiteY85" fmla="*/ 123708 h 322934"/>
            <a:gd name="connsiteX86" fmla="*/ 212736 w 286836"/>
            <a:gd name="connsiteY86" fmla="*/ 148037 h 322934"/>
            <a:gd name="connsiteX87" fmla="*/ 184828 w 286836"/>
            <a:gd name="connsiteY87" fmla="*/ 167219 h 322934"/>
            <a:gd name="connsiteX88" fmla="*/ 184337 w 286836"/>
            <a:gd name="connsiteY88" fmla="*/ 167222 h 322934"/>
            <a:gd name="connsiteX89" fmla="*/ 153833 w 286836"/>
            <a:gd name="connsiteY89" fmla="*/ 136963 h 322934"/>
            <a:gd name="connsiteX90" fmla="*/ 182345 w 286836"/>
            <a:gd name="connsiteY90" fmla="*/ 106752 h 322934"/>
            <a:gd name="connsiteX91" fmla="*/ 152312 w 286836"/>
            <a:gd name="connsiteY91" fmla="*/ 160649 h 322934"/>
            <a:gd name="connsiteX92" fmla="*/ 152803 w 286836"/>
            <a:gd name="connsiteY92" fmla="*/ 160645 h 322934"/>
            <a:gd name="connsiteX93" fmla="*/ 154887 w 286836"/>
            <a:gd name="connsiteY93" fmla="*/ 160737 h 322934"/>
            <a:gd name="connsiteX94" fmla="*/ 182485 w 286836"/>
            <a:gd name="connsiteY94" fmla="*/ 174629 h 322934"/>
            <a:gd name="connsiteX95" fmla="*/ 181182 w 286836"/>
            <a:gd name="connsiteY95" fmla="*/ 202033 h 322934"/>
            <a:gd name="connsiteX96" fmla="*/ 153272 w 286836"/>
            <a:gd name="connsiteY96" fmla="*/ 221216 h 322934"/>
            <a:gd name="connsiteX97" fmla="*/ 152780 w 286836"/>
            <a:gd name="connsiteY97" fmla="*/ 221219 h 322934"/>
            <a:gd name="connsiteX98" fmla="*/ 122249 w 286836"/>
            <a:gd name="connsiteY98" fmla="*/ 190947 h 322934"/>
            <a:gd name="connsiteX99" fmla="*/ 152310 w 286836"/>
            <a:gd name="connsiteY99" fmla="*/ 160649 h 322934"/>
            <a:gd name="connsiteX100" fmla="*/ 120107 w 286836"/>
            <a:gd name="connsiteY100" fmla="*/ 108374 h 322934"/>
            <a:gd name="connsiteX101" fmla="*/ 120598 w 286836"/>
            <a:gd name="connsiteY101" fmla="*/ 108370 h 322934"/>
            <a:gd name="connsiteX102" fmla="*/ 148067 w 286836"/>
            <a:gd name="connsiteY102" fmla="*/ 125542 h 322934"/>
            <a:gd name="connsiteX103" fmla="*/ 146282 w 286836"/>
            <a:gd name="connsiteY103" fmla="*/ 137530 h 322934"/>
            <a:gd name="connsiteX104" fmla="*/ 150111 w 286836"/>
            <a:gd name="connsiteY104" fmla="*/ 153290 h 322934"/>
            <a:gd name="connsiteX105" fmla="*/ 125450 w 286836"/>
            <a:gd name="connsiteY105" fmla="*/ 164635 h 322934"/>
            <a:gd name="connsiteX106" fmla="*/ 121930 w 286836"/>
            <a:gd name="connsiteY106" fmla="*/ 168868 h 322934"/>
            <a:gd name="connsiteX107" fmla="*/ 121067 w 286836"/>
            <a:gd name="connsiteY107" fmla="*/ 168939 h 322934"/>
            <a:gd name="connsiteX108" fmla="*/ 120576 w 286836"/>
            <a:gd name="connsiteY108" fmla="*/ 168943 h 322934"/>
            <a:gd name="connsiteX109" fmla="*/ 90091 w 286836"/>
            <a:gd name="connsiteY109" fmla="*/ 138624 h 322934"/>
            <a:gd name="connsiteX110" fmla="*/ 120105 w 286836"/>
            <a:gd name="connsiteY110" fmla="*/ 108372 h 322934"/>
            <a:gd name="connsiteX111" fmla="*/ 87793 w 286836"/>
            <a:gd name="connsiteY111" fmla="*/ 222220 h 322934"/>
            <a:gd name="connsiteX112" fmla="*/ 57859 w 286836"/>
            <a:gd name="connsiteY112" fmla="*/ 191366 h 322934"/>
            <a:gd name="connsiteX113" fmla="*/ 87899 w 286836"/>
            <a:gd name="connsiteY113" fmla="*/ 161655 h 322934"/>
            <a:gd name="connsiteX114" fmla="*/ 88390 w 286836"/>
            <a:gd name="connsiteY114" fmla="*/ 161651 h 322934"/>
            <a:gd name="connsiteX115" fmla="*/ 90487 w 286836"/>
            <a:gd name="connsiteY115" fmla="*/ 161627 h 322934"/>
            <a:gd name="connsiteX116" fmla="*/ 117718 w 286836"/>
            <a:gd name="connsiteY116" fmla="*/ 176268 h 322934"/>
            <a:gd name="connsiteX117" fmla="*/ 114727 w 286836"/>
            <a:gd name="connsiteY117" fmla="*/ 191527 h 322934"/>
            <a:gd name="connsiteX118" fmla="*/ 116767 w 286836"/>
            <a:gd name="connsiteY118" fmla="*/ 203039 h 322934"/>
            <a:gd name="connsiteX119" fmla="*/ 88859 w 286836"/>
            <a:gd name="connsiteY119" fmla="*/ 222222 h 322934"/>
            <a:gd name="connsiteX120" fmla="*/ 87793 w 286836"/>
            <a:gd name="connsiteY120" fmla="*/ 222220 h 322934"/>
            <a:gd name="connsiteX121" fmla="*/ 122228 w 286836"/>
            <a:gd name="connsiteY121" fmla="*/ 272157 h 322934"/>
            <a:gd name="connsiteX122" fmla="*/ 92578 w 286836"/>
            <a:gd name="connsiteY122" fmla="*/ 241248 h 322934"/>
            <a:gd name="connsiteX123" fmla="*/ 95515 w 286836"/>
            <a:gd name="connsiteY123" fmla="*/ 229032 h 322934"/>
            <a:gd name="connsiteX124" fmla="*/ 120930 w 286836"/>
            <a:gd name="connsiteY124" fmla="*/ 211458 h 322934"/>
            <a:gd name="connsiteX125" fmla="*/ 151526 w 286836"/>
            <a:gd name="connsiteY125" fmla="*/ 228657 h 322934"/>
            <a:gd name="connsiteX126" fmla="*/ 151470 w 286836"/>
            <a:gd name="connsiteY126" fmla="*/ 252979 h 322934"/>
            <a:gd name="connsiteX127" fmla="*/ 123564 w 286836"/>
            <a:gd name="connsiteY127" fmla="*/ 272166 h 322934"/>
            <a:gd name="connsiteX128" fmla="*/ 122226 w 286836"/>
            <a:gd name="connsiteY128" fmla="*/ 272157 h 322934"/>
            <a:gd name="connsiteX129" fmla="*/ 154768 w 286836"/>
            <a:gd name="connsiteY129" fmla="*/ 315432 h 322934"/>
            <a:gd name="connsiteX130" fmla="*/ 154277 w 286836"/>
            <a:gd name="connsiteY130" fmla="*/ 315435 h 322934"/>
            <a:gd name="connsiteX131" fmla="*/ 123774 w 286836"/>
            <a:gd name="connsiteY131" fmla="*/ 285625 h 322934"/>
            <a:gd name="connsiteX132" fmla="*/ 124320 w 286836"/>
            <a:gd name="connsiteY132" fmla="*/ 279623 h 322934"/>
            <a:gd name="connsiteX133" fmla="*/ 155611 w 286836"/>
            <a:gd name="connsiteY133" fmla="*/ 261370 h 322934"/>
            <a:gd name="connsiteX134" fmla="*/ 184014 w 286836"/>
            <a:gd name="connsiteY134" fmla="*/ 278488 h 322934"/>
            <a:gd name="connsiteX135" fmla="*/ 184798 w 286836"/>
            <a:gd name="connsiteY135" fmla="*/ 284672 h 322934"/>
            <a:gd name="connsiteX136" fmla="*/ 154766 w 286836"/>
            <a:gd name="connsiteY136" fmla="*/ 315431 h 322934"/>
            <a:gd name="connsiteX137" fmla="*/ 187977 w 286836"/>
            <a:gd name="connsiteY137" fmla="*/ 271160 h 322934"/>
            <a:gd name="connsiteX138" fmla="*/ 187486 w 286836"/>
            <a:gd name="connsiteY138" fmla="*/ 271163 h 322934"/>
            <a:gd name="connsiteX139" fmla="*/ 156979 w 286836"/>
            <a:gd name="connsiteY139" fmla="*/ 240911 h 322934"/>
            <a:gd name="connsiteX140" fmla="*/ 159871 w 286836"/>
            <a:gd name="connsiteY140" fmla="*/ 228034 h 322934"/>
            <a:gd name="connsiteX141" fmla="*/ 180134 w 286836"/>
            <a:gd name="connsiteY141" fmla="*/ 217229 h 322934"/>
            <a:gd name="connsiteX142" fmla="*/ 185065 w 286836"/>
            <a:gd name="connsiteY142" fmla="*/ 210947 h 322934"/>
            <a:gd name="connsiteX143" fmla="*/ 185359 w 286836"/>
            <a:gd name="connsiteY143" fmla="*/ 210463 h 322934"/>
            <a:gd name="connsiteX144" fmla="*/ 185501 w 286836"/>
            <a:gd name="connsiteY144" fmla="*/ 210705 h 322934"/>
            <a:gd name="connsiteX145" fmla="*/ 214897 w 286836"/>
            <a:gd name="connsiteY145" fmla="*/ 227597 h 322934"/>
            <a:gd name="connsiteX146" fmla="*/ 200970 w 286836"/>
            <a:gd name="connsiteY146" fmla="*/ 268068 h 322934"/>
            <a:gd name="connsiteX147" fmla="*/ 187977 w 286836"/>
            <a:gd name="connsiteY147" fmla="*/ 271159 h 322934"/>
            <a:gd name="connsiteX148" fmla="*/ 217687 w 286836"/>
            <a:gd name="connsiteY148" fmla="*/ 220210 h 322934"/>
            <a:gd name="connsiteX149" fmla="*/ 217196 w 286836"/>
            <a:gd name="connsiteY149" fmla="*/ 220213 h 322934"/>
            <a:gd name="connsiteX150" fmla="*/ 186690 w 286836"/>
            <a:gd name="connsiteY150" fmla="*/ 189973 h 322934"/>
            <a:gd name="connsiteX151" fmla="*/ 191229 w 286836"/>
            <a:gd name="connsiteY151" fmla="*/ 174069 h 322934"/>
            <a:gd name="connsiteX152" fmla="*/ 216868 w 286836"/>
            <a:gd name="connsiteY152" fmla="*/ 156407 h 322934"/>
            <a:gd name="connsiteX153" fmla="*/ 242615 w 286836"/>
            <a:gd name="connsiteY153" fmla="*/ 173174 h 322934"/>
            <a:gd name="connsiteX154" fmla="*/ 234118 w 286836"/>
            <a:gd name="connsiteY154" fmla="*/ 215144 h 322934"/>
            <a:gd name="connsiteX155" fmla="*/ 217687 w 286836"/>
            <a:gd name="connsiteY155" fmla="*/ 220210 h 322934"/>
            <a:gd name="connsiteX156" fmla="*/ 249242 w 286836"/>
            <a:gd name="connsiteY156" fmla="*/ 166212 h 322934"/>
            <a:gd name="connsiteX157" fmla="*/ 248751 w 286836"/>
            <a:gd name="connsiteY157" fmla="*/ 166216 h 322934"/>
            <a:gd name="connsiteX158" fmla="*/ 218245 w 286836"/>
            <a:gd name="connsiteY158" fmla="*/ 136055 h 322934"/>
            <a:gd name="connsiteX159" fmla="*/ 221171 w 286836"/>
            <a:gd name="connsiteY159" fmla="*/ 123071 h 322934"/>
            <a:gd name="connsiteX160" fmla="*/ 246448 w 286836"/>
            <a:gd name="connsiteY160" fmla="*/ 105761 h 322934"/>
            <a:gd name="connsiteX161" fmla="*/ 248281 w 286836"/>
            <a:gd name="connsiteY161" fmla="*/ 105646 h 322934"/>
            <a:gd name="connsiteX162" fmla="*/ 248772 w 286836"/>
            <a:gd name="connsiteY162" fmla="*/ 105642 h 322934"/>
            <a:gd name="connsiteX163" fmla="*/ 279302 w 286836"/>
            <a:gd name="connsiteY163" fmla="*/ 135915 h 322934"/>
            <a:gd name="connsiteX164" fmla="*/ 249242 w 286836"/>
            <a:gd name="connsiteY164" fmla="*/ 166212 h 32293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</a:cxnLst>
          <a:rect l="l" t="t" r="r" b="b"/>
          <a:pathLst>
            <a:path w="286836" h="322934">
              <a:moveTo>
                <a:pt x="286832" y="135335"/>
              </a:moveTo>
              <a:cubicBezTo>
                <a:pt x="286418" y="115239"/>
                <a:pt x="270280" y="98952"/>
                <a:pt x="250042" y="98206"/>
              </a:cubicBezTo>
              <a:cubicBezTo>
                <a:pt x="251482" y="94087"/>
                <a:pt x="252188" y="89751"/>
                <a:pt x="252128" y="85391"/>
              </a:cubicBezTo>
              <a:cubicBezTo>
                <a:pt x="251714" y="64797"/>
                <a:pt x="234824" y="48291"/>
                <a:pt x="214070" y="48199"/>
              </a:cubicBezTo>
              <a:lnTo>
                <a:pt x="213461" y="48204"/>
              </a:lnTo>
              <a:cubicBezTo>
                <a:pt x="198139" y="48451"/>
                <a:pt x="184456" y="57780"/>
                <a:pt x="178726" y="71885"/>
              </a:cubicBezTo>
              <a:cubicBezTo>
                <a:pt x="176946" y="68890"/>
                <a:pt x="174702" y="66192"/>
                <a:pt x="172076" y="63890"/>
              </a:cubicBezTo>
              <a:cubicBezTo>
                <a:pt x="172508" y="60407"/>
                <a:pt x="173128" y="56949"/>
                <a:pt x="173933" y="53531"/>
              </a:cubicBezTo>
              <a:cubicBezTo>
                <a:pt x="178157" y="35074"/>
                <a:pt x="188187" y="18429"/>
                <a:pt x="202573" y="6004"/>
              </a:cubicBezTo>
              <a:lnTo>
                <a:pt x="198041" y="0"/>
              </a:lnTo>
              <a:cubicBezTo>
                <a:pt x="189790" y="6757"/>
                <a:pt x="182880" y="14981"/>
                <a:pt x="177667" y="24252"/>
              </a:cubicBezTo>
              <a:cubicBezTo>
                <a:pt x="159223" y="24507"/>
                <a:pt x="141275" y="30210"/>
                <a:pt x="126113" y="40635"/>
              </a:cubicBezTo>
              <a:cubicBezTo>
                <a:pt x="124160" y="38514"/>
                <a:pt x="122717" y="35980"/>
                <a:pt x="121893" y="33225"/>
              </a:cubicBezTo>
              <a:cubicBezTo>
                <a:pt x="119367" y="23645"/>
                <a:pt x="113643" y="15197"/>
                <a:pt x="105658" y="9260"/>
              </a:cubicBezTo>
              <a:cubicBezTo>
                <a:pt x="97399" y="3288"/>
                <a:pt x="87329" y="301"/>
                <a:pt x="77124" y="797"/>
              </a:cubicBezTo>
              <a:cubicBezTo>
                <a:pt x="71296" y="794"/>
                <a:pt x="65486" y="1433"/>
                <a:pt x="59800" y="2703"/>
              </a:cubicBezTo>
              <a:cubicBezTo>
                <a:pt x="60278" y="9996"/>
                <a:pt x="62470" y="17076"/>
                <a:pt x="66201" y="23377"/>
              </a:cubicBezTo>
              <a:cubicBezTo>
                <a:pt x="66193" y="23377"/>
                <a:pt x="64967" y="23388"/>
                <a:pt x="64357" y="23409"/>
              </a:cubicBezTo>
              <a:cubicBezTo>
                <a:pt x="61994" y="23492"/>
                <a:pt x="59641" y="23756"/>
                <a:pt x="57319" y="24200"/>
              </a:cubicBezTo>
              <a:cubicBezTo>
                <a:pt x="25735" y="30279"/>
                <a:pt x="0" y="68935"/>
                <a:pt x="0" y="68935"/>
              </a:cubicBezTo>
              <a:cubicBezTo>
                <a:pt x="0" y="68935"/>
                <a:pt x="17312" y="88485"/>
                <a:pt x="41084" y="91956"/>
              </a:cubicBezTo>
              <a:cubicBezTo>
                <a:pt x="40782" y="92306"/>
                <a:pt x="40457" y="92628"/>
                <a:pt x="40159" y="92984"/>
              </a:cubicBezTo>
              <a:cubicBezTo>
                <a:pt x="11668" y="127137"/>
                <a:pt x="23392" y="173365"/>
                <a:pt x="23392" y="173365"/>
              </a:cubicBezTo>
              <a:cubicBezTo>
                <a:pt x="23392" y="173365"/>
                <a:pt x="24370" y="173423"/>
                <a:pt x="26125" y="173423"/>
              </a:cubicBezTo>
              <a:cubicBezTo>
                <a:pt x="33406" y="173372"/>
                <a:pt x="40665" y="172623"/>
                <a:pt x="47800" y="171186"/>
              </a:cubicBezTo>
              <a:cubicBezTo>
                <a:pt x="49557" y="167856"/>
                <a:pt x="51725" y="164755"/>
                <a:pt x="54253" y="161955"/>
              </a:cubicBezTo>
              <a:cubicBezTo>
                <a:pt x="46238" y="164192"/>
                <a:pt x="37989" y="165499"/>
                <a:pt x="29670" y="165849"/>
              </a:cubicBezTo>
              <a:cubicBezTo>
                <a:pt x="27806" y="153195"/>
                <a:pt x="25826" y="121926"/>
                <a:pt x="45980" y="97767"/>
              </a:cubicBezTo>
              <a:cubicBezTo>
                <a:pt x="46062" y="97669"/>
                <a:pt x="46625" y="97064"/>
                <a:pt x="46814" y="96846"/>
              </a:cubicBezTo>
              <a:lnTo>
                <a:pt x="55761" y="86519"/>
              </a:lnTo>
              <a:lnTo>
                <a:pt x="42184" y="84535"/>
              </a:lnTo>
              <a:cubicBezTo>
                <a:pt x="30093" y="82173"/>
                <a:pt x="18916" y="76481"/>
                <a:pt x="9933" y="68108"/>
              </a:cubicBezTo>
              <a:cubicBezTo>
                <a:pt x="17702" y="58026"/>
                <a:pt x="37015" y="35748"/>
                <a:pt x="58756" y="31564"/>
              </a:cubicBezTo>
              <a:cubicBezTo>
                <a:pt x="61209" y="31096"/>
                <a:pt x="63702" y="30867"/>
                <a:pt x="66200" y="30878"/>
              </a:cubicBezTo>
              <a:lnTo>
                <a:pt x="79080" y="30878"/>
              </a:lnTo>
              <a:lnTo>
                <a:pt x="72797" y="19719"/>
              </a:lnTo>
              <a:cubicBezTo>
                <a:pt x="70859" y="16296"/>
                <a:pt x="69376" y="12638"/>
                <a:pt x="68382" y="8838"/>
              </a:cubicBezTo>
              <a:cubicBezTo>
                <a:pt x="71282" y="8485"/>
                <a:pt x="74201" y="8305"/>
                <a:pt x="77123" y="8298"/>
              </a:cubicBezTo>
              <a:cubicBezTo>
                <a:pt x="84200" y="8298"/>
                <a:pt x="94059" y="9467"/>
                <a:pt x="100837" y="15037"/>
              </a:cubicBezTo>
              <a:cubicBezTo>
                <a:pt x="107663" y="20023"/>
                <a:pt x="112542" y="27199"/>
                <a:pt x="114645" y="35348"/>
              </a:cubicBezTo>
              <a:cubicBezTo>
                <a:pt x="115724" y="38935"/>
                <a:pt x="117555" y="42257"/>
                <a:pt x="120018" y="45093"/>
              </a:cubicBezTo>
              <a:cubicBezTo>
                <a:pt x="107888" y="54813"/>
                <a:pt x="97783" y="66787"/>
                <a:pt x="90271" y="80345"/>
              </a:cubicBezTo>
              <a:cubicBezTo>
                <a:pt x="89209" y="82128"/>
                <a:pt x="89804" y="84428"/>
                <a:pt x="91601" y="85482"/>
              </a:cubicBezTo>
              <a:cubicBezTo>
                <a:pt x="93397" y="86536"/>
                <a:pt x="95714" y="85945"/>
                <a:pt x="96776" y="84162"/>
              </a:cubicBezTo>
              <a:cubicBezTo>
                <a:pt x="96800" y="84122"/>
                <a:pt x="96823" y="84081"/>
                <a:pt x="96845" y="84041"/>
              </a:cubicBezTo>
              <a:cubicBezTo>
                <a:pt x="104018" y="71063"/>
                <a:pt x="113730" y="59637"/>
                <a:pt x="125410" y="50433"/>
              </a:cubicBezTo>
              <a:cubicBezTo>
                <a:pt x="129407" y="53937"/>
                <a:pt x="134366" y="56181"/>
                <a:pt x="139654" y="56876"/>
              </a:cubicBezTo>
              <a:cubicBezTo>
                <a:pt x="149740" y="58267"/>
                <a:pt x="159190" y="62575"/>
                <a:pt x="166825" y="69263"/>
              </a:cubicBezTo>
              <a:cubicBezTo>
                <a:pt x="171066" y="72966"/>
                <a:pt x="174266" y="77699"/>
                <a:pt x="176111" y="82997"/>
              </a:cubicBezTo>
              <a:cubicBezTo>
                <a:pt x="176018" y="84182"/>
                <a:pt x="175973" y="85377"/>
                <a:pt x="175992" y="86581"/>
              </a:cubicBezTo>
              <a:cubicBezTo>
                <a:pt x="176074" y="91047"/>
                <a:pt x="176964" y="95461"/>
                <a:pt x="178620" y="99614"/>
              </a:cubicBezTo>
              <a:cubicBezTo>
                <a:pt x="170389" y="100825"/>
                <a:pt x="162791" y="104701"/>
                <a:pt x="157008" y="110639"/>
              </a:cubicBezTo>
              <a:cubicBezTo>
                <a:pt x="155056" y="112650"/>
                <a:pt x="153334" y="114869"/>
                <a:pt x="151872" y="117254"/>
              </a:cubicBezTo>
              <a:cubicBezTo>
                <a:pt x="144785" y="107034"/>
                <a:pt x="133099" y="100912"/>
                <a:pt x="120598" y="100870"/>
              </a:cubicBezTo>
              <a:lnTo>
                <a:pt x="119990" y="100875"/>
              </a:lnTo>
              <a:cubicBezTo>
                <a:pt x="99027" y="101140"/>
                <a:pt x="82249" y="118222"/>
                <a:pt x="82517" y="139028"/>
              </a:cubicBezTo>
              <a:cubicBezTo>
                <a:pt x="82585" y="144293"/>
                <a:pt x="83763" y="149486"/>
                <a:pt x="85978" y="154271"/>
              </a:cubicBezTo>
              <a:cubicBezTo>
                <a:pt x="65690" y="155501"/>
                <a:pt x="49972" y="172362"/>
                <a:pt x="50310" y="192533"/>
              </a:cubicBezTo>
              <a:cubicBezTo>
                <a:pt x="50724" y="212630"/>
                <a:pt x="66863" y="228916"/>
                <a:pt x="87102" y="229662"/>
              </a:cubicBezTo>
              <a:cubicBezTo>
                <a:pt x="85655" y="233779"/>
                <a:pt x="84948" y="238116"/>
                <a:pt x="85013" y="242476"/>
              </a:cubicBezTo>
              <a:cubicBezTo>
                <a:pt x="85393" y="260667"/>
                <a:pt x="98725" y="276032"/>
                <a:pt x="116795" y="279105"/>
              </a:cubicBezTo>
              <a:cubicBezTo>
                <a:pt x="116400" y="281295"/>
                <a:pt x="116207" y="283517"/>
                <a:pt x="116219" y="285742"/>
              </a:cubicBezTo>
              <a:cubicBezTo>
                <a:pt x="116633" y="306336"/>
                <a:pt x="133524" y="322843"/>
                <a:pt x="154278" y="322935"/>
              </a:cubicBezTo>
              <a:lnTo>
                <a:pt x="154886" y="322930"/>
              </a:lnTo>
              <a:cubicBezTo>
                <a:pt x="175911" y="322601"/>
                <a:pt x="192686" y="305420"/>
                <a:pt x="192356" y="284553"/>
              </a:cubicBezTo>
              <a:cubicBezTo>
                <a:pt x="192307" y="282494"/>
                <a:pt x="192082" y="280443"/>
                <a:pt x="191685" y="278421"/>
              </a:cubicBezTo>
              <a:cubicBezTo>
                <a:pt x="211186" y="276258"/>
                <a:pt x="225846" y="259753"/>
                <a:pt x="225563" y="240280"/>
              </a:cubicBezTo>
              <a:cubicBezTo>
                <a:pt x="225472" y="235813"/>
                <a:pt x="224563" y="231400"/>
                <a:pt x="222881" y="227256"/>
              </a:cubicBezTo>
              <a:cubicBezTo>
                <a:pt x="241736" y="224470"/>
                <a:pt x="255593" y="208249"/>
                <a:pt x="255277" y="189331"/>
              </a:cubicBezTo>
              <a:cubicBezTo>
                <a:pt x="255182" y="183863"/>
                <a:pt x="253868" y="178485"/>
                <a:pt x="251428" y="173581"/>
              </a:cubicBezTo>
              <a:cubicBezTo>
                <a:pt x="271605" y="172217"/>
                <a:pt x="287168" y="155405"/>
                <a:pt x="286832" y="135336"/>
              </a:cubicBezTo>
              <a:close/>
              <a:moveTo>
                <a:pt x="166586" y="51770"/>
              </a:moveTo>
              <a:cubicBezTo>
                <a:pt x="166030" y="54054"/>
                <a:pt x="165593" y="56378"/>
                <a:pt x="165199" y="58717"/>
              </a:cubicBezTo>
              <a:cubicBezTo>
                <a:pt x="157848" y="53767"/>
                <a:pt x="149434" y="50589"/>
                <a:pt x="140626" y="49437"/>
              </a:cubicBezTo>
              <a:cubicBezTo>
                <a:pt x="137418" y="49031"/>
                <a:pt x="134365" y="47832"/>
                <a:pt x="131744" y="45952"/>
              </a:cubicBezTo>
              <a:cubicBezTo>
                <a:pt x="144256" y="37719"/>
                <a:pt x="158710" y="32856"/>
                <a:pt x="173688" y="31838"/>
              </a:cubicBezTo>
              <a:cubicBezTo>
                <a:pt x="170640" y="38223"/>
                <a:pt x="168260" y="44902"/>
                <a:pt x="166586" y="51770"/>
              </a:cubicBezTo>
              <a:close/>
              <a:moveTo>
                <a:pt x="213580" y="55703"/>
              </a:moveTo>
              <a:cubicBezTo>
                <a:pt x="213743" y="55700"/>
                <a:pt x="213907" y="55699"/>
                <a:pt x="214071" y="55699"/>
              </a:cubicBezTo>
              <a:cubicBezTo>
                <a:pt x="230925" y="55691"/>
                <a:pt x="244594" y="69244"/>
                <a:pt x="244603" y="85971"/>
              </a:cubicBezTo>
              <a:cubicBezTo>
                <a:pt x="244611" y="102527"/>
                <a:pt x="231222" y="116022"/>
                <a:pt x="214542" y="116270"/>
              </a:cubicBezTo>
              <a:cubicBezTo>
                <a:pt x="214379" y="116272"/>
                <a:pt x="214215" y="116273"/>
                <a:pt x="214051" y="116273"/>
              </a:cubicBezTo>
              <a:cubicBezTo>
                <a:pt x="197198" y="116281"/>
                <a:pt x="183528" y="102728"/>
                <a:pt x="183520" y="86001"/>
              </a:cubicBezTo>
              <a:cubicBezTo>
                <a:pt x="183512" y="69444"/>
                <a:pt x="196901" y="55950"/>
                <a:pt x="213581" y="55703"/>
              </a:cubicBezTo>
              <a:close/>
              <a:moveTo>
                <a:pt x="182347" y="106752"/>
              </a:moveTo>
              <a:cubicBezTo>
                <a:pt x="189134" y="116945"/>
                <a:pt x="200461" y="123259"/>
                <a:pt x="212763" y="123708"/>
              </a:cubicBezTo>
              <a:cubicBezTo>
                <a:pt x="210007" y="131586"/>
                <a:pt x="209998" y="140153"/>
                <a:pt x="212736" y="148037"/>
              </a:cubicBezTo>
              <a:cubicBezTo>
                <a:pt x="208206" y="159450"/>
                <a:pt x="197187" y="167024"/>
                <a:pt x="184828" y="167219"/>
              </a:cubicBezTo>
              <a:cubicBezTo>
                <a:pt x="184665" y="167221"/>
                <a:pt x="184501" y="167223"/>
                <a:pt x="184337" y="167222"/>
              </a:cubicBezTo>
              <a:cubicBezTo>
                <a:pt x="167494" y="167227"/>
                <a:pt x="153838" y="153679"/>
                <a:pt x="153833" y="136963"/>
              </a:cubicBezTo>
              <a:cubicBezTo>
                <a:pt x="153829" y="121008"/>
                <a:pt x="166304" y="107790"/>
                <a:pt x="182345" y="106752"/>
              </a:cubicBezTo>
              <a:close/>
              <a:moveTo>
                <a:pt x="152312" y="160649"/>
              </a:moveTo>
              <a:cubicBezTo>
                <a:pt x="152475" y="160646"/>
                <a:pt x="152639" y="160645"/>
                <a:pt x="152803" y="160645"/>
              </a:cubicBezTo>
              <a:cubicBezTo>
                <a:pt x="153505" y="160645"/>
                <a:pt x="154196" y="160691"/>
                <a:pt x="154887" y="160737"/>
              </a:cubicBezTo>
              <a:cubicBezTo>
                <a:pt x="161689" y="169038"/>
                <a:pt x="171719" y="174086"/>
                <a:pt x="182485" y="174629"/>
              </a:cubicBezTo>
              <a:cubicBezTo>
                <a:pt x="178525" y="183260"/>
                <a:pt x="178058" y="193071"/>
                <a:pt x="181182" y="202033"/>
              </a:cubicBezTo>
              <a:cubicBezTo>
                <a:pt x="176651" y="213447"/>
                <a:pt x="165631" y="221022"/>
                <a:pt x="153272" y="221216"/>
              </a:cubicBezTo>
              <a:cubicBezTo>
                <a:pt x="153108" y="221218"/>
                <a:pt x="152945" y="221219"/>
                <a:pt x="152780" y="221219"/>
              </a:cubicBezTo>
              <a:cubicBezTo>
                <a:pt x="135927" y="221228"/>
                <a:pt x="122258" y="207674"/>
                <a:pt x="122249" y="190947"/>
              </a:cubicBezTo>
              <a:cubicBezTo>
                <a:pt x="122241" y="174391"/>
                <a:pt x="135630" y="160896"/>
                <a:pt x="152310" y="160649"/>
              </a:cubicBezTo>
              <a:close/>
              <a:moveTo>
                <a:pt x="120107" y="108374"/>
              </a:moveTo>
              <a:cubicBezTo>
                <a:pt x="120271" y="108371"/>
                <a:pt x="120434" y="108370"/>
                <a:pt x="120598" y="108370"/>
              </a:cubicBezTo>
              <a:cubicBezTo>
                <a:pt x="132318" y="108379"/>
                <a:pt x="142996" y="115054"/>
                <a:pt x="148067" y="125542"/>
              </a:cubicBezTo>
              <a:cubicBezTo>
                <a:pt x="146826" y="129417"/>
                <a:pt x="146223" y="133464"/>
                <a:pt x="146282" y="137530"/>
              </a:cubicBezTo>
              <a:cubicBezTo>
                <a:pt x="146378" y="142998"/>
                <a:pt x="147685" y="148379"/>
                <a:pt x="150111" y="153290"/>
              </a:cubicBezTo>
              <a:cubicBezTo>
                <a:pt x="140757" y="153902"/>
                <a:pt x="131966" y="157946"/>
                <a:pt x="125450" y="164635"/>
              </a:cubicBezTo>
              <a:cubicBezTo>
                <a:pt x="124176" y="165960"/>
                <a:pt x="123000" y="167375"/>
                <a:pt x="121930" y="168868"/>
              </a:cubicBezTo>
              <a:cubicBezTo>
                <a:pt x="121639" y="168881"/>
                <a:pt x="121360" y="168935"/>
                <a:pt x="121067" y="168939"/>
              </a:cubicBezTo>
              <a:cubicBezTo>
                <a:pt x="120904" y="168942"/>
                <a:pt x="120740" y="168943"/>
                <a:pt x="120576" y="168943"/>
              </a:cubicBezTo>
              <a:cubicBezTo>
                <a:pt x="103722" y="168925"/>
                <a:pt x="90074" y="155351"/>
                <a:pt x="90091" y="138624"/>
              </a:cubicBezTo>
              <a:cubicBezTo>
                <a:pt x="90109" y="122103"/>
                <a:pt x="103462" y="108645"/>
                <a:pt x="120105" y="108372"/>
              </a:cubicBezTo>
              <a:close/>
              <a:moveTo>
                <a:pt x="87793" y="222220"/>
              </a:moveTo>
              <a:cubicBezTo>
                <a:pt x="70942" y="221904"/>
                <a:pt x="57540" y="208091"/>
                <a:pt x="57859" y="191366"/>
              </a:cubicBezTo>
              <a:cubicBezTo>
                <a:pt x="58169" y="175047"/>
                <a:pt x="71454" y="161907"/>
                <a:pt x="87899" y="161655"/>
              </a:cubicBezTo>
              <a:cubicBezTo>
                <a:pt x="88062" y="161652"/>
                <a:pt x="88225" y="161651"/>
                <a:pt x="88390" y="161651"/>
              </a:cubicBezTo>
              <a:cubicBezTo>
                <a:pt x="89077" y="161651"/>
                <a:pt x="89782" y="161637"/>
                <a:pt x="90487" y="161627"/>
              </a:cubicBezTo>
              <a:cubicBezTo>
                <a:pt x="97067" y="170114"/>
                <a:pt x="106962" y="175434"/>
                <a:pt x="117718" y="176268"/>
              </a:cubicBezTo>
              <a:cubicBezTo>
                <a:pt x="115663" y="181092"/>
                <a:pt x="114644" y="186290"/>
                <a:pt x="114727" y="191527"/>
              </a:cubicBezTo>
              <a:cubicBezTo>
                <a:pt x="114793" y="195447"/>
                <a:pt x="115481" y="199332"/>
                <a:pt x="116767" y="203039"/>
              </a:cubicBezTo>
              <a:cubicBezTo>
                <a:pt x="112237" y="214453"/>
                <a:pt x="101218" y="222028"/>
                <a:pt x="88859" y="222222"/>
              </a:cubicBezTo>
              <a:cubicBezTo>
                <a:pt x="88693" y="222224"/>
                <a:pt x="87982" y="222223"/>
                <a:pt x="87793" y="222220"/>
              </a:cubicBezTo>
              <a:close/>
              <a:moveTo>
                <a:pt x="122228" y="272157"/>
              </a:moveTo>
              <a:cubicBezTo>
                <a:pt x="105441" y="271748"/>
                <a:pt x="92166" y="257910"/>
                <a:pt x="92578" y="241248"/>
              </a:cubicBezTo>
              <a:cubicBezTo>
                <a:pt x="92683" y="237017"/>
                <a:pt x="93684" y="232854"/>
                <a:pt x="95515" y="229032"/>
              </a:cubicBezTo>
              <a:cubicBezTo>
                <a:pt x="106141" y="227079"/>
                <a:pt x="115403" y="220675"/>
                <a:pt x="120930" y="211458"/>
              </a:cubicBezTo>
              <a:cubicBezTo>
                <a:pt x="127699" y="221794"/>
                <a:pt x="139114" y="228210"/>
                <a:pt x="151526" y="228657"/>
              </a:cubicBezTo>
              <a:cubicBezTo>
                <a:pt x="148745" y="236526"/>
                <a:pt x="148725" y="245098"/>
                <a:pt x="151470" y="252979"/>
              </a:cubicBezTo>
              <a:cubicBezTo>
                <a:pt x="146944" y="264395"/>
                <a:pt x="135923" y="271972"/>
                <a:pt x="123564" y="272166"/>
              </a:cubicBezTo>
              <a:cubicBezTo>
                <a:pt x="123397" y="272167"/>
                <a:pt x="122506" y="272164"/>
                <a:pt x="122226" y="272157"/>
              </a:cubicBezTo>
              <a:close/>
              <a:moveTo>
                <a:pt x="154768" y="315432"/>
              </a:moveTo>
              <a:cubicBezTo>
                <a:pt x="154605" y="315434"/>
                <a:pt x="154441" y="315435"/>
                <a:pt x="154277" y="315435"/>
              </a:cubicBezTo>
              <a:cubicBezTo>
                <a:pt x="137614" y="315430"/>
                <a:pt x="124036" y="302160"/>
                <a:pt x="123774" y="285625"/>
              </a:cubicBezTo>
              <a:cubicBezTo>
                <a:pt x="123751" y="283611"/>
                <a:pt x="123933" y="281600"/>
                <a:pt x="124320" y="279623"/>
              </a:cubicBezTo>
              <a:cubicBezTo>
                <a:pt x="137192" y="279191"/>
                <a:pt x="148968" y="272321"/>
                <a:pt x="155611" y="261370"/>
              </a:cubicBezTo>
              <a:cubicBezTo>
                <a:pt x="161952" y="271078"/>
                <a:pt x="172411" y="277382"/>
                <a:pt x="184014" y="278488"/>
              </a:cubicBezTo>
              <a:cubicBezTo>
                <a:pt x="184494" y="280517"/>
                <a:pt x="184757" y="282589"/>
                <a:pt x="184798" y="284672"/>
              </a:cubicBezTo>
              <a:cubicBezTo>
                <a:pt x="185062" y="301397"/>
                <a:pt x="171617" y="315167"/>
                <a:pt x="154766" y="315431"/>
              </a:cubicBezTo>
              <a:close/>
              <a:moveTo>
                <a:pt x="187977" y="271160"/>
              </a:moveTo>
              <a:cubicBezTo>
                <a:pt x="187814" y="271162"/>
                <a:pt x="187650" y="271163"/>
                <a:pt x="187486" y="271163"/>
              </a:cubicBezTo>
              <a:cubicBezTo>
                <a:pt x="170644" y="271170"/>
                <a:pt x="156986" y="257626"/>
                <a:pt x="156979" y="240911"/>
              </a:cubicBezTo>
              <a:cubicBezTo>
                <a:pt x="156977" y="236460"/>
                <a:pt x="157965" y="232064"/>
                <a:pt x="159871" y="228034"/>
              </a:cubicBezTo>
              <a:cubicBezTo>
                <a:pt x="167593" y="226611"/>
                <a:pt x="174676" y="222834"/>
                <a:pt x="180134" y="217229"/>
              </a:cubicBezTo>
              <a:cubicBezTo>
                <a:pt x="181995" y="215313"/>
                <a:pt x="183648" y="213207"/>
                <a:pt x="185065" y="210947"/>
              </a:cubicBezTo>
              <a:cubicBezTo>
                <a:pt x="185112" y="210872"/>
                <a:pt x="185359" y="210463"/>
                <a:pt x="185359" y="210463"/>
              </a:cubicBezTo>
              <a:cubicBezTo>
                <a:pt x="185359" y="210463"/>
                <a:pt x="185434" y="210602"/>
                <a:pt x="185501" y="210705"/>
              </a:cubicBezTo>
              <a:cubicBezTo>
                <a:pt x="192096" y="220592"/>
                <a:pt x="202974" y="226844"/>
                <a:pt x="214897" y="227597"/>
              </a:cubicBezTo>
              <a:cubicBezTo>
                <a:pt x="222311" y="242590"/>
                <a:pt x="216076" y="260709"/>
                <a:pt x="200970" y="268068"/>
              </a:cubicBezTo>
              <a:cubicBezTo>
                <a:pt x="196923" y="270040"/>
                <a:pt x="192485" y="271095"/>
                <a:pt x="187977" y="271159"/>
              </a:cubicBezTo>
              <a:close/>
              <a:moveTo>
                <a:pt x="217687" y="220210"/>
              </a:moveTo>
              <a:cubicBezTo>
                <a:pt x="217524" y="220212"/>
                <a:pt x="217360" y="220213"/>
                <a:pt x="217196" y="220213"/>
              </a:cubicBezTo>
              <a:cubicBezTo>
                <a:pt x="200358" y="220223"/>
                <a:pt x="186700" y="206684"/>
                <a:pt x="186690" y="189973"/>
              </a:cubicBezTo>
              <a:cubicBezTo>
                <a:pt x="186686" y="184356"/>
                <a:pt x="188258" y="178850"/>
                <a:pt x="191229" y="174069"/>
              </a:cubicBezTo>
              <a:cubicBezTo>
                <a:pt x="201979" y="172218"/>
                <a:pt x="211360" y="165755"/>
                <a:pt x="216868" y="156407"/>
              </a:cubicBezTo>
              <a:cubicBezTo>
                <a:pt x="222705" y="165328"/>
                <a:pt x="232045" y="171410"/>
                <a:pt x="242615" y="173174"/>
              </a:cubicBezTo>
              <a:cubicBezTo>
                <a:pt x="251946" y="187092"/>
                <a:pt x="248142" y="205883"/>
                <a:pt x="234118" y="215144"/>
              </a:cubicBezTo>
              <a:cubicBezTo>
                <a:pt x="229244" y="218363"/>
                <a:pt x="223540" y="220121"/>
                <a:pt x="217687" y="220210"/>
              </a:cubicBezTo>
              <a:close/>
              <a:moveTo>
                <a:pt x="249242" y="166212"/>
              </a:moveTo>
              <a:cubicBezTo>
                <a:pt x="249078" y="166215"/>
                <a:pt x="248915" y="166217"/>
                <a:pt x="248751" y="166216"/>
              </a:cubicBezTo>
              <a:cubicBezTo>
                <a:pt x="231935" y="166248"/>
                <a:pt x="218277" y="152744"/>
                <a:pt x="218245" y="136055"/>
              </a:cubicBezTo>
              <a:cubicBezTo>
                <a:pt x="218237" y="131565"/>
                <a:pt x="219236" y="127130"/>
                <a:pt x="221171" y="123071"/>
              </a:cubicBezTo>
              <a:cubicBezTo>
                <a:pt x="231671" y="121076"/>
                <a:pt x="240843" y="114795"/>
                <a:pt x="246448" y="105761"/>
              </a:cubicBezTo>
              <a:cubicBezTo>
                <a:pt x="247057" y="105714"/>
                <a:pt x="247662" y="105655"/>
                <a:pt x="248281" y="105646"/>
              </a:cubicBezTo>
              <a:cubicBezTo>
                <a:pt x="248444" y="105643"/>
                <a:pt x="248608" y="105642"/>
                <a:pt x="248772" y="105642"/>
              </a:cubicBezTo>
              <a:cubicBezTo>
                <a:pt x="265625" y="105634"/>
                <a:pt x="279294" y="119188"/>
                <a:pt x="279302" y="135915"/>
              </a:cubicBezTo>
              <a:cubicBezTo>
                <a:pt x="279310" y="152471"/>
                <a:pt x="265921" y="165965"/>
                <a:pt x="249242" y="166212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6</xdr:col>
      <xdr:colOff>197583</xdr:colOff>
      <xdr:row>16</xdr:row>
      <xdr:rowOff>131293</xdr:rowOff>
    </xdr:from>
    <xdr:to>
      <xdr:col>6</xdr:col>
      <xdr:colOff>386461</xdr:colOff>
      <xdr:row>16</xdr:row>
      <xdr:rowOff>440206</xdr:rowOff>
    </xdr:to>
    <xdr:grpSp>
      <xdr:nvGrpSpPr>
        <xdr:cNvPr id="538" name="icecream" descr="Ice cream outline">
          <a:extLst>
            <a:ext uri="{FF2B5EF4-FFF2-40B4-BE49-F238E27FC236}">
              <a16:creationId xmlns:a16="http://schemas.microsoft.com/office/drawing/2014/main" id="{5C7C8CF7-F274-4FDA-9F52-B58CDED0AEF3}"/>
            </a:ext>
          </a:extLst>
        </xdr:cNvPr>
        <xdr:cNvGrpSpPr>
          <a:grpSpLocks noChangeAspect="1"/>
        </xdr:cNvGrpSpPr>
      </xdr:nvGrpSpPr>
      <xdr:grpSpPr>
        <a:xfrm>
          <a:off x="5417283" y="8056093"/>
          <a:ext cx="188878" cy="308913"/>
          <a:chOff x="11185717" y="11348089"/>
          <a:chExt cx="188878" cy="308913"/>
        </a:xfrm>
        <a:solidFill>
          <a:srgbClr val="1F4E78"/>
        </a:solidFill>
      </xdr:grpSpPr>
      <xdr:sp macro="" textlink="">
        <xdr:nvSpPr>
          <xdr:cNvPr id="539" name="Freeform: Shape 538">
            <a:extLst>
              <a:ext uri="{FF2B5EF4-FFF2-40B4-BE49-F238E27FC236}">
                <a16:creationId xmlns:a16="http://schemas.microsoft.com/office/drawing/2014/main" id="{89D0D881-E71A-4C81-A6B0-17748FEFE3F3}"/>
              </a:ext>
            </a:extLst>
          </xdr:cNvPr>
          <xdr:cNvSpPr/>
        </xdr:nvSpPr>
        <xdr:spPr>
          <a:xfrm>
            <a:off x="11218534" y="11520274"/>
            <a:ext cx="123623" cy="136728"/>
          </a:xfrm>
          <a:custGeom>
            <a:avLst/>
            <a:gdLst>
              <a:gd name="connsiteX0" fmla="*/ 120178 w 123623"/>
              <a:gd name="connsiteY0" fmla="*/ 315 h 136728"/>
              <a:gd name="connsiteX1" fmla="*/ 115478 w 123623"/>
              <a:gd name="connsiteY1" fmla="*/ 34 h 136728"/>
              <a:gd name="connsiteX2" fmla="*/ 108654 w 123623"/>
              <a:gd name="connsiteY2" fmla="*/ 16478 h 136728"/>
              <a:gd name="connsiteX3" fmla="*/ 20709 w 123623"/>
              <a:gd name="connsiteY3" fmla="*/ 30315 h 136728"/>
              <a:gd name="connsiteX4" fmla="*/ 8101 w 123623"/>
              <a:gd name="connsiteY4" fmla="*/ 0 h 136728"/>
              <a:gd name="connsiteX5" fmla="*/ 3049 w 123623"/>
              <a:gd name="connsiteY5" fmla="*/ 315 h 136728"/>
              <a:gd name="connsiteX6" fmla="*/ 0 w 123623"/>
              <a:gd name="connsiteY6" fmla="*/ 161 h 136728"/>
              <a:gd name="connsiteX7" fmla="*/ 54865 w 123623"/>
              <a:gd name="connsiteY7" fmla="*/ 132090 h 136728"/>
              <a:gd name="connsiteX8" fmla="*/ 61851 w 123623"/>
              <a:gd name="connsiteY8" fmla="*/ 136729 h 136728"/>
              <a:gd name="connsiteX9" fmla="*/ 61851 w 123623"/>
              <a:gd name="connsiteY9" fmla="*/ 136729 h 136728"/>
              <a:gd name="connsiteX10" fmla="*/ 68838 w 123623"/>
              <a:gd name="connsiteY10" fmla="*/ 132086 h 136728"/>
              <a:gd name="connsiteX11" fmla="*/ 123624 w 123623"/>
              <a:gd name="connsiteY11" fmla="*/ 142 h 136728"/>
              <a:gd name="connsiteX12" fmla="*/ 120178 w 123623"/>
              <a:gd name="connsiteY12" fmla="*/ 315 h 136728"/>
              <a:gd name="connsiteX13" fmla="*/ 61814 w 123623"/>
              <a:gd name="connsiteY13" fmla="*/ 129146 h 136728"/>
              <a:gd name="connsiteX14" fmla="*/ 41309 w 123623"/>
              <a:gd name="connsiteY14" fmla="*/ 79815 h 136728"/>
              <a:gd name="connsiteX15" fmla="*/ 84990 w 123623"/>
              <a:gd name="connsiteY15" fmla="*/ 73470 h 136728"/>
              <a:gd name="connsiteX16" fmla="*/ 61885 w 123623"/>
              <a:gd name="connsiteY16" fmla="*/ 129146 h 136728"/>
              <a:gd name="connsiteX17" fmla="*/ 61814 w 123623"/>
              <a:gd name="connsiteY17" fmla="*/ 129146 h 136728"/>
              <a:gd name="connsiteX18" fmla="*/ 88780 w 123623"/>
              <a:gd name="connsiteY18" fmla="*/ 64350 h 136728"/>
              <a:gd name="connsiteX19" fmla="*/ 38226 w 123623"/>
              <a:gd name="connsiteY19" fmla="*/ 72424 h 136728"/>
              <a:gd name="connsiteX20" fmla="*/ 23811 w 123623"/>
              <a:gd name="connsiteY20" fmla="*/ 37759 h 136728"/>
              <a:gd name="connsiteX21" fmla="*/ 104853 w 123623"/>
              <a:gd name="connsiteY21" fmla="*/ 25627 h 13672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</a:cxnLst>
            <a:rect l="l" t="t" r="r" b="b"/>
            <a:pathLst>
              <a:path w="123623" h="136728">
                <a:moveTo>
                  <a:pt x="120178" y="315"/>
                </a:moveTo>
                <a:cubicBezTo>
                  <a:pt x="118607" y="306"/>
                  <a:pt x="117038" y="212"/>
                  <a:pt x="115478" y="34"/>
                </a:cubicBezTo>
                <a:lnTo>
                  <a:pt x="108654" y="16478"/>
                </a:lnTo>
                <a:cubicBezTo>
                  <a:pt x="86018" y="25294"/>
                  <a:pt x="39839" y="30158"/>
                  <a:pt x="20709" y="30315"/>
                </a:cubicBezTo>
                <a:lnTo>
                  <a:pt x="8101" y="0"/>
                </a:lnTo>
                <a:cubicBezTo>
                  <a:pt x="6425" y="203"/>
                  <a:pt x="4738" y="308"/>
                  <a:pt x="3049" y="315"/>
                </a:cubicBezTo>
                <a:cubicBezTo>
                  <a:pt x="2021" y="315"/>
                  <a:pt x="1013" y="233"/>
                  <a:pt x="0" y="161"/>
                </a:cubicBezTo>
                <a:lnTo>
                  <a:pt x="54865" y="132090"/>
                </a:lnTo>
                <a:cubicBezTo>
                  <a:pt x="56033" y="134898"/>
                  <a:pt x="58791" y="136729"/>
                  <a:pt x="61851" y="136729"/>
                </a:cubicBezTo>
                <a:lnTo>
                  <a:pt x="61851" y="136729"/>
                </a:lnTo>
                <a:cubicBezTo>
                  <a:pt x="64915" y="136735"/>
                  <a:pt x="67676" y="134900"/>
                  <a:pt x="68838" y="132086"/>
                </a:cubicBezTo>
                <a:lnTo>
                  <a:pt x="123624" y="142"/>
                </a:lnTo>
                <a:cubicBezTo>
                  <a:pt x="122471" y="233"/>
                  <a:pt x="121334" y="315"/>
                  <a:pt x="120178" y="315"/>
                </a:cubicBezTo>
                <a:close/>
                <a:moveTo>
                  <a:pt x="61814" y="129146"/>
                </a:moveTo>
                <a:lnTo>
                  <a:pt x="41309" y="79815"/>
                </a:lnTo>
                <a:cubicBezTo>
                  <a:pt x="56048" y="79169"/>
                  <a:pt x="70683" y="77043"/>
                  <a:pt x="84990" y="73470"/>
                </a:cubicBezTo>
                <a:lnTo>
                  <a:pt x="61885" y="129146"/>
                </a:lnTo>
                <a:cubicBezTo>
                  <a:pt x="61867" y="129191"/>
                  <a:pt x="61833" y="129191"/>
                  <a:pt x="61814" y="129146"/>
                </a:cubicBezTo>
                <a:close/>
                <a:moveTo>
                  <a:pt x="88780" y="64350"/>
                </a:moveTo>
                <a:cubicBezTo>
                  <a:pt x="75892" y="69446"/>
                  <a:pt x="50044" y="72225"/>
                  <a:pt x="38226" y="72424"/>
                </a:cubicBezTo>
                <a:lnTo>
                  <a:pt x="23811" y="37759"/>
                </a:lnTo>
                <a:cubicBezTo>
                  <a:pt x="43572" y="37245"/>
                  <a:pt x="81333" y="33187"/>
                  <a:pt x="104853" y="2562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40" name="Freeform: Shape 539">
            <a:extLst>
              <a:ext uri="{FF2B5EF4-FFF2-40B4-BE49-F238E27FC236}">
                <a16:creationId xmlns:a16="http://schemas.microsoft.com/office/drawing/2014/main" id="{22B57944-9E7B-4F68-A439-BA12BE27BB5C}"/>
              </a:ext>
            </a:extLst>
          </xdr:cNvPr>
          <xdr:cNvSpPr/>
        </xdr:nvSpPr>
        <xdr:spPr>
          <a:xfrm>
            <a:off x="11185717" y="11348089"/>
            <a:ext cx="188878" cy="165008"/>
          </a:xfrm>
          <a:custGeom>
            <a:avLst/>
            <a:gdLst>
              <a:gd name="connsiteX0" fmla="*/ 165840 w 188878"/>
              <a:gd name="connsiteY0" fmla="*/ 162683 h 165008"/>
              <a:gd name="connsiteX1" fmla="*/ 123731 w 188878"/>
              <a:gd name="connsiteY1" fmla="*/ 149933 h 165008"/>
              <a:gd name="connsiteX2" fmla="*/ 73781 w 188878"/>
              <a:gd name="connsiteY2" fmla="*/ 158482 h 165008"/>
              <a:gd name="connsiteX3" fmla="*/ 65166 w 188878"/>
              <a:gd name="connsiteY3" fmla="*/ 149933 h 165008"/>
              <a:gd name="connsiteX4" fmla="*/ 23057 w 188878"/>
              <a:gd name="connsiteY4" fmla="*/ 162683 h 165008"/>
              <a:gd name="connsiteX5" fmla="*/ 2782 w 188878"/>
              <a:gd name="connsiteY5" fmla="*/ 143183 h 165008"/>
              <a:gd name="connsiteX6" fmla="*/ 22112 w 188878"/>
              <a:gd name="connsiteY6" fmla="*/ 96491 h 165008"/>
              <a:gd name="connsiteX7" fmla="*/ 18863 w 188878"/>
              <a:gd name="connsiteY7" fmla="*/ 75000 h 165008"/>
              <a:gd name="connsiteX8" fmla="*/ 94430 w 188878"/>
              <a:gd name="connsiteY8" fmla="*/ 0 h 165008"/>
              <a:gd name="connsiteX9" fmla="*/ 169996 w 188878"/>
              <a:gd name="connsiteY9" fmla="*/ 75000 h 165008"/>
              <a:gd name="connsiteX10" fmla="*/ 166766 w 188878"/>
              <a:gd name="connsiteY10" fmla="*/ 96491 h 165008"/>
              <a:gd name="connsiteX11" fmla="*/ 186096 w 188878"/>
              <a:gd name="connsiteY11" fmla="*/ 143183 h 165008"/>
              <a:gd name="connsiteX12" fmla="*/ 165840 w 188878"/>
              <a:gd name="connsiteY12" fmla="*/ 162683 h 165008"/>
              <a:gd name="connsiteX13" fmla="*/ 123731 w 188878"/>
              <a:gd name="connsiteY13" fmla="*/ 138683 h 165008"/>
              <a:gd name="connsiteX14" fmla="*/ 127339 w 188878"/>
              <a:gd name="connsiteY14" fmla="*/ 141308 h 165008"/>
              <a:gd name="connsiteX15" fmla="*/ 133063 w 188878"/>
              <a:gd name="connsiteY15" fmla="*/ 150518 h 165008"/>
              <a:gd name="connsiteX16" fmla="*/ 176786 w 188878"/>
              <a:gd name="connsiteY16" fmla="*/ 113321 h 165008"/>
              <a:gd name="connsiteX17" fmla="*/ 160928 w 188878"/>
              <a:gd name="connsiteY17" fmla="*/ 102375 h 165008"/>
              <a:gd name="connsiteX18" fmla="*/ 158429 w 188878"/>
              <a:gd name="connsiteY18" fmla="*/ 97688 h 165008"/>
              <a:gd name="connsiteX19" fmla="*/ 158480 w 188878"/>
              <a:gd name="connsiteY19" fmla="*/ 97534 h 165008"/>
              <a:gd name="connsiteX20" fmla="*/ 117326 w 188878"/>
              <a:gd name="connsiteY20" fmla="*/ 11254 h 165008"/>
              <a:gd name="connsiteX21" fmla="*/ 30394 w 188878"/>
              <a:gd name="connsiteY21" fmla="*/ 52100 h 165008"/>
              <a:gd name="connsiteX22" fmla="*/ 30394 w 188878"/>
              <a:gd name="connsiteY22" fmla="*/ 97534 h 165008"/>
              <a:gd name="connsiteX23" fmla="*/ 28095 w 188878"/>
              <a:gd name="connsiteY23" fmla="*/ 102321 h 165008"/>
              <a:gd name="connsiteX24" fmla="*/ 27931 w 188878"/>
              <a:gd name="connsiteY24" fmla="*/ 102375 h 165008"/>
              <a:gd name="connsiteX25" fmla="*/ 12062 w 188878"/>
              <a:gd name="connsiteY25" fmla="*/ 113310 h 165008"/>
              <a:gd name="connsiteX26" fmla="*/ 55785 w 188878"/>
              <a:gd name="connsiteY26" fmla="*/ 150506 h 165008"/>
              <a:gd name="connsiteX27" fmla="*/ 61558 w 188878"/>
              <a:gd name="connsiteY27" fmla="*/ 141308 h 165008"/>
              <a:gd name="connsiteX28" fmla="*/ 66286 w 188878"/>
              <a:gd name="connsiteY28" fmla="*/ 138837 h 165008"/>
              <a:gd name="connsiteX29" fmla="*/ 68612 w 188878"/>
              <a:gd name="connsiteY29" fmla="*/ 140880 h 165008"/>
              <a:gd name="connsiteX30" fmla="*/ 106006 w 188878"/>
              <a:gd name="connsiteY30" fmla="*/ 155052 h 165008"/>
              <a:gd name="connsiteX31" fmla="*/ 120285 w 188878"/>
              <a:gd name="connsiteY31" fmla="*/ 140880 h 165008"/>
              <a:gd name="connsiteX32" fmla="*/ 123712 w 188878"/>
              <a:gd name="connsiteY32" fmla="*/ 138671 h 16500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</a:cxnLst>
            <a:rect l="l" t="t" r="r" b="b"/>
            <a:pathLst>
              <a:path w="188878" h="165008">
                <a:moveTo>
                  <a:pt x="165840" y="162683"/>
                </a:moveTo>
                <a:cubicBezTo>
                  <a:pt x="150516" y="168456"/>
                  <a:pt x="133198" y="163212"/>
                  <a:pt x="123731" y="149933"/>
                </a:cubicBezTo>
                <a:cubicBezTo>
                  <a:pt x="112316" y="165983"/>
                  <a:pt x="89953" y="169811"/>
                  <a:pt x="73781" y="158482"/>
                </a:cubicBezTo>
                <a:cubicBezTo>
                  <a:pt x="70439" y="156141"/>
                  <a:pt x="67525" y="153249"/>
                  <a:pt x="65166" y="149933"/>
                </a:cubicBezTo>
                <a:cubicBezTo>
                  <a:pt x="55699" y="163212"/>
                  <a:pt x="38380" y="168456"/>
                  <a:pt x="23057" y="162683"/>
                </a:cubicBezTo>
                <a:cubicBezTo>
                  <a:pt x="13868" y="159252"/>
                  <a:pt x="6526" y="152190"/>
                  <a:pt x="2782" y="143183"/>
                </a:cubicBezTo>
                <a:cubicBezTo>
                  <a:pt x="-4863" y="124991"/>
                  <a:pt x="3789" y="104093"/>
                  <a:pt x="22112" y="96491"/>
                </a:cubicBezTo>
                <a:cubicBezTo>
                  <a:pt x="19972" y="89525"/>
                  <a:pt x="18877" y="82283"/>
                  <a:pt x="18863" y="75000"/>
                </a:cubicBezTo>
                <a:cubicBezTo>
                  <a:pt x="18863" y="33579"/>
                  <a:pt x="52695" y="0"/>
                  <a:pt x="94430" y="0"/>
                </a:cubicBezTo>
                <a:cubicBezTo>
                  <a:pt x="136164" y="0"/>
                  <a:pt x="169996" y="33579"/>
                  <a:pt x="169996" y="75000"/>
                </a:cubicBezTo>
                <a:cubicBezTo>
                  <a:pt x="169988" y="82282"/>
                  <a:pt x="168900" y="89524"/>
                  <a:pt x="166766" y="96491"/>
                </a:cubicBezTo>
                <a:cubicBezTo>
                  <a:pt x="185089" y="104093"/>
                  <a:pt x="193741" y="124991"/>
                  <a:pt x="186096" y="143183"/>
                </a:cubicBezTo>
                <a:cubicBezTo>
                  <a:pt x="182357" y="152186"/>
                  <a:pt x="175022" y="159247"/>
                  <a:pt x="165840" y="162683"/>
                </a:cubicBezTo>
                <a:close/>
                <a:moveTo>
                  <a:pt x="123731" y="138683"/>
                </a:moveTo>
                <a:cubicBezTo>
                  <a:pt x="125382" y="138681"/>
                  <a:pt x="126844" y="139744"/>
                  <a:pt x="127339" y="141308"/>
                </a:cubicBezTo>
                <a:cubicBezTo>
                  <a:pt x="128204" y="144907"/>
                  <a:pt x="130210" y="148135"/>
                  <a:pt x="133063" y="150518"/>
                </a:cubicBezTo>
                <a:cubicBezTo>
                  <a:pt x="161567" y="171293"/>
                  <a:pt x="193365" y="141799"/>
                  <a:pt x="176786" y="113321"/>
                </a:cubicBezTo>
                <a:cubicBezTo>
                  <a:pt x="173092" y="107807"/>
                  <a:pt x="167423" y="103894"/>
                  <a:pt x="160928" y="102375"/>
                </a:cubicBezTo>
                <a:cubicBezTo>
                  <a:pt x="158934" y="101766"/>
                  <a:pt x="157815" y="99668"/>
                  <a:pt x="158429" y="97688"/>
                </a:cubicBezTo>
                <a:cubicBezTo>
                  <a:pt x="158445" y="97636"/>
                  <a:pt x="158462" y="97585"/>
                  <a:pt x="158480" y="97534"/>
                </a:cubicBezTo>
                <a:cubicBezTo>
                  <a:pt x="171121" y="62429"/>
                  <a:pt x="152696" y="23801"/>
                  <a:pt x="117326" y="11254"/>
                </a:cubicBezTo>
                <a:cubicBezTo>
                  <a:pt x="81956" y="-1292"/>
                  <a:pt x="43035" y="16995"/>
                  <a:pt x="30394" y="52100"/>
                </a:cubicBezTo>
                <a:cubicBezTo>
                  <a:pt x="25105" y="66789"/>
                  <a:pt x="25105" y="82844"/>
                  <a:pt x="30394" y="97534"/>
                </a:cubicBezTo>
                <a:cubicBezTo>
                  <a:pt x="31091" y="99486"/>
                  <a:pt x="30062" y="101629"/>
                  <a:pt x="28095" y="102321"/>
                </a:cubicBezTo>
                <a:cubicBezTo>
                  <a:pt x="28041" y="102340"/>
                  <a:pt x="27986" y="102359"/>
                  <a:pt x="27931" y="102375"/>
                </a:cubicBezTo>
                <a:cubicBezTo>
                  <a:pt x="21434" y="103889"/>
                  <a:pt x="15761" y="107798"/>
                  <a:pt x="12062" y="113310"/>
                </a:cubicBezTo>
                <a:cubicBezTo>
                  <a:pt x="-4518" y="141788"/>
                  <a:pt x="27281" y="171281"/>
                  <a:pt x="55785" y="150506"/>
                </a:cubicBezTo>
                <a:cubicBezTo>
                  <a:pt x="58654" y="148134"/>
                  <a:pt x="60678" y="144909"/>
                  <a:pt x="61558" y="141308"/>
                </a:cubicBezTo>
                <a:cubicBezTo>
                  <a:pt x="62176" y="139329"/>
                  <a:pt x="64293" y="138224"/>
                  <a:pt x="66286" y="138837"/>
                </a:cubicBezTo>
                <a:cubicBezTo>
                  <a:pt x="67321" y="139156"/>
                  <a:pt x="68168" y="139900"/>
                  <a:pt x="68612" y="140880"/>
                </a:cubicBezTo>
                <a:cubicBezTo>
                  <a:pt x="74995" y="155042"/>
                  <a:pt x="91737" y="161387"/>
                  <a:pt x="106006" y="155052"/>
                </a:cubicBezTo>
                <a:cubicBezTo>
                  <a:pt x="112359" y="152231"/>
                  <a:pt x="117443" y="147186"/>
                  <a:pt x="120285" y="140880"/>
                </a:cubicBezTo>
                <a:cubicBezTo>
                  <a:pt x="120893" y="139541"/>
                  <a:pt x="122232" y="138678"/>
                  <a:pt x="123712" y="13867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10</xdr:col>
      <xdr:colOff>127081</xdr:colOff>
      <xdr:row>9</xdr:row>
      <xdr:rowOff>117062</xdr:rowOff>
    </xdr:from>
    <xdr:to>
      <xdr:col>10</xdr:col>
      <xdr:colOff>465900</xdr:colOff>
      <xdr:row>9</xdr:row>
      <xdr:rowOff>450374</xdr:rowOff>
    </xdr:to>
    <xdr:grpSp>
      <xdr:nvGrpSpPr>
        <xdr:cNvPr id="541" name="pizza" descr="Whole pizza outline">
          <a:extLst>
            <a:ext uri="{FF2B5EF4-FFF2-40B4-BE49-F238E27FC236}">
              <a16:creationId xmlns:a16="http://schemas.microsoft.com/office/drawing/2014/main" id="{A0C830B3-035A-46AB-B432-A82D9737C4B9}"/>
            </a:ext>
          </a:extLst>
        </xdr:cNvPr>
        <xdr:cNvGrpSpPr>
          <a:grpSpLocks noChangeAspect="1"/>
        </xdr:cNvGrpSpPr>
      </xdr:nvGrpSpPr>
      <xdr:grpSpPr>
        <a:xfrm>
          <a:off x="9137731" y="3641312"/>
          <a:ext cx="338819" cy="333312"/>
          <a:chOff x="10472047" y="11337273"/>
          <a:chExt cx="338819" cy="333312"/>
        </a:xfrm>
        <a:solidFill>
          <a:srgbClr val="1F4E78"/>
        </a:solidFill>
      </xdr:grpSpPr>
      <xdr:sp macro="" textlink="">
        <xdr:nvSpPr>
          <xdr:cNvPr id="542" name="Freeform: Shape 541">
            <a:extLst>
              <a:ext uri="{FF2B5EF4-FFF2-40B4-BE49-F238E27FC236}">
                <a16:creationId xmlns:a16="http://schemas.microsoft.com/office/drawing/2014/main" id="{83711F29-DCF3-4FDC-B30A-EA0B523B00B2}"/>
              </a:ext>
            </a:extLst>
          </xdr:cNvPr>
          <xdr:cNvSpPr/>
        </xdr:nvSpPr>
        <xdr:spPr>
          <a:xfrm>
            <a:off x="10472047" y="11363092"/>
            <a:ext cx="307507" cy="307492"/>
          </a:xfrm>
          <a:custGeom>
            <a:avLst/>
            <a:gdLst>
              <a:gd name="connsiteX0" fmla="*/ 276378 w 307507"/>
              <a:gd name="connsiteY0" fmla="*/ 118854 h 307492"/>
              <a:gd name="connsiteX1" fmla="*/ 188624 w 307507"/>
              <a:gd name="connsiteY1" fmla="*/ 276230 h 307492"/>
              <a:gd name="connsiteX2" fmla="*/ 31249 w 307507"/>
              <a:gd name="connsiteY2" fmla="*/ 188476 h 307492"/>
              <a:gd name="connsiteX3" fmla="*/ 119002 w 307507"/>
              <a:gd name="connsiteY3" fmla="*/ 31100 h 307492"/>
              <a:gd name="connsiteX4" fmla="*/ 195788 w 307507"/>
              <a:gd name="connsiteY4" fmla="*/ 33365 h 307492"/>
              <a:gd name="connsiteX5" fmla="*/ 205381 w 307507"/>
              <a:gd name="connsiteY5" fmla="*/ 8888 h 307492"/>
              <a:gd name="connsiteX6" fmla="*/ 155098 w 307507"/>
              <a:gd name="connsiteY6" fmla="*/ 7 h 307492"/>
              <a:gd name="connsiteX7" fmla="*/ 153745 w 307507"/>
              <a:gd name="connsiteY7" fmla="*/ 0 h 307492"/>
              <a:gd name="connsiteX8" fmla="*/ 0 w 307507"/>
              <a:gd name="connsiteY8" fmla="*/ 153746 h 307492"/>
              <a:gd name="connsiteX9" fmla="*/ 152430 w 307507"/>
              <a:gd name="connsiteY9" fmla="*/ 307485 h 307492"/>
              <a:gd name="connsiteX10" fmla="*/ 153800 w 307507"/>
              <a:gd name="connsiteY10" fmla="*/ 307493 h 307492"/>
              <a:gd name="connsiteX11" fmla="*/ 307508 w 307507"/>
              <a:gd name="connsiteY11" fmla="*/ 153616 h 307492"/>
              <a:gd name="connsiteX12" fmla="*/ 301055 w 307507"/>
              <a:gd name="connsiteY12" fmla="*/ 109618 h 307492"/>
              <a:gd name="connsiteX13" fmla="*/ 256273 w 307507"/>
              <a:gd name="connsiteY13" fmla="*/ 258051 h 307492"/>
              <a:gd name="connsiteX14" fmla="*/ 153798 w 307507"/>
              <a:gd name="connsiteY14" fmla="*/ 299993 h 307492"/>
              <a:gd name="connsiteX15" fmla="*/ 152496 w 307507"/>
              <a:gd name="connsiteY15" fmla="*/ 299985 h 307492"/>
              <a:gd name="connsiteX16" fmla="*/ 7538 w 307507"/>
              <a:gd name="connsiteY16" fmla="*/ 152463 h 307492"/>
              <a:gd name="connsiteX17" fmla="*/ 153745 w 307507"/>
              <a:gd name="connsiteY17" fmla="*/ 7500 h 307492"/>
              <a:gd name="connsiteX18" fmla="*/ 155032 w 307507"/>
              <a:gd name="connsiteY18" fmla="*/ 7507 h 307492"/>
              <a:gd name="connsiteX19" fmla="*/ 195494 w 307507"/>
              <a:gd name="connsiteY19" fmla="*/ 13573 h 307492"/>
              <a:gd name="connsiteX20" fmla="*/ 191410 w 307507"/>
              <a:gd name="connsiteY20" fmla="*/ 24118 h 307492"/>
              <a:gd name="connsiteX21" fmla="*/ 24212 w 307507"/>
              <a:gd name="connsiteY21" fmla="*/ 116176 h 307492"/>
              <a:gd name="connsiteX22" fmla="*/ 116271 w 307507"/>
              <a:gd name="connsiteY22" fmla="*/ 283374 h 307492"/>
              <a:gd name="connsiteX23" fmla="*/ 152593 w 307507"/>
              <a:gd name="connsiteY23" fmla="*/ 288702 h 307492"/>
              <a:gd name="connsiteX24" fmla="*/ 153796 w 307507"/>
              <a:gd name="connsiteY24" fmla="*/ 288706 h 307492"/>
              <a:gd name="connsiteX25" fmla="*/ 288739 w 307507"/>
              <a:gd name="connsiteY25" fmla="*/ 154217 h 307492"/>
              <a:gd name="connsiteX26" fmla="*/ 285263 w 307507"/>
              <a:gd name="connsiteY26" fmla="*/ 123585 h 307492"/>
              <a:gd name="connsiteX27" fmla="*/ 295913 w 307507"/>
              <a:gd name="connsiteY27" fmla="*/ 119690 h 307492"/>
              <a:gd name="connsiteX28" fmla="*/ 300000 w 307507"/>
              <a:gd name="connsiteY28" fmla="*/ 155015 h 307492"/>
              <a:gd name="connsiteX29" fmla="*/ 256273 w 307507"/>
              <a:gd name="connsiteY29" fmla="*/ 258051 h 3074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</a:cxnLst>
            <a:rect l="l" t="t" r="r" b="b"/>
            <a:pathLst>
              <a:path w="307507" h="307492">
                <a:moveTo>
                  <a:pt x="276378" y="118854"/>
                </a:moveTo>
                <a:cubicBezTo>
                  <a:pt x="295603" y="186544"/>
                  <a:pt x="256315" y="257004"/>
                  <a:pt x="188624" y="276230"/>
                </a:cubicBezTo>
                <a:cubicBezTo>
                  <a:pt x="120934" y="295455"/>
                  <a:pt x="50474" y="256167"/>
                  <a:pt x="31249" y="188476"/>
                </a:cubicBezTo>
                <a:cubicBezTo>
                  <a:pt x="12023" y="120786"/>
                  <a:pt x="51311" y="50326"/>
                  <a:pt x="119002" y="31100"/>
                </a:cubicBezTo>
                <a:cubicBezTo>
                  <a:pt x="144220" y="23938"/>
                  <a:pt x="171035" y="24729"/>
                  <a:pt x="195788" y="33365"/>
                </a:cubicBezTo>
                <a:lnTo>
                  <a:pt x="205381" y="8888"/>
                </a:lnTo>
                <a:cubicBezTo>
                  <a:pt x="189234" y="3139"/>
                  <a:pt x="172237" y="137"/>
                  <a:pt x="155098" y="7"/>
                </a:cubicBezTo>
                <a:cubicBezTo>
                  <a:pt x="154642" y="4"/>
                  <a:pt x="154198" y="0"/>
                  <a:pt x="153745" y="0"/>
                </a:cubicBezTo>
                <a:cubicBezTo>
                  <a:pt x="68834" y="0"/>
                  <a:pt x="0" y="68835"/>
                  <a:pt x="0" y="153746"/>
                </a:cubicBezTo>
                <a:cubicBezTo>
                  <a:pt x="0" y="238144"/>
                  <a:pt x="68035" y="306764"/>
                  <a:pt x="152430" y="307485"/>
                </a:cubicBezTo>
                <a:cubicBezTo>
                  <a:pt x="152890" y="307489"/>
                  <a:pt x="153342" y="307493"/>
                  <a:pt x="153800" y="307493"/>
                </a:cubicBezTo>
                <a:cubicBezTo>
                  <a:pt x="238737" y="307446"/>
                  <a:pt x="307554" y="238553"/>
                  <a:pt x="307508" y="153616"/>
                </a:cubicBezTo>
                <a:cubicBezTo>
                  <a:pt x="307500" y="138715"/>
                  <a:pt x="305326" y="123894"/>
                  <a:pt x="301055" y="109618"/>
                </a:cubicBezTo>
                <a:close/>
                <a:moveTo>
                  <a:pt x="256273" y="258051"/>
                </a:moveTo>
                <a:cubicBezTo>
                  <a:pt x="228991" y="285012"/>
                  <a:pt x="192154" y="300090"/>
                  <a:pt x="153798" y="299993"/>
                </a:cubicBezTo>
                <a:cubicBezTo>
                  <a:pt x="153364" y="299993"/>
                  <a:pt x="152930" y="299989"/>
                  <a:pt x="152496" y="299985"/>
                </a:cubicBezTo>
                <a:cubicBezTo>
                  <a:pt x="71730" y="299277"/>
                  <a:pt x="6830" y="233229"/>
                  <a:pt x="7538" y="152463"/>
                </a:cubicBezTo>
                <a:cubicBezTo>
                  <a:pt x="8242" y="72210"/>
                  <a:pt x="73489" y="7518"/>
                  <a:pt x="153745" y="7500"/>
                </a:cubicBezTo>
                <a:cubicBezTo>
                  <a:pt x="154173" y="7500"/>
                  <a:pt x="154603" y="7504"/>
                  <a:pt x="155032" y="7507"/>
                </a:cubicBezTo>
                <a:cubicBezTo>
                  <a:pt x="168737" y="7621"/>
                  <a:pt x="182358" y="9663"/>
                  <a:pt x="195494" y="13573"/>
                </a:cubicBezTo>
                <a:lnTo>
                  <a:pt x="191410" y="24118"/>
                </a:lnTo>
                <a:cubicBezTo>
                  <a:pt x="119818" y="3369"/>
                  <a:pt x="44962" y="44584"/>
                  <a:pt x="24212" y="116176"/>
                </a:cubicBezTo>
                <a:cubicBezTo>
                  <a:pt x="3463" y="187767"/>
                  <a:pt x="44679" y="262625"/>
                  <a:pt x="116271" y="283374"/>
                </a:cubicBezTo>
                <a:cubicBezTo>
                  <a:pt x="128079" y="286796"/>
                  <a:pt x="140299" y="288589"/>
                  <a:pt x="152593" y="288702"/>
                </a:cubicBezTo>
                <a:cubicBezTo>
                  <a:pt x="152995" y="288706"/>
                  <a:pt x="153395" y="288706"/>
                  <a:pt x="153796" y="288706"/>
                </a:cubicBezTo>
                <a:cubicBezTo>
                  <a:pt x="228198" y="288831"/>
                  <a:pt x="288613" y="228618"/>
                  <a:pt x="288739" y="154217"/>
                </a:cubicBezTo>
                <a:cubicBezTo>
                  <a:pt x="288756" y="143907"/>
                  <a:pt x="287590" y="133629"/>
                  <a:pt x="285263" y="123585"/>
                </a:cubicBezTo>
                <a:lnTo>
                  <a:pt x="295913" y="119690"/>
                </a:lnTo>
                <a:cubicBezTo>
                  <a:pt x="298758" y="131246"/>
                  <a:pt x="300131" y="143115"/>
                  <a:pt x="300000" y="155015"/>
                </a:cubicBezTo>
                <a:cubicBezTo>
                  <a:pt x="299770" y="193822"/>
                  <a:pt x="284025" y="230924"/>
                  <a:pt x="256273" y="258051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43" name="Freeform: Shape 542">
            <a:extLst>
              <a:ext uri="{FF2B5EF4-FFF2-40B4-BE49-F238E27FC236}">
                <a16:creationId xmlns:a16="http://schemas.microsoft.com/office/drawing/2014/main" id="{78714CC1-6DC2-49A0-BFCB-81D543918A7C}"/>
              </a:ext>
            </a:extLst>
          </xdr:cNvPr>
          <xdr:cNvSpPr/>
        </xdr:nvSpPr>
        <xdr:spPr>
          <a:xfrm>
            <a:off x="10606639" y="11403962"/>
            <a:ext cx="38933" cy="38946"/>
          </a:xfrm>
          <a:custGeom>
            <a:avLst/>
            <a:gdLst>
              <a:gd name="connsiteX0" fmla="*/ 33239 w 38933"/>
              <a:gd name="connsiteY0" fmla="*/ 5702 h 38946"/>
              <a:gd name="connsiteX1" fmla="*/ 5702 w 38933"/>
              <a:gd name="connsiteY1" fmla="*/ 5705 h 38946"/>
              <a:gd name="connsiteX2" fmla="*/ 5705 w 38933"/>
              <a:gd name="connsiteY2" fmla="*/ 33242 h 38946"/>
              <a:gd name="connsiteX3" fmla="*/ 19276 w 38933"/>
              <a:gd name="connsiteY3" fmla="*/ 38943 h 38946"/>
              <a:gd name="connsiteX4" fmla="*/ 19605 w 38933"/>
              <a:gd name="connsiteY4" fmla="*/ 38947 h 38946"/>
              <a:gd name="connsiteX5" fmla="*/ 33171 w 38933"/>
              <a:gd name="connsiteY5" fmla="*/ 33409 h 38946"/>
              <a:gd name="connsiteX6" fmla="*/ 33239 w 38933"/>
              <a:gd name="connsiteY6" fmla="*/ 5702 h 38946"/>
              <a:gd name="connsiteX7" fmla="*/ 27914 w 38933"/>
              <a:gd name="connsiteY7" fmla="*/ 28063 h 38946"/>
              <a:gd name="connsiteX8" fmla="*/ 19400 w 38933"/>
              <a:gd name="connsiteY8" fmla="*/ 31443 h 38946"/>
              <a:gd name="connsiteX9" fmla="*/ 10817 w 38933"/>
              <a:gd name="connsiteY9" fmla="*/ 27740 h 38946"/>
              <a:gd name="connsiteX10" fmla="*/ 10792 w 38933"/>
              <a:gd name="connsiteY10" fmla="*/ 10640 h 38946"/>
              <a:gd name="connsiteX11" fmla="*/ 19110 w 38933"/>
              <a:gd name="connsiteY11" fmla="*/ 7260 h 38946"/>
              <a:gd name="connsiteX12" fmla="*/ 27890 w 38933"/>
              <a:gd name="connsiteY12" fmla="*/ 10959 h 38946"/>
              <a:gd name="connsiteX13" fmla="*/ 27913 w 38933"/>
              <a:gd name="connsiteY13" fmla="*/ 28062 h 3894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38933" h="38946">
                <a:moveTo>
                  <a:pt x="33239" y="5702"/>
                </a:moveTo>
                <a:cubicBezTo>
                  <a:pt x="25634" y="-1902"/>
                  <a:pt x="13305" y="-1900"/>
                  <a:pt x="5702" y="5705"/>
                </a:cubicBezTo>
                <a:cubicBezTo>
                  <a:pt x="-1902" y="13310"/>
                  <a:pt x="-1900" y="25639"/>
                  <a:pt x="5705" y="33242"/>
                </a:cubicBezTo>
                <a:cubicBezTo>
                  <a:pt x="9308" y="36845"/>
                  <a:pt x="14180" y="38891"/>
                  <a:pt x="19276" y="38943"/>
                </a:cubicBezTo>
                <a:cubicBezTo>
                  <a:pt x="19385" y="38943"/>
                  <a:pt x="19495" y="38947"/>
                  <a:pt x="19605" y="38947"/>
                </a:cubicBezTo>
                <a:cubicBezTo>
                  <a:pt x="24681" y="38966"/>
                  <a:pt x="29558" y="36975"/>
                  <a:pt x="33171" y="33409"/>
                </a:cubicBezTo>
                <a:cubicBezTo>
                  <a:pt x="40828" y="25771"/>
                  <a:pt x="40858" y="13377"/>
                  <a:pt x="33239" y="5702"/>
                </a:cubicBezTo>
                <a:close/>
                <a:moveTo>
                  <a:pt x="27914" y="28063"/>
                </a:moveTo>
                <a:cubicBezTo>
                  <a:pt x="25694" y="30361"/>
                  <a:pt x="22592" y="31592"/>
                  <a:pt x="19400" y="31443"/>
                </a:cubicBezTo>
                <a:cubicBezTo>
                  <a:pt x="16162" y="31393"/>
                  <a:pt x="13076" y="30061"/>
                  <a:pt x="10817" y="27740"/>
                </a:cubicBezTo>
                <a:cubicBezTo>
                  <a:pt x="6096" y="23022"/>
                  <a:pt x="6085" y="15373"/>
                  <a:pt x="10792" y="10640"/>
                </a:cubicBezTo>
                <a:cubicBezTo>
                  <a:pt x="13011" y="8462"/>
                  <a:pt x="16000" y="7247"/>
                  <a:pt x="19110" y="7260"/>
                </a:cubicBezTo>
                <a:cubicBezTo>
                  <a:pt x="22415" y="7262"/>
                  <a:pt x="25580" y="8596"/>
                  <a:pt x="27890" y="10959"/>
                </a:cubicBezTo>
                <a:cubicBezTo>
                  <a:pt x="32611" y="15679"/>
                  <a:pt x="32621" y="23330"/>
                  <a:pt x="27913" y="28062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44" name="Freeform: Shape 543">
            <a:extLst>
              <a:ext uri="{FF2B5EF4-FFF2-40B4-BE49-F238E27FC236}">
                <a16:creationId xmlns:a16="http://schemas.microsoft.com/office/drawing/2014/main" id="{E65A00E3-5683-4C38-B602-0B0C8FA48298}"/>
              </a:ext>
            </a:extLst>
          </xdr:cNvPr>
          <xdr:cNvSpPr/>
        </xdr:nvSpPr>
        <xdr:spPr>
          <a:xfrm>
            <a:off x="10646032" y="11584067"/>
            <a:ext cx="39101" cy="39192"/>
          </a:xfrm>
          <a:custGeom>
            <a:avLst/>
            <a:gdLst>
              <a:gd name="connsiteX0" fmla="*/ 5695 w 39101"/>
              <a:gd name="connsiteY0" fmla="*/ 33246 h 39192"/>
              <a:gd name="connsiteX1" fmla="*/ 19504 w 39101"/>
              <a:gd name="connsiteY1" fmla="*/ 39189 h 39192"/>
              <a:gd name="connsiteX2" fmla="*/ 19834 w 39101"/>
              <a:gd name="connsiteY2" fmla="*/ 39193 h 39192"/>
              <a:gd name="connsiteX3" fmla="*/ 33400 w 39101"/>
              <a:gd name="connsiteY3" fmla="*/ 33655 h 39192"/>
              <a:gd name="connsiteX4" fmla="*/ 33225 w 39101"/>
              <a:gd name="connsiteY4" fmla="*/ 5703 h 39192"/>
              <a:gd name="connsiteX5" fmla="*/ 19660 w 39101"/>
              <a:gd name="connsiteY5" fmla="*/ 4 h 39192"/>
              <a:gd name="connsiteX6" fmla="*/ 5762 w 39101"/>
              <a:gd name="connsiteY6" fmla="*/ 5538 h 39192"/>
              <a:gd name="connsiteX7" fmla="*/ 5695 w 39101"/>
              <a:gd name="connsiteY7" fmla="*/ 33246 h 39192"/>
              <a:gd name="connsiteX8" fmla="*/ 11020 w 39101"/>
              <a:gd name="connsiteY8" fmla="*/ 10885 h 39192"/>
              <a:gd name="connsiteX9" fmla="*/ 19333 w 39101"/>
              <a:gd name="connsiteY9" fmla="*/ 7501 h 39192"/>
              <a:gd name="connsiteX10" fmla="*/ 19534 w 39101"/>
              <a:gd name="connsiteY10" fmla="*/ 7504 h 39192"/>
              <a:gd name="connsiteX11" fmla="*/ 28116 w 39101"/>
              <a:gd name="connsiteY11" fmla="*/ 11207 h 39192"/>
              <a:gd name="connsiteX12" fmla="*/ 28140 w 39101"/>
              <a:gd name="connsiteY12" fmla="*/ 28309 h 39192"/>
              <a:gd name="connsiteX13" fmla="*/ 19628 w 39101"/>
              <a:gd name="connsiteY13" fmla="*/ 31689 h 39192"/>
              <a:gd name="connsiteX14" fmla="*/ 11046 w 39101"/>
              <a:gd name="connsiteY14" fmla="*/ 27987 h 39192"/>
              <a:gd name="connsiteX15" fmla="*/ 11021 w 39101"/>
              <a:gd name="connsiteY15" fmla="*/ 10884 h 391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39101" h="39192">
                <a:moveTo>
                  <a:pt x="5695" y="33246"/>
                </a:moveTo>
                <a:cubicBezTo>
                  <a:pt x="9332" y="36973"/>
                  <a:pt x="14297" y="39110"/>
                  <a:pt x="19504" y="39189"/>
                </a:cubicBezTo>
                <a:cubicBezTo>
                  <a:pt x="19614" y="39189"/>
                  <a:pt x="19724" y="39193"/>
                  <a:pt x="19834" y="39193"/>
                </a:cubicBezTo>
                <a:cubicBezTo>
                  <a:pt x="24910" y="39211"/>
                  <a:pt x="29787" y="37221"/>
                  <a:pt x="33400" y="33655"/>
                </a:cubicBezTo>
                <a:cubicBezTo>
                  <a:pt x="41071" y="25888"/>
                  <a:pt x="40992" y="13374"/>
                  <a:pt x="33225" y="5703"/>
                </a:cubicBezTo>
                <a:cubicBezTo>
                  <a:pt x="29605" y="2129"/>
                  <a:pt x="24747" y="88"/>
                  <a:pt x="19660" y="4"/>
                </a:cubicBezTo>
                <a:cubicBezTo>
                  <a:pt x="14470" y="-107"/>
                  <a:pt x="9456" y="1890"/>
                  <a:pt x="5762" y="5538"/>
                </a:cubicBezTo>
                <a:cubicBezTo>
                  <a:pt x="-1894" y="13176"/>
                  <a:pt x="-1925" y="25570"/>
                  <a:pt x="5695" y="33246"/>
                </a:cubicBezTo>
                <a:close/>
                <a:moveTo>
                  <a:pt x="11020" y="10885"/>
                </a:moveTo>
                <a:cubicBezTo>
                  <a:pt x="13235" y="8703"/>
                  <a:pt x="16224" y="7486"/>
                  <a:pt x="19333" y="7501"/>
                </a:cubicBezTo>
                <a:cubicBezTo>
                  <a:pt x="19399" y="7501"/>
                  <a:pt x="19468" y="7501"/>
                  <a:pt x="19534" y="7504"/>
                </a:cubicBezTo>
                <a:cubicBezTo>
                  <a:pt x="22772" y="7554"/>
                  <a:pt x="25858" y="8886"/>
                  <a:pt x="28116" y="11207"/>
                </a:cubicBezTo>
                <a:cubicBezTo>
                  <a:pt x="32837" y="15927"/>
                  <a:pt x="32848" y="23576"/>
                  <a:pt x="28140" y="28309"/>
                </a:cubicBezTo>
                <a:cubicBezTo>
                  <a:pt x="25901" y="30577"/>
                  <a:pt x="22813" y="31803"/>
                  <a:pt x="19628" y="31689"/>
                </a:cubicBezTo>
                <a:cubicBezTo>
                  <a:pt x="16390" y="31639"/>
                  <a:pt x="13304" y="30308"/>
                  <a:pt x="11046" y="27987"/>
                </a:cubicBezTo>
                <a:cubicBezTo>
                  <a:pt x="6324" y="23267"/>
                  <a:pt x="6313" y="15617"/>
                  <a:pt x="11021" y="10884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45" name="Freeform: Shape 544">
            <a:extLst>
              <a:ext uri="{FF2B5EF4-FFF2-40B4-BE49-F238E27FC236}">
                <a16:creationId xmlns:a16="http://schemas.microsoft.com/office/drawing/2014/main" id="{ECF8F35F-92A2-4C5A-B137-43977E4A255C}"/>
              </a:ext>
            </a:extLst>
          </xdr:cNvPr>
          <xdr:cNvSpPr/>
        </xdr:nvSpPr>
        <xdr:spPr>
          <a:xfrm>
            <a:off x="10546124" y="11443079"/>
            <a:ext cx="31642" cy="31652"/>
          </a:xfrm>
          <a:custGeom>
            <a:avLst/>
            <a:gdLst>
              <a:gd name="connsiteX0" fmla="*/ 27021 w 31642"/>
              <a:gd name="connsiteY0" fmla="*/ 4641 h 31652"/>
              <a:gd name="connsiteX1" fmla="*/ 4641 w 31642"/>
              <a:gd name="connsiteY1" fmla="*/ 4629 h 31652"/>
              <a:gd name="connsiteX2" fmla="*/ 4629 w 31642"/>
              <a:gd name="connsiteY2" fmla="*/ 27009 h 31652"/>
              <a:gd name="connsiteX3" fmla="*/ 15661 w 31642"/>
              <a:gd name="connsiteY3" fmla="*/ 31649 h 31652"/>
              <a:gd name="connsiteX4" fmla="*/ 15926 w 31642"/>
              <a:gd name="connsiteY4" fmla="*/ 31653 h 31652"/>
              <a:gd name="connsiteX5" fmla="*/ 26957 w 31642"/>
              <a:gd name="connsiteY5" fmla="*/ 27153 h 31652"/>
              <a:gd name="connsiteX6" fmla="*/ 27021 w 31642"/>
              <a:gd name="connsiteY6" fmla="*/ 4641 h 31652"/>
              <a:gd name="connsiteX7" fmla="*/ 21698 w 31642"/>
              <a:gd name="connsiteY7" fmla="*/ 21805 h 31652"/>
              <a:gd name="connsiteX8" fmla="*/ 9798 w 31642"/>
              <a:gd name="connsiteY8" fmla="*/ 21569 h 31652"/>
              <a:gd name="connsiteX9" fmla="*/ 9797 w 31642"/>
              <a:gd name="connsiteY9" fmla="*/ 21567 h 31652"/>
              <a:gd name="connsiteX10" fmla="*/ 9766 w 31642"/>
              <a:gd name="connsiteY10" fmla="*/ 9665 h 31652"/>
              <a:gd name="connsiteX11" fmla="*/ 15544 w 31642"/>
              <a:gd name="connsiteY11" fmla="*/ 7318 h 31652"/>
              <a:gd name="connsiteX12" fmla="*/ 21669 w 31642"/>
              <a:gd name="connsiteY12" fmla="*/ 9900 h 31652"/>
              <a:gd name="connsiteX13" fmla="*/ 21698 w 31642"/>
              <a:gd name="connsiteY13" fmla="*/ 21805 h 3165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31642" h="31652">
                <a:moveTo>
                  <a:pt x="27021" y="4641"/>
                </a:moveTo>
                <a:cubicBezTo>
                  <a:pt x="20845" y="-1542"/>
                  <a:pt x="10825" y="-1548"/>
                  <a:pt x="4641" y="4629"/>
                </a:cubicBezTo>
                <a:cubicBezTo>
                  <a:pt x="-1542" y="10805"/>
                  <a:pt x="-1548" y="20825"/>
                  <a:pt x="4629" y="27009"/>
                </a:cubicBezTo>
                <a:cubicBezTo>
                  <a:pt x="7557" y="29940"/>
                  <a:pt x="11518" y="31606"/>
                  <a:pt x="15661" y="31649"/>
                </a:cubicBezTo>
                <a:cubicBezTo>
                  <a:pt x="15749" y="31653"/>
                  <a:pt x="15839" y="31653"/>
                  <a:pt x="15926" y="31653"/>
                </a:cubicBezTo>
                <a:cubicBezTo>
                  <a:pt x="20053" y="31668"/>
                  <a:pt x="24018" y="30050"/>
                  <a:pt x="26957" y="27153"/>
                </a:cubicBezTo>
                <a:cubicBezTo>
                  <a:pt x="33179" y="20949"/>
                  <a:pt x="33208" y="10880"/>
                  <a:pt x="27021" y="4641"/>
                </a:cubicBezTo>
                <a:close/>
                <a:moveTo>
                  <a:pt x="21698" y="21805"/>
                </a:moveTo>
                <a:cubicBezTo>
                  <a:pt x="18347" y="25026"/>
                  <a:pt x="13019" y="24920"/>
                  <a:pt x="9798" y="21569"/>
                </a:cubicBezTo>
                <a:cubicBezTo>
                  <a:pt x="9797" y="21568"/>
                  <a:pt x="9797" y="21568"/>
                  <a:pt x="9797" y="21567"/>
                </a:cubicBezTo>
                <a:cubicBezTo>
                  <a:pt x="6507" y="18287"/>
                  <a:pt x="6493" y="12963"/>
                  <a:pt x="9766" y="9665"/>
                </a:cubicBezTo>
                <a:cubicBezTo>
                  <a:pt x="11308" y="8153"/>
                  <a:pt x="13384" y="7309"/>
                  <a:pt x="15544" y="7318"/>
                </a:cubicBezTo>
                <a:cubicBezTo>
                  <a:pt x="17850" y="7320"/>
                  <a:pt x="20058" y="8251"/>
                  <a:pt x="21669" y="9900"/>
                </a:cubicBezTo>
                <a:cubicBezTo>
                  <a:pt x="24958" y="13182"/>
                  <a:pt x="24971" y="18507"/>
                  <a:pt x="21698" y="21805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46" name="Freeform: Shape 545">
            <a:extLst>
              <a:ext uri="{FF2B5EF4-FFF2-40B4-BE49-F238E27FC236}">
                <a16:creationId xmlns:a16="http://schemas.microsoft.com/office/drawing/2014/main" id="{6AE5C231-49B8-4CE4-8FFA-4209E8F44865}"/>
              </a:ext>
            </a:extLst>
          </xdr:cNvPr>
          <xdr:cNvSpPr/>
        </xdr:nvSpPr>
        <xdr:spPr>
          <a:xfrm>
            <a:off x="10706618" y="11515538"/>
            <a:ext cx="31728" cy="31830"/>
          </a:xfrm>
          <a:custGeom>
            <a:avLst/>
            <a:gdLst>
              <a:gd name="connsiteX0" fmla="*/ 27090 w 31728"/>
              <a:gd name="connsiteY0" fmla="*/ 27338 h 31830"/>
              <a:gd name="connsiteX1" fmla="*/ 26965 w 31728"/>
              <a:gd name="connsiteY1" fmla="*/ 4640 h 31830"/>
              <a:gd name="connsiteX2" fmla="*/ 15939 w 31728"/>
              <a:gd name="connsiteY2" fmla="*/ 4 h 31830"/>
              <a:gd name="connsiteX3" fmla="*/ 15674 w 31728"/>
              <a:gd name="connsiteY3" fmla="*/ 0 h 31830"/>
              <a:gd name="connsiteX4" fmla="*/ 4643 w 31728"/>
              <a:gd name="connsiteY4" fmla="*/ 4500 h 31830"/>
              <a:gd name="connsiteX5" fmla="*/ 4754 w 31728"/>
              <a:gd name="connsiteY5" fmla="*/ 27187 h 31830"/>
              <a:gd name="connsiteX6" fmla="*/ 16054 w 31728"/>
              <a:gd name="connsiteY6" fmla="*/ 31830 h 31830"/>
              <a:gd name="connsiteX7" fmla="*/ 27090 w 31728"/>
              <a:gd name="connsiteY7" fmla="*/ 27338 h 31830"/>
              <a:gd name="connsiteX8" fmla="*/ 9929 w 31728"/>
              <a:gd name="connsiteY8" fmla="*/ 21753 h 31830"/>
              <a:gd name="connsiteX9" fmla="*/ 9900 w 31728"/>
              <a:gd name="connsiteY9" fmla="*/ 9848 h 31830"/>
              <a:gd name="connsiteX10" fmla="*/ 15675 w 31728"/>
              <a:gd name="connsiteY10" fmla="*/ 7500 h 31830"/>
              <a:gd name="connsiteX11" fmla="*/ 15817 w 31728"/>
              <a:gd name="connsiteY11" fmla="*/ 7500 h 31830"/>
              <a:gd name="connsiteX12" fmla="*/ 21802 w 31728"/>
              <a:gd name="connsiteY12" fmla="*/ 10086 h 31830"/>
              <a:gd name="connsiteX13" fmla="*/ 21945 w 31728"/>
              <a:gd name="connsiteY13" fmla="*/ 21858 h 31830"/>
              <a:gd name="connsiteX14" fmla="*/ 10173 w 31728"/>
              <a:gd name="connsiteY14" fmla="*/ 22001 h 31830"/>
              <a:gd name="connsiteX15" fmla="*/ 9929 w 31728"/>
              <a:gd name="connsiteY15" fmla="*/ 21753 h 318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31728" h="31830">
                <a:moveTo>
                  <a:pt x="27090" y="27338"/>
                </a:moveTo>
                <a:cubicBezTo>
                  <a:pt x="33323" y="21036"/>
                  <a:pt x="33267" y="10874"/>
                  <a:pt x="26965" y="4640"/>
                </a:cubicBezTo>
                <a:cubicBezTo>
                  <a:pt x="24024" y="1732"/>
                  <a:pt x="20074" y="71"/>
                  <a:pt x="15939" y="4"/>
                </a:cubicBezTo>
                <a:cubicBezTo>
                  <a:pt x="15851" y="0"/>
                  <a:pt x="15761" y="0"/>
                  <a:pt x="15674" y="0"/>
                </a:cubicBezTo>
                <a:cubicBezTo>
                  <a:pt x="11547" y="-15"/>
                  <a:pt x="7582" y="1602"/>
                  <a:pt x="4643" y="4500"/>
                </a:cubicBezTo>
                <a:cubicBezTo>
                  <a:pt x="-1591" y="10796"/>
                  <a:pt x="-1541" y="20953"/>
                  <a:pt x="4754" y="27187"/>
                </a:cubicBezTo>
                <a:cubicBezTo>
                  <a:pt x="7762" y="30165"/>
                  <a:pt x="11823" y="31833"/>
                  <a:pt x="16054" y="31830"/>
                </a:cubicBezTo>
                <a:cubicBezTo>
                  <a:pt x="20180" y="31842"/>
                  <a:pt x="24146" y="30228"/>
                  <a:pt x="27090" y="27338"/>
                </a:cubicBezTo>
                <a:close/>
                <a:moveTo>
                  <a:pt x="9929" y="21753"/>
                </a:moveTo>
                <a:cubicBezTo>
                  <a:pt x="6641" y="18471"/>
                  <a:pt x="6628" y="13146"/>
                  <a:pt x="9900" y="9848"/>
                </a:cubicBezTo>
                <a:cubicBezTo>
                  <a:pt x="11440" y="8334"/>
                  <a:pt x="13516" y="7490"/>
                  <a:pt x="15675" y="7500"/>
                </a:cubicBezTo>
                <a:lnTo>
                  <a:pt x="15817" y="7500"/>
                </a:lnTo>
                <a:cubicBezTo>
                  <a:pt x="18075" y="7537"/>
                  <a:pt x="20227" y="8466"/>
                  <a:pt x="21802" y="10086"/>
                </a:cubicBezTo>
                <a:cubicBezTo>
                  <a:pt x="25093" y="13297"/>
                  <a:pt x="25157" y="18568"/>
                  <a:pt x="21945" y="21858"/>
                </a:cubicBezTo>
                <a:cubicBezTo>
                  <a:pt x="18734" y="25148"/>
                  <a:pt x="13463" y="25212"/>
                  <a:pt x="10173" y="22001"/>
                </a:cubicBezTo>
                <a:cubicBezTo>
                  <a:pt x="10090" y="21920"/>
                  <a:pt x="10009" y="21837"/>
                  <a:pt x="9929" y="21753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47" name="Freeform: Shape 546">
            <a:extLst>
              <a:ext uri="{FF2B5EF4-FFF2-40B4-BE49-F238E27FC236}">
                <a16:creationId xmlns:a16="http://schemas.microsoft.com/office/drawing/2014/main" id="{D4832524-0C9C-4601-B55F-A7B36D400C74}"/>
              </a:ext>
            </a:extLst>
          </xdr:cNvPr>
          <xdr:cNvSpPr/>
        </xdr:nvSpPr>
        <xdr:spPr>
          <a:xfrm>
            <a:off x="10579059" y="11521930"/>
            <a:ext cx="31773" cy="31833"/>
          </a:xfrm>
          <a:custGeom>
            <a:avLst/>
            <a:gdLst>
              <a:gd name="connsiteX0" fmla="*/ 27151 w 31773"/>
              <a:gd name="connsiteY0" fmla="*/ 4829 h 31833"/>
              <a:gd name="connsiteX1" fmla="*/ 15939 w 31773"/>
              <a:gd name="connsiteY1" fmla="*/ 6 h 31833"/>
              <a:gd name="connsiteX2" fmla="*/ 4643 w 31773"/>
              <a:gd name="connsiteY2" fmla="*/ 4503 h 31833"/>
              <a:gd name="connsiteX3" fmla="*/ 4754 w 31773"/>
              <a:gd name="connsiteY3" fmla="*/ 27191 h 31833"/>
              <a:gd name="connsiteX4" fmla="*/ 16054 w 31773"/>
              <a:gd name="connsiteY4" fmla="*/ 31834 h 31833"/>
              <a:gd name="connsiteX5" fmla="*/ 27088 w 31773"/>
              <a:gd name="connsiteY5" fmla="*/ 27340 h 31833"/>
              <a:gd name="connsiteX6" fmla="*/ 27151 w 31773"/>
              <a:gd name="connsiteY6" fmla="*/ 4829 h 31833"/>
              <a:gd name="connsiteX7" fmla="*/ 21832 w 31773"/>
              <a:gd name="connsiteY7" fmla="*/ 21990 h 31833"/>
              <a:gd name="connsiteX8" fmla="*/ 9797 w 31773"/>
              <a:gd name="connsiteY8" fmla="*/ 21686 h 31833"/>
              <a:gd name="connsiteX9" fmla="*/ 9899 w 31773"/>
              <a:gd name="connsiteY9" fmla="*/ 9850 h 31833"/>
              <a:gd name="connsiteX10" fmla="*/ 15676 w 31773"/>
              <a:gd name="connsiteY10" fmla="*/ 7503 h 31833"/>
              <a:gd name="connsiteX11" fmla="*/ 15815 w 31773"/>
              <a:gd name="connsiteY11" fmla="*/ 7503 h 31833"/>
              <a:gd name="connsiteX12" fmla="*/ 21801 w 31773"/>
              <a:gd name="connsiteY12" fmla="*/ 10088 h 31833"/>
              <a:gd name="connsiteX13" fmla="*/ 21832 w 31773"/>
              <a:gd name="connsiteY13" fmla="*/ 21990 h 318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31773" h="31833">
                <a:moveTo>
                  <a:pt x="27151" y="4829"/>
                </a:moveTo>
                <a:cubicBezTo>
                  <a:pt x="24199" y="1802"/>
                  <a:pt x="20167" y="68"/>
                  <a:pt x="15939" y="6"/>
                </a:cubicBezTo>
                <a:cubicBezTo>
                  <a:pt x="11714" y="-117"/>
                  <a:pt x="7627" y="1511"/>
                  <a:pt x="4643" y="4503"/>
                </a:cubicBezTo>
                <a:cubicBezTo>
                  <a:pt x="-1591" y="10799"/>
                  <a:pt x="-1541" y="20957"/>
                  <a:pt x="4754" y="27191"/>
                </a:cubicBezTo>
                <a:cubicBezTo>
                  <a:pt x="7761" y="30168"/>
                  <a:pt x="11823" y="31837"/>
                  <a:pt x="16054" y="31834"/>
                </a:cubicBezTo>
                <a:cubicBezTo>
                  <a:pt x="20180" y="31845"/>
                  <a:pt x="24144" y="30231"/>
                  <a:pt x="27088" y="27340"/>
                </a:cubicBezTo>
                <a:cubicBezTo>
                  <a:pt x="33310" y="21136"/>
                  <a:pt x="33338" y="11068"/>
                  <a:pt x="27151" y="4829"/>
                </a:cubicBezTo>
                <a:close/>
                <a:moveTo>
                  <a:pt x="21832" y="21990"/>
                </a:moveTo>
                <a:cubicBezTo>
                  <a:pt x="18425" y="25229"/>
                  <a:pt x="13037" y="25093"/>
                  <a:pt x="9797" y="21686"/>
                </a:cubicBezTo>
                <a:cubicBezTo>
                  <a:pt x="6634" y="18359"/>
                  <a:pt x="6679" y="13122"/>
                  <a:pt x="9899" y="9850"/>
                </a:cubicBezTo>
                <a:cubicBezTo>
                  <a:pt x="11440" y="8336"/>
                  <a:pt x="13516" y="7493"/>
                  <a:pt x="15676" y="7503"/>
                </a:cubicBezTo>
                <a:lnTo>
                  <a:pt x="15815" y="7503"/>
                </a:lnTo>
                <a:cubicBezTo>
                  <a:pt x="18074" y="7539"/>
                  <a:pt x="20226" y="8469"/>
                  <a:pt x="21801" y="10088"/>
                </a:cubicBezTo>
                <a:cubicBezTo>
                  <a:pt x="25091" y="13368"/>
                  <a:pt x="25105" y="18693"/>
                  <a:pt x="21832" y="2199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48" name="Freeform: Shape 547">
            <a:extLst>
              <a:ext uri="{FF2B5EF4-FFF2-40B4-BE49-F238E27FC236}">
                <a16:creationId xmlns:a16="http://schemas.microsoft.com/office/drawing/2014/main" id="{912C9335-335A-4950-A390-B9C135190646}"/>
              </a:ext>
            </a:extLst>
          </xdr:cNvPr>
          <xdr:cNvSpPr/>
        </xdr:nvSpPr>
        <xdr:spPr>
          <a:xfrm>
            <a:off x="10646591" y="11533952"/>
            <a:ext cx="31650" cy="31653"/>
          </a:xfrm>
          <a:custGeom>
            <a:avLst/>
            <a:gdLst>
              <a:gd name="connsiteX0" fmla="*/ 16210 w 31650"/>
              <a:gd name="connsiteY0" fmla="*/ 31652 h 31653"/>
              <a:gd name="connsiteX1" fmla="*/ 31650 w 31650"/>
              <a:gd name="connsiteY1" fmla="*/ 15937 h 31653"/>
              <a:gd name="connsiteX2" fmla="*/ 15937 w 31650"/>
              <a:gd name="connsiteY2" fmla="*/ 0 h 31653"/>
              <a:gd name="connsiteX3" fmla="*/ 0 w 31650"/>
              <a:gd name="connsiteY3" fmla="*/ 15714 h 31653"/>
              <a:gd name="connsiteX4" fmla="*/ 15661 w 31650"/>
              <a:gd name="connsiteY4" fmla="*/ 31649 h 31653"/>
              <a:gd name="connsiteX5" fmla="*/ 16210 w 31650"/>
              <a:gd name="connsiteY5" fmla="*/ 31652 h 31653"/>
              <a:gd name="connsiteX6" fmla="*/ 9767 w 31650"/>
              <a:gd name="connsiteY6" fmla="*/ 9667 h 31653"/>
              <a:gd name="connsiteX7" fmla="*/ 15545 w 31650"/>
              <a:gd name="connsiteY7" fmla="*/ 7320 h 31653"/>
              <a:gd name="connsiteX8" fmla="*/ 24150 w 31650"/>
              <a:gd name="connsiteY8" fmla="*/ 15929 h 31653"/>
              <a:gd name="connsiteX9" fmla="*/ 21698 w 31650"/>
              <a:gd name="connsiteY9" fmla="*/ 21803 h 31653"/>
              <a:gd name="connsiteX10" fmla="*/ 15782 w 31650"/>
              <a:gd name="connsiteY10" fmla="*/ 24155 h 31653"/>
              <a:gd name="connsiteX11" fmla="*/ 9798 w 31650"/>
              <a:gd name="connsiteY11" fmla="*/ 21567 h 31653"/>
              <a:gd name="connsiteX12" fmla="*/ 9767 w 31650"/>
              <a:gd name="connsiteY12" fmla="*/ 9667 h 316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31650" h="31653">
                <a:moveTo>
                  <a:pt x="16210" y="31652"/>
                </a:moveTo>
                <a:cubicBezTo>
                  <a:pt x="24784" y="31509"/>
                  <a:pt x="31658" y="24512"/>
                  <a:pt x="31650" y="15937"/>
                </a:cubicBezTo>
                <a:cubicBezTo>
                  <a:pt x="31711" y="7197"/>
                  <a:pt x="24677" y="62"/>
                  <a:pt x="15937" y="0"/>
                </a:cubicBezTo>
                <a:cubicBezTo>
                  <a:pt x="7197" y="-61"/>
                  <a:pt x="62" y="6974"/>
                  <a:pt x="0" y="15714"/>
                </a:cubicBezTo>
                <a:cubicBezTo>
                  <a:pt x="-61" y="24433"/>
                  <a:pt x="6942" y="31559"/>
                  <a:pt x="15661" y="31649"/>
                </a:cubicBezTo>
                <a:cubicBezTo>
                  <a:pt x="15749" y="31655"/>
                  <a:pt x="16115" y="31654"/>
                  <a:pt x="16210" y="31652"/>
                </a:cubicBezTo>
                <a:close/>
                <a:moveTo>
                  <a:pt x="9767" y="9667"/>
                </a:moveTo>
                <a:cubicBezTo>
                  <a:pt x="11309" y="8154"/>
                  <a:pt x="13385" y="7311"/>
                  <a:pt x="15545" y="7320"/>
                </a:cubicBezTo>
                <a:cubicBezTo>
                  <a:pt x="20292" y="7337"/>
                  <a:pt x="24135" y="11183"/>
                  <a:pt x="24150" y="15929"/>
                </a:cubicBezTo>
                <a:cubicBezTo>
                  <a:pt x="24159" y="18138"/>
                  <a:pt x="23275" y="20257"/>
                  <a:pt x="21698" y="21803"/>
                </a:cubicBezTo>
                <a:cubicBezTo>
                  <a:pt x="20094" y="23307"/>
                  <a:pt x="17980" y="24147"/>
                  <a:pt x="15782" y="24155"/>
                </a:cubicBezTo>
                <a:cubicBezTo>
                  <a:pt x="13523" y="24117"/>
                  <a:pt x="11372" y="23187"/>
                  <a:pt x="9798" y="21567"/>
                </a:cubicBezTo>
                <a:cubicBezTo>
                  <a:pt x="6509" y="18287"/>
                  <a:pt x="6495" y="12965"/>
                  <a:pt x="9767" y="9667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49" name="Freeform: Shape 548">
            <a:extLst>
              <a:ext uri="{FF2B5EF4-FFF2-40B4-BE49-F238E27FC236}">
                <a16:creationId xmlns:a16="http://schemas.microsoft.com/office/drawing/2014/main" id="{72BF43A0-2711-49F8-BB52-ADF67E0F9603}"/>
              </a:ext>
            </a:extLst>
          </xdr:cNvPr>
          <xdr:cNvSpPr/>
        </xdr:nvSpPr>
        <xdr:spPr>
          <a:xfrm>
            <a:off x="10570955" y="11585617"/>
            <a:ext cx="31833" cy="31827"/>
          </a:xfrm>
          <a:custGeom>
            <a:avLst/>
            <a:gdLst>
              <a:gd name="connsiteX0" fmla="*/ 4633 w 31833"/>
              <a:gd name="connsiteY0" fmla="*/ 27011 h 31827"/>
              <a:gd name="connsiteX1" fmla="*/ 16104 w 31833"/>
              <a:gd name="connsiteY1" fmla="*/ 31827 h 31827"/>
              <a:gd name="connsiteX2" fmla="*/ 31833 w 31833"/>
              <a:gd name="connsiteY2" fmla="*/ 16188 h 31827"/>
              <a:gd name="connsiteX3" fmla="*/ 31833 w 31833"/>
              <a:gd name="connsiteY3" fmla="*/ 16122 h 31827"/>
              <a:gd name="connsiteX4" fmla="*/ 15938 w 31833"/>
              <a:gd name="connsiteY4" fmla="*/ 0 h 31827"/>
              <a:gd name="connsiteX5" fmla="*/ 4695 w 31833"/>
              <a:gd name="connsiteY5" fmla="*/ 4502 h 31827"/>
              <a:gd name="connsiteX6" fmla="*/ 0 w 31833"/>
              <a:gd name="connsiteY6" fmla="*/ 15714 h 31827"/>
              <a:gd name="connsiteX7" fmla="*/ 4630 w 31833"/>
              <a:gd name="connsiteY7" fmla="*/ 27011 h 31827"/>
              <a:gd name="connsiteX8" fmla="*/ 9952 w 31833"/>
              <a:gd name="connsiteY8" fmla="*/ 9847 h 31827"/>
              <a:gd name="connsiteX9" fmla="*/ 15868 w 31833"/>
              <a:gd name="connsiteY9" fmla="*/ 7500 h 31827"/>
              <a:gd name="connsiteX10" fmla="*/ 24333 w 31833"/>
              <a:gd name="connsiteY10" fmla="*/ 16113 h 31827"/>
              <a:gd name="connsiteX11" fmla="*/ 21881 w 31833"/>
              <a:gd name="connsiteY11" fmla="*/ 21987 h 31827"/>
              <a:gd name="connsiteX12" fmla="*/ 9981 w 31833"/>
              <a:gd name="connsiteY12" fmla="*/ 21753 h 31827"/>
              <a:gd name="connsiteX13" fmla="*/ 7500 w 31833"/>
              <a:gd name="connsiteY13" fmla="*/ 15721 h 31827"/>
              <a:gd name="connsiteX14" fmla="*/ 9952 w 31833"/>
              <a:gd name="connsiteY14" fmla="*/ 9847 h 318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31833" h="31827">
                <a:moveTo>
                  <a:pt x="4633" y="27011"/>
                </a:moveTo>
                <a:cubicBezTo>
                  <a:pt x="7653" y="30094"/>
                  <a:pt x="11788" y="31830"/>
                  <a:pt x="16104" y="31827"/>
                </a:cubicBezTo>
                <a:cubicBezTo>
                  <a:pt x="24766" y="31852"/>
                  <a:pt x="31808" y="24850"/>
                  <a:pt x="31833" y="16188"/>
                </a:cubicBezTo>
                <a:cubicBezTo>
                  <a:pt x="31833" y="16166"/>
                  <a:pt x="31833" y="16144"/>
                  <a:pt x="31833" y="16122"/>
                </a:cubicBezTo>
                <a:cubicBezTo>
                  <a:pt x="31895" y="7281"/>
                  <a:pt x="24779" y="63"/>
                  <a:pt x="15938" y="0"/>
                </a:cubicBezTo>
                <a:cubicBezTo>
                  <a:pt x="11745" y="-29"/>
                  <a:pt x="7709" y="1587"/>
                  <a:pt x="4695" y="4502"/>
                </a:cubicBezTo>
                <a:cubicBezTo>
                  <a:pt x="1680" y="7452"/>
                  <a:pt x="-13" y="11496"/>
                  <a:pt x="0" y="15714"/>
                </a:cubicBezTo>
                <a:cubicBezTo>
                  <a:pt x="-10" y="19944"/>
                  <a:pt x="1655" y="24005"/>
                  <a:pt x="4630" y="27011"/>
                </a:cubicBezTo>
                <a:close/>
                <a:moveTo>
                  <a:pt x="9952" y="9847"/>
                </a:moveTo>
                <a:cubicBezTo>
                  <a:pt x="11561" y="8352"/>
                  <a:pt x="13672" y="7515"/>
                  <a:pt x="15868" y="7500"/>
                </a:cubicBezTo>
                <a:cubicBezTo>
                  <a:pt x="20560" y="7598"/>
                  <a:pt x="24317" y="11421"/>
                  <a:pt x="24333" y="16113"/>
                </a:cubicBezTo>
                <a:cubicBezTo>
                  <a:pt x="24342" y="18322"/>
                  <a:pt x="23458" y="20440"/>
                  <a:pt x="21881" y="21987"/>
                </a:cubicBezTo>
                <a:cubicBezTo>
                  <a:pt x="18528" y="25202"/>
                  <a:pt x="13205" y="25098"/>
                  <a:pt x="9981" y="21753"/>
                </a:cubicBezTo>
                <a:cubicBezTo>
                  <a:pt x="8390" y="20149"/>
                  <a:pt x="7498" y="17980"/>
                  <a:pt x="7500" y="15721"/>
                </a:cubicBezTo>
                <a:cubicBezTo>
                  <a:pt x="7492" y="13513"/>
                  <a:pt x="8376" y="11394"/>
                  <a:pt x="9952" y="9847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50" name="Freeform: Shape 549">
            <a:extLst>
              <a:ext uri="{FF2B5EF4-FFF2-40B4-BE49-F238E27FC236}">
                <a16:creationId xmlns:a16="http://schemas.microsoft.com/office/drawing/2014/main" id="{1E0F353D-25CD-4E97-AE2B-A7DBF62ADD0D}"/>
              </a:ext>
            </a:extLst>
          </xdr:cNvPr>
          <xdr:cNvSpPr/>
        </xdr:nvSpPr>
        <xdr:spPr>
          <a:xfrm>
            <a:off x="10601967" y="11473225"/>
            <a:ext cx="32018" cy="32059"/>
          </a:xfrm>
          <a:custGeom>
            <a:avLst/>
            <a:gdLst>
              <a:gd name="connsiteX0" fmla="*/ 16072 w 32018"/>
              <a:gd name="connsiteY0" fmla="*/ 32059 h 32059"/>
              <a:gd name="connsiteX1" fmla="*/ 27100 w 32018"/>
              <a:gd name="connsiteY1" fmla="*/ 27555 h 32059"/>
              <a:gd name="connsiteX2" fmla="*/ 27555 w 32018"/>
              <a:gd name="connsiteY2" fmla="*/ 4919 h 32059"/>
              <a:gd name="connsiteX3" fmla="*/ 4919 w 32018"/>
              <a:gd name="connsiteY3" fmla="*/ 4464 h 32059"/>
              <a:gd name="connsiteX4" fmla="*/ 4464 w 32018"/>
              <a:gd name="connsiteY4" fmla="*/ 27100 h 32059"/>
              <a:gd name="connsiteX5" fmla="*/ 4593 w 32018"/>
              <a:gd name="connsiteY5" fmla="*/ 27233 h 32059"/>
              <a:gd name="connsiteX6" fmla="*/ 4594 w 32018"/>
              <a:gd name="connsiteY6" fmla="*/ 27233 h 32059"/>
              <a:gd name="connsiteX7" fmla="*/ 15807 w 32018"/>
              <a:gd name="connsiteY7" fmla="*/ 32056 h 32059"/>
              <a:gd name="connsiteX8" fmla="*/ 16072 w 32018"/>
              <a:gd name="connsiteY8" fmla="*/ 32059 h 32059"/>
              <a:gd name="connsiteX9" fmla="*/ 9914 w 32018"/>
              <a:gd name="connsiteY9" fmla="*/ 10069 h 32059"/>
              <a:gd name="connsiteX10" fmla="*/ 15830 w 32018"/>
              <a:gd name="connsiteY10" fmla="*/ 7721 h 32059"/>
              <a:gd name="connsiteX11" fmla="*/ 21816 w 32018"/>
              <a:gd name="connsiteY11" fmla="*/ 10303 h 32059"/>
              <a:gd name="connsiteX12" fmla="*/ 21843 w 32018"/>
              <a:gd name="connsiteY12" fmla="*/ 22208 h 32059"/>
              <a:gd name="connsiteX13" fmla="*/ 15928 w 32018"/>
              <a:gd name="connsiteY13" fmla="*/ 24556 h 32059"/>
              <a:gd name="connsiteX14" fmla="*/ 9941 w 32018"/>
              <a:gd name="connsiteY14" fmla="*/ 21974 h 32059"/>
              <a:gd name="connsiteX15" fmla="*/ 9914 w 32018"/>
              <a:gd name="connsiteY15" fmla="*/ 10069 h 3205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32018" h="32059">
                <a:moveTo>
                  <a:pt x="16072" y="32059"/>
                </a:moveTo>
                <a:cubicBezTo>
                  <a:pt x="20199" y="32076"/>
                  <a:pt x="24164" y="30456"/>
                  <a:pt x="27100" y="27555"/>
                </a:cubicBezTo>
                <a:cubicBezTo>
                  <a:pt x="33477" y="21430"/>
                  <a:pt x="33680" y="11296"/>
                  <a:pt x="27555" y="4919"/>
                </a:cubicBezTo>
                <a:cubicBezTo>
                  <a:pt x="21430" y="-1457"/>
                  <a:pt x="11295" y="-1661"/>
                  <a:pt x="4919" y="4464"/>
                </a:cubicBezTo>
                <a:cubicBezTo>
                  <a:pt x="-1458" y="10589"/>
                  <a:pt x="-1661" y="20724"/>
                  <a:pt x="4464" y="27100"/>
                </a:cubicBezTo>
                <a:cubicBezTo>
                  <a:pt x="4506" y="27145"/>
                  <a:pt x="4549" y="27189"/>
                  <a:pt x="4593" y="27233"/>
                </a:cubicBezTo>
                <a:lnTo>
                  <a:pt x="4594" y="27233"/>
                </a:lnTo>
                <a:cubicBezTo>
                  <a:pt x="7549" y="30258"/>
                  <a:pt x="11579" y="31991"/>
                  <a:pt x="15807" y="32056"/>
                </a:cubicBezTo>
                <a:cubicBezTo>
                  <a:pt x="15894" y="32056"/>
                  <a:pt x="15984" y="32059"/>
                  <a:pt x="16072" y="32059"/>
                </a:cubicBezTo>
                <a:close/>
                <a:moveTo>
                  <a:pt x="9914" y="10069"/>
                </a:moveTo>
                <a:cubicBezTo>
                  <a:pt x="11495" y="8530"/>
                  <a:pt x="13624" y="7685"/>
                  <a:pt x="15830" y="7721"/>
                </a:cubicBezTo>
                <a:cubicBezTo>
                  <a:pt x="18088" y="7756"/>
                  <a:pt x="20240" y="8685"/>
                  <a:pt x="21816" y="10303"/>
                </a:cubicBezTo>
                <a:cubicBezTo>
                  <a:pt x="25105" y="13585"/>
                  <a:pt x="25117" y="18911"/>
                  <a:pt x="21843" y="22208"/>
                </a:cubicBezTo>
                <a:cubicBezTo>
                  <a:pt x="20284" y="23780"/>
                  <a:pt x="18141" y="24631"/>
                  <a:pt x="15928" y="24556"/>
                </a:cubicBezTo>
                <a:cubicBezTo>
                  <a:pt x="13670" y="24520"/>
                  <a:pt x="11517" y="23592"/>
                  <a:pt x="9941" y="21974"/>
                </a:cubicBezTo>
                <a:cubicBezTo>
                  <a:pt x="6652" y="18691"/>
                  <a:pt x="6640" y="13366"/>
                  <a:pt x="9914" y="10069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51" name="Freeform: Shape 550">
            <a:extLst>
              <a:ext uri="{FF2B5EF4-FFF2-40B4-BE49-F238E27FC236}">
                <a16:creationId xmlns:a16="http://schemas.microsoft.com/office/drawing/2014/main" id="{D94EB7A7-8E65-4391-8460-DC9A669C8A90}"/>
              </a:ext>
            </a:extLst>
          </xdr:cNvPr>
          <xdr:cNvSpPr/>
        </xdr:nvSpPr>
        <xdr:spPr>
          <a:xfrm>
            <a:off x="10643752" y="11337273"/>
            <a:ext cx="167114" cy="167499"/>
          </a:xfrm>
          <a:custGeom>
            <a:avLst/>
            <a:gdLst>
              <a:gd name="connsiteX0" fmla="*/ 166026 w 167114"/>
              <a:gd name="connsiteY0" fmla="*/ 99088 h 167499"/>
              <a:gd name="connsiteX1" fmla="*/ 68445 w 167114"/>
              <a:gd name="connsiteY1" fmla="*/ 1185 h 167499"/>
              <a:gd name="connsiteX2" fmla="*/ 50466 w 167114"/>
              <a:gd name="connsiteY2" fmla="*/ 8068 h 167499"/>
              <a:gd name="connsiteX3" fmla="*/ 50099 w 167114"/>
              <a:gd name="connsiteY3" fmla="*/ 8978 h 167499"/>
              <a:gd name="connsiteX4" fmla="*/ 57378 w 167114"/>
              <a:gd name="connsiteY4" fmla="*/ 26663 h 167499"/>
              <a:gd name="connsiteX5" fmla="*/ 0 w 167114"/>
              <a:gd name="connsiteY5" fmla="*/ 167499 h 167499"/>
              <a:gd name="connsiteX6" fmla="*/ 140638 w 167114"/>
              <a:gd name="connsiteY6" fmla="*/ 110202 h 167499"/>
              <a:gd name="connsiteX7" fmla="*/ 143556 w 167114"/>
              <a:gd name="connsiteY7" fmla="*/ 114296 h 167499"/>
              <a:gd name="connsiteX8" fmla="*/ 153513 w 167114"/>
              <a:gd name="connsiteY8" fmla="*/ 118421 h 167499"/>
              <a:gd name="connsiteX9" fmla="*/ 158442 w 167114"/>
              <a:gd name="connsiteY9" fmla="*/ 117527 h 167499"/>
              <a:gd name="connsiteX10" fmla="*/ 158605 w 167114"/>
              <a:gd name="connsiteY10" fmla="*/ 117466 h 167499"/>
              <a:gd name="connsiteX11" fmla="*/ 158765 w 167114"/>
              <a:gd name="connsiteY11" fmla="*/ 117397 h 167499"/>
              <a:gd name="connsiteX12" fmla="*/ 166026 w 167114"/>
              <a:gd name="connsiteY12" fmla="*/ 99088 h 167499"/>
              <a:gd name="connsiteX13" fmla="*/ 32751 w 167114"/>
              <a:gd name="connsiteY13" fmla="*/ 106993 h 167499"/>
              <a:gd name="connsiteX14" fmla="*/ 43586 w 167114"/>
              <a:gd name="connsiteY14" fmla="*/ 110224 h 167499"/>
              <a:gd name="connsiteX15" fmla="*/ 44548 w 167114"/>
              <a:gd name="connsiteY15" fmla="*/ 114032 h 167499"/>
              <a:gd name="connsiteX16" fmla="*/ 36533 w 167114"/>
              <a:gd name="connsiteY16" fmla="*/ 122025 h 167499"/>
              <a:gd name="connsiteX17" fmla="*/ 28910 w 167114"/>
              <a:gd name="connsiteY17" fmla="*/ 116426 h 167499"/>
              <a:gd name="connsiteX18" fmla="*/ 13667 w 167114"/>
              <a:gd name="connsiteY18" fmla="*/ 153832 h 167499"/>
              <a:gd name="connsiteX19" fmla="*/ 25470 w 167114"/>
              <a:gd name="connsiteY19" fmla="*/ 124864 h 167499"/>
              <a:gd name="connsiteX20" fmla="*/ 25585 w 167114"/>
              <a:gd name="connsiteY20" fmla="*/ 124993 h 167499"/>
              <a:gd name="connsiteX21" fmla="*/ 47508 w 167114"/>
              <a:gd name="connsiteY21" fmla="*/ 125006 h 167499"/>
              <a:gd name="connsiteX22" fmla="*/ 47521 w 167114"/>
              <a:gd name="connsiteY22" fmla="*/ 103083 h 167499"/>
              <a:gd name="connsiteX23" fmla="*/ 36195 w 167114"/>
              <a:gd name="connsiteY23" fmla="*/ 98540 h 167499"/>
              <a:gd name="connsiteX24" fmla="*/ 64221 w 167114"/>
              <a:gd name="connsiteY24" fmla="*/ 29750 h 167499"/>
              <a:gd name="connsiteX25" fmla="*/ 137574 w 167114"/>
              <a:gd name="connsiteY25" fmla="*/ 103354 h 167499"/>
              <a:gd name="connsiteX26" fmla="*/ 155809 w 167114"/>
              <a:gd name="connsiteY26" fmla="*/ 110504 h 167499"/>
              <a:gd name="connsiteX27" fmla="*/ 148859 w 167114"/>
              <a:gd name="connsiteY27" fmla="*/ 108992 h 167499"/>
              <a:gd name="connsiteX28" fmla="*/ 147348 w 167114"/>
              <a:gd name="connsiteY28" fmla="*/ 106878 h 167499"/>
              <a:gd name="connsiteX29" fmla="*/ 60773 w 167114"/>
              <a:gd name="connsiteY29" fmla="*/ 20000 h 167499"/>
              <a:gd name="connsiteX30" fmla="*/ 57147 w 167114"/>
              <a:gd name="connsiteY30" fmla="*/ 11540 h 167499"/>
              <a:gd name="connsiteX31" fmla="*/ 62892 w 167114"/>
              <a:gd name="connsiteY31" fmla="*/ 7503 h 167499"/>
              <a:gd name="connsiteX32" fmla="*/ 65457 w 167114"/>
              <a:gd name="connsiteY32" fmla="*/ 8065 h 167499"/>
              <a:gd name="connsiteX33" fmla="*/ 159132 w 167114"/>
              <a:gd name="connsiteY33" fmla="*/ 102043 h 167499"/>
              <a:gd name="connsiteX34" fmla="*/ 155809 w 167114"/>
              <a:gd name="connsiteY34" fmla="*/ 110504 h 1674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</a:cxnLst>
            <a:rect l="l" t="t" r="r" b="b"/>
            <a:pathLst>
              <a:path w="167114" h="167499">
                <a:moveTo>
                  <a:pt x="166026" y="99088"/>
                </a:moveTo>
                <a:cubicBezTo>
                  <a:pt x="147682" y="54863"/>
                  <a:pt x="112610" y="19676"/>
                  <a:pt x="68445" y="1185"/>
                </a:cubicBezTo>
                <a:cubicBezTo>
                  <a:pt x="61580" y="-1879"/>
                  <a:pt x="53531" y="1202"/>
                  <a:pt x="50466" y="8068"/>
                </a:cubicBezTo>
                <a:cubicBezTo>
                  <a:pt x="50333" y="8367"/>
                  <a:pt x="50210" y="8670"/>
                  <a:pt x="50099" y="8978"/>
                </a:cubicBezTo>
                <a:cubicBezTo>
                  <a:pt x="47571" y="15869"/>
                  <a:pt x="50733" y="23548"/>
                  <a:pt x="57378" y="26663"/>
                </a:cubicBezTo>
                <a:lnTo>
                  <a:pt x="0" y="167499"/>
                </a:lnTo>
                <a:lnTo>
                  <a:pt x="140638" y="110202"/>
                </a:lnTo>
                <a:cubicBezTo>
                  <a:pt x="141345" y="111737"/>
                  <a:pt x="142335" y="113126"/>
                  <a:pt x="143556" y="114296"/>
                </a:cubicBezTo>
                <a:cubicBezTo>
                  <a:pt x="146203" y="116928"/>
                  <a:pt x="149780" y="118410"/>
                  <a:pt x="153513" y="118421"/>
                </a:cubicBezTo>
                <a:cubicBezTo>
                  <a:pt x="155196" y="118422"/>
                  <a:pt x="156866" y="118119"/>
                  <a:pt x="158442" y="117527"/>
                </a:cubicBezTo>
                <a:lnTo>
                  <a:pt x="158605" y="117466"/>
                </a:lnTo>
                <a:lnTo>
                  <a:pt x="158765" y="117397"/>
                </a:lnTo>
                <a:cubicBezTo>
                  <a:pt x="165747" y="114270"/>
                  <a:pt x="168967" y="106151"/>
                  <a:pt x="166026" y="99088"/>
                </a:cubicBezTo>
                <a:close/>
                <a:moveTo>
                  <a:pt x="32751" y="106993"/>
                </a:moveTo>
                <a:cubicBezTo>
                  <a:pt x="36636" y="104893"/>
                  <a:pt x="41486" y="106340"/>
                  <a:pt x="43586" y="110224"/>
                </a:cubicBezTo>
                <a:cubicBezTo>
                  <a:pt x="44218" y="111393"/>
                  <a:pt x="44549" y="112703"/>
                  <a:pt x="44548" y="114032"/>
                </a:cubicBezTo>
                <a:cubicBezTo>
                  <a:pt x="44541" y="118452"/>
                  <a:pt x="40953" y="122031"/>
                  <a:pt x="36533" y="122025"/>
                </a:cubicBezTo>
                <a:cubicBezTo>
                  <a:pt x="33043" y="122020"/>
                  <a:pt x="29959" y="119754"/>
                  <a:pt x="28910" y="116426"/>
                </a:cubicBezTo>
                <a:close/>
                <a:moveTo>
                  <a:pt x="13667" y="153832"/>
                </a:moveTo>
                <a:lnTo>
                  <a:pt x="25470" y="124864"/>
                </a:lnTo>
                <a:cubicBezTo>
                  <a:pt x="25510" y="124905"/>
                  <a:pt x="25545" y="124953"/>
                  <a:pt x="25585" y="124993"/>
                </a:cubicBezTo>
                <a:cubicBezTo>
                  <a:pt x="31635" y="131051"/>
                  <a:pt x="41451" y="131057"/>
                  <a:pt x="47508" y="125006"/>
                </a:cubicBezTo>
                <a:cubicBezTo>
                  <a:pt x="53565" y="118956"/>
                  <a:pt x="53571" y="109140"/>
                  <a:pt x="47521" y="103083"/>
                </a:cubicBezTo>
                <a:cubicBezTo>
                  <a:pt x="44525" y="100084"/>
                  <a:pt x="40433" y="98442"/>
                  <a:pt x="36195" y="98540"/>
                </a:cubicBezTo>
                <a:lnTo>
                  <a:pt x="64221" y="29750"/>
                </a:lnTo>
                <a:cubicBezTo>
                  <a:pt x="96446" y="45066"/>
                  <a:pt x="122368" y="71076"/>
                  <a:pt x="137574" y="103354"/>
                </a:cubicBezTo>
                <a:close/>
                <a:moveTo>
                  <a:pt x="155809" y="110504"/>
                </a:moveTo>
                <a:cubicBezTo>
                  <a:pt x="153396" y="111407"/>
                  <a:pt x="150679" y="110816"/>
                  <a:pt x="148859" y="108992"/>
                </a:cubicBezTo>
                <a:cubicBezTo>
                  <a:pt x="148191" y="108420"/>
                  <a:pt x="147672" y="107695"/>
                  <a:pt x="147348" y="106878"/>
                </a:cubicBezTo>
                <a:cubicBezTo>
                  <a:pt x="131010" y="67679"/>
                  <a:pt x="99915" y="36475"/>
                  <a:pt x="60773" y="20000"/>
                </a:cubicBezTo>
                <a:cubicBezTo>
                  <a:pt x="57513" y="18588"/>
                  <a:pt x="55922" y="14875"/>
                  <a:pt x="57147" y="11540"/>
                </a:cubicBezTo>
                <a:cubicBezTo>
                  <a:pt x="58022" y="9120"/>
                  <a:pt x="60318" y="7506"/>
                  <a:pt x="62892" y="7503"/>
                </a:cubicBezTo>
                <a:cubicBezTo>
                  <a:pt x="63777" y="7504"/>
                  <a:pt x="64652" y="7696"/>
                  <a:pt x="65457" y="8065"/>
                </a:cubicBezTo>
                <a:cubicBezTo>
                  <a:pt x="107866" y="25793"/>
                  <a:pt x="141541" y="59577"/>
                  <a:pt x="159132" y="102043"/>
                </a:cubicBezTo>
                <a:cubicBezTo>
                  <a:pt x="160475" y="105298"/>
                  <a:pt x="159009" y="109033"/>
                  <a:pt x="155809" y="110504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52" name="Freeform: Shape 551">
            <a:extLst>
              <a:ext uri="{FF2B5EF4-FFF2-40B4-BE49-F238E27FC236}">
                <a16:creationId xmlns:a16="http://schemas.microsoft.com/office/drawing/2014/main" id="{9C1B1760-04BD-495D-A3CB-8832C12E9CEC}"/>
              </a:ext>
            </a:extLst>
          </xdr:cNvPr>
          <xdr:cNvSpPr/>
        </xdr:nvSpPr>
        <xdr:spPr>
          <a:xfrm>
            <a:off x="10701832" y="11380981"/>
            <a:ext cx="31005" cy="31004"/>
          </a:xfrm>
          <a:custGeom>
            <a:avLst/>
            <a:gdLst>
              <a:gd name="connsiteX0" fmla="*/ 26465 w 31005"/>
              <a:gd name="connsiteY0" fmla="*/ 4541 h 31004"/>
              <a:gd name="connsiteX1" fmla="*/ 4541 w 31005"/>
              <a:gd name="connsiteY1" fmla="*/ 4540 h 31004"/>
              <a:gd name="connsiteX2" fmla="*/ 4540 w 31005"/>
              <a:gd name="connsiteY2" fmla="*/ 26463 h 31004"/>
              <a:gd name="connsiteX3" fmla="*/ 26463 w 31005"/>
              <a:gd name="connsiteY3" fmla="*/ 26465 h 31004"/>
              <a:gd name="connsiteX4" fmla="*/ 26465 w 31005"/>
              <a:gd name="connsiteY4" fmla="*/ 26463 h 31004"/>
              <a:gd name="connsiteX5" fmla="*/ 26467 w 31005"/>
              <a:gd name="connsiteY5" fmla="*/ 26463 h 31004"/>
              <a:gd name="connsiteX6" fmla="*/ 26465 w 31005"/>
              <a:gd name="connsiteY6" fmla="*/ 4541 h 31004"/>
              <a:gd name="connsiteX7" fmla="*/ 21162 w 31005"/>
              <a:gd name="connsiteY7" fmla="*/ 21160 h 31004"/>
              <a:gd name="connsiteX8" fmla="*/ 21162 w 31005"/>
              <a:gd name="connsiteY8" fmla="*/ 21160 h 31004"/>
              <a:gd name="connsiteX9" fmla="*/ 9848 w 31005"/>
              <a:gd name="connsiteY9" fmla="*/ 21160 h 31004"/>
              <a:gd name="connsiteX10" fmla="*/ 9847 w 31005"/>
              <a:gd name="connsiteY10" fmla="*/ 9844 h 31004"/>
              <a:gd name="connsiteX11" fmla="*/ 21163 w 31005"/>
              <a:gd name="connsiteY11" fmla="*/ 9844 h 31004"/>
              <a:gd name="connsiteX12" fmla="*/ 21164 w 31005"/>
              <a:gd name="connsiteY12" fmla="*/ 21160 h 31004"/>
              <a:gd name="connsiteX13" fmla="*/ 21163 w 31005"/>
              <a:gd name="connsiteY13" fmla="*/ 21160 h 310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31005" h="31004">
                <a:moveTo>
                  <a:pt x="26465" y="4541"/>
                </a:moveTo>
                <a:cubicBezTo>
                  <a:pt x="20411" y="-1513"/>
                  <a:pt x="10596" y="-1514"/>
                  <a:pt x="4541" y="4540"/>
                </a:cubicBezTo>
                <a:cubicBezTo>
                  <a:pt x="-1513" y="10593"/>
                  <a:pt x="-1514" y="20408"/>
                  <a:pt x="4540" y="26463"/>
                </a:cubicBezTo>
                <a:cubicBezTo>
                  <a:pt x="10593" y="32517"/>
                  <a:pt x="20408" y="32518"/>
                  <a:pt x="26463" y="26465"/>
                </a:cubicBezTo>
                <a:cubicBezTo>
                  <a:pt x="26464" y="26464"/>
                  <a:pt x="26464" y="26464"/>
                  <a:pt x="26465" y="26463"/>
                </a:cubicBezTo>
                <a:lnTo>
                  <a:pt x="26467" y="26463"/>
                </a:lnTo>
                <a:cubicBezTo>
                  <a:pt x="32519" y="20409"/>
                  <a:pt x="32518" y="10594"/>
                  <a:pt x="26465" y="4541"/>
                </a:cubicBezTo>
                <a:close/>
                <a:moveTo>
                  <a:pt x="21162" y="21160"/>
                </a:moveTo>
                <a:lnTo>
                  <a:pt x="21162" y="21160"/>
                </a:lnTo>
                <a:cubicBezTo>
                  <a:pt x="17997" y="24185"/>
                  <a:pt x="13013" y="24185"/>
                  <a:pt x="9848" y="21160"/>
                </a:cubicBezTo>
                <a:cubicBezTo>
                  <a:pt x="6723" y="18035"/>
                  <a:pt x="6722" y="12969"/>
                  <a:pt x="9847" y="9844"/>
                </a:cubicBezTo>
                <a:cubicBezTo>
                  <a:pt x="12972" y="6719"/>
                  <a:pt x="18038" y="6719"/>
                  <a:pt x="21163" y="9844"/>
                </a:cubicBezTo>
                <a:cubicBezTo>
                  <a:pt x="24288" y="12968"/>
                  <a:pt x="24289" y="18035"/>
                  <a:pt x="21164" y="21160"/>
                </a:cubicBezTo>
                <a:cubicBezTo>
                  <a:pt x="21164" y="21160"/>
                  <a:pt x="21163" y="21160"/>
                  <a:pt x="21163" y="2116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53" name="Freeform: Shape 552">
            <a:extLst>
              <a:ext uri="{FF2B5EF4-FFF2-40B4-BE49-F238E27FC236}">
                <a16:creationId xmlns:a16="http://schemas.microsoft.com/office/drawing/2014/main" id="{AB43CDFB-302A-44F0-9C2D-3D5F1C03D72E}"/>
              </a:ext>
            </a:extLst>
          </xdr:cNvPr>
          <xdr:cNvSpPr/>
        </xdr:nvSpPr>
        <xdr:spPr>
          <a:xfrm>
            <a:off x="10717278" y="11422612"/>
            <a:ext cx="31002" cy="30996"/>
          </a:xfrm>
          <a:custGeom>
            <a:avLst/>
            <a:gdLst>
              <a:gd name="connsiteX0" fmla="*/ 4540 w 31002"/>
              <a:gd name="connsiteY0" fmla="*/ 4534 h 30996"/>
              <a:gd name="connsiteX1" fmla="*/ 4541 w 31002"/>
              <a:gd name="connsiteY1" fmla="*/ 26456 h 30996"/>
              <a:gd name="connsiteX2" fmla="*/ 26463 w 31002"/>
              <a:gd name="connsiteY2" fmla="*/ 26455 h 30996"/>
              <a:gd name="connsiteX3" fmla="*/ 26463 w 31002"/>
              <a:gd name="connsiteY3" fmla="*/ 4534 h 30996"/>
              <a:gd name="connsiteX4" fmla="*/ 4540 w 31002"/>
              <a:gd name="connsiteY4" fmla="*/ 4534 h 30996"/>
              <a:gd name="connsiteX5" fmla="*/ 21160 w 31002"/>
              <a:gd name="connsiteY5" fmla="*/ 21153 h 30996"/>
              <a:gd name="connsiteX6" fmla="*/ 9849 w 31002"/>
              <a:gd name="connsiteY6" fmla="*/ 21148 h 30996"/>
              <a:gd name="connsiteX7" fmla="*/ 9854 w 31002"/>
              <a:gd name="connsiteY7" fmla="*/ 9837 h 30996"/>
              <a:gd name="connsiteX8" fmla="*/ 21160 w 31002"/>
              <a:gd name="connsiteY8" fmla="*/ 9837 h 30996"/>
              <a:gd name="connsiteX9" fmla="*/ 21160 w 31002"/>
              <a:gd name="connsiteY9" fmla="*/ 21153 h 309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31002" h="30996">
                <a:moveTo>
                  <a:pt x="4540" y="4534"/>
                </a:moveTo>
                <a:cubicBezTo>
                  <a:pt x="-1514" y="10588"/>
                  <a:pt x="-1513" y="20403"/>
                  <a:pt x="4541" y="26456"/>
                </a:cubicBezTo>
                <a:cubicBezTo>
                  <a:pt x="10594" y="32510"/>
                  <a:pt x="20410" y="32509"/>
                  <a:pt x="26463" y="26455"/>
                </a:cubicBezTo>
                <a:cubicBezTo>
                  <a:pt x="32516" y="20402"/>
                  <a:pt x="32516" y="10588"/>
                  <a:pt x="26463" y="4534"/>
                </a:cubicBezTo>
                <a:cubicBezTo>
                  <a:pt x="20406" y="-1511"/>
                  <a:pt x="10597" y="-1511"/>
                  <a:pt x="4540" y="4534"/>
                </a:cubicBezTo>
                <a:close/>
                <a:moveTo>
                  <a:pt x="21160" y="21153"/>
                </a:moveTo>
                <a:cubicBezTo>
                  <a:pt x="18035" y="24275"/>
                  <a:pt x="12971" y="24273"/>
                  <a:pt x="9849" y="21148"/>
                </a:cubicBezTo>
                <a:cubicBezTo>
                  <a:pt x="6727" y="18023"/>
                  <a:pt x="6729" y="12959"/>
                  <a:pt x="9854" y="9837"/>
                </a:cubicBezTo>
                <a:cubicBezTo>
                  <a:pt x="12977" y="6717"/>
                  <a:pt x="18037" y="6717"/>
                  <a:pt x="21160" y="9837"/>
                </a:cubicBezTo>
                <a:cubicBezTo>
                  <a:pt x="24279" y="12964"/>
                  <a:pt x="24279" y="18025"/>
                  <a:pt x="21160" y="21153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54" name="Freeform: Shape 553">
            <a:extLst>
              <a:ext uri="{FF2B5EF4-FFF2-40B4-BE49-F238E27FC236}">
                <a16:creationId xmlns:a16="http://schemas.microsoft.com/office/drawing/2014/main" id="{CF3F3916-225F-4AFA-8DDB-0E3FDDB50690}"/>
              </a:ext>
            </a:extLst>
          </xdr:cNvPr>
          <xdr:cNvSpPr/>
        </xdr:nvSpPr>
        <xdr:spPr>
          <a:xfrm>
            <a:off x="10523048" y="11507932"/>
            <a:ext cx="38999" cy="39000"/>
          </a:xfrm>
          <a:custGeom>
            <a:avLst/>
            <a:gdLst>
              <a:gd name="connsiteX0" fmla="*/ 19500 w 38999"/>
              <a:gd name="connsiteY0" fmla="*/ 7500 h 39000"/>
              <a:gd name="connsiteX1" fmla="*/ 31500 w 38999"/>
              <a:gd name="connsiteY1" fmla="*/ 19500 h 39000"/>
              <a:gd name="connsiteX2" fmla="*/ 19500 w 38999"/>
              <a:gd name="connsiteY2" fmla="*/ 31500 h 39000"/>
              <a:gd name="connsiteX3" fmla="*/ 7500 w 38999"/>
              <a:gd name="connsiteY3" fmla="*/ 19500 h 39000"/>
              <a:gd name="connsiteX4" fmla="*/ 19500 w 38999"/>
              <a:gd name="connsiteY4" fmla="*/ 7500 h 39000"/>
              <a:gd name="connsiteX5" fmla="*/ 19500 w 38999"/>
              <a:gd name="connsiteY5" fmla="*/ 0 h 39000"/>
              <a:gd name="connsiteX6" fmla="*/ 0 w 38999"/>
              <a:gd name="connsiteY6" fmla="*/ 19500 h 39000"/>
              <a:gd name="connsiteX7" fmla="*/ 19500 w 38999"/>
              <a:gd name="connsiteY7" fmla="*/ 39000 h 39000"/>
              <a:gd name="connsiteX8" fmla="*/ 39000 w 38999"/>
              <a:gd name="connsiteY8" fmla="*/ 19500 h 39000"/>
              <a:gd name="connsiteX9" fmla="*/ 19500 w 38999"/>
              <a:gd name="connsiteY9" fmla="*/ 0 h 39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38999" h="39000">
                <a:moveTo>
                  <a:pt x="19500" y="7500"/>
                </a:moveTo>
                <a:cubicBezTo>
                  <a:pt x="26127" y="7500"/>
                  <a:pt x="31500" y="12873"/>
                  <a:pt x="31500" y="19500"/>
                </a:cubicBezTo>
                <a:cubicBezTo>
                  <a:pt x="31500" y="26127"/>
                  <a:pt x="26127" y="31500"/>
                  <a:pt x="19500" y="31500"/>
                </a:cubicBezTo>
                <a:cubicBezTo>
                  <a:pt x="12873" y="31500"/>
                  <a:pt x="7500" y="26127"/>
                  <a:pt x="7500" y="19500"/>
                </a:cubicBezTo>
                <a:cubicBezTo>
                  <a:pt x="7507" y="12876"/>
                  <a:pt x="12876" y="7507"/>
                  <a:pt x="19500" y="7500"/>
                </a:cubicBezTo>
                <a:moveTo>
                  <a:pt x="19500" y="0"/>
                </a:moveTo>
                <a:cubicBezTo>
                  <a:pt x="8730" y="0"/>
                  <a:pt x="0" y="8730"/>
                  <a:pt x="0" y="19500"/>
                </a:cubicBezTo>
                <a:cubicBezTo>
                  <a:pt x="0" y="30270"/>
                  <a:pt x="8730" y="39000"/>
                  <a:pt x="19500" y="39000"/>
                </a:cubicBezTo>
                <a:cubicBezTo>
                  <a:pt x="30270" y="39000"/>
                  <a:pt x="39000" y="30270"/>
                  <a:pt x="39000" y="19500"/>
                </a:cubicBezTo>
                <a:cubicBezTo>
                  <a:pt x="39000" y="8730"/>
                  <a:pt x="30270" y="0"/>
                  <a:pt x="19500" y="0"/>
                </a:cubicBezTo>
                <a:close/>
              </a:path>
            </a:pathLst>
          </a:custGeom>
          <a:solidFill>
            <a:srgbClr val="1F4E78"/>
          </a:solidFill>
          <a:ln w="367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2</xdr:col>
      <xdr:colOff>125537</xdr:colOff>
      <xdr:row>18</xdr:row>
      <xdr:rowOff>127055</xdr:rowOff>
    </xdr:from>
    <xdr:to>
      <xdr:col>2</xdr:col>
      <xdr:colOff>443266</xdr:colOff>
      <xdr:row>18</xdr:row>
      <xdr:rowOff>438871</xdr:rowOff>
    </xdr:to>
    <xdr:sp macro="" textlink="">
      <xdr:nvSpPr>
        <xdr:cNvPr id="555" name="circus" descr="Circus Tent outline">
          <a:extLst>
            <a:ext uri="{FF2B5EF4-FFF2-40B4-BE49-F238E27FC236}">
              <a16:creationId xmlns:a16="http://schemas.microsoft.com/office/drawing/2014/main" id="{5E8FD17D-2F3D-4590-AB53-3B1C83DF17A3}"/>
            </a:ext>
          </a:extLst>
        </xdr:cNvPr>
        <xdr:cNvSpPr>
          <a:spLocks noChangeAspect="1"/>
        </xdr:cNvSpPr>
      </xdr:nvSpPr>
      <xdr:spPr>
        <a:xfrm>
          <a:off x="1487612" y="8566205"/>
          <a:ext cx="317729" cy="311816"/>
        </a:xfrm>
        <a:custGeom>
          <a:avLst/>
          <a:gdLst>
            <a:gd name="connsiteX0" fmla="*/ 316189 w 317729"/>
            <a:gd name="connsiteY0" fmla="*/ 306938 h 311816"/>
            <a:gd name="connsiteX1" fmla="*/ 293903 w 317729"/>
            <a:gd name="connsiteY1" fmla="*/ 184466 h 311816"/>
            <a:gd name="connsiteX2" fmla="*/ 293940 w 317729"/>
            <a:gd name="connsiteY2" fmla="*/ 184466 h 311816"/>
            <a:gd name="connsiteX3" fmla="*/ 312690 w 317729"/>
            <a:gd name="connsiteY3" fmla="*/ 165716 h 311816"/>
            <a:gd name="connsiteX4" fmla="*/ 312690 w 317729"/>
            <a:gd name="connsiteY4" fmla="*/ 144848 h 311816"/>
            <a:gd name="connsiteX5" fmla="*/ 310871 w 317729"/>
            <a:gd name="connsiteY5" fmla="*/ 143753 h 311816"/>
            <a:gd name="connsiteX6" fmla="*/ 163526 w 317729"/>
            <a:gd name="connsiteY6" fmla="*/ 34361 h 311816"/>
            <a:gd name="connsiteX7" fmla="*/ 163560 w 317729"/>
            <a:gd name="connsiteY7" fmla="*/ 34301 h 311816"/>
            <a:gd name="connsiteX8" fmla="*/ 226508 w 317729"/>
            <a:gd name="connsiteY8" fmla="*/ 34301 h 311816"/>
            <a:gd name="connsiteX9" fmla="*/ 205069 w 317729"/>
            <a:gd name="connsiteY9" fmla="*/ 17149 h 311816"/>
            <a:gd name="connsiteX10" fmla="*/ 226508 w 317729"/>
            <a:gd name="connsiteY10" fmla="*/ 0 h 311816"/>
            <a:gd name="connsiteX11" fmla="*/ 155115 w 317729"/>
            <a:gd name="connsiteY11" fmla="*/ 0 h 311816"/>
            <a:gd name="connsiteX12" fmla="*/ 155115 w 317729"/>
            <a:gd name="connsiteY12" fmla="*/ 33589 h 311816"/>
            <a:gd name="connsiteX13" fmla="*/ 6930 w 317729"/>
            <a:gd name="connsiteY13" fmla="*/ 143753 h 311816"/>
            <a:gd name="connsiteX14" fmla="*/ 5115 w 317729"/>
            <a:gd name="connsiteY14" fmla="*/ 144848 h 311816"/>
            <a:gd name="connsiteX15" fmla="*/ 5115 w 317729"/>
            <a:gd name="connsiteY15" fmla="*/ 165716 h 311816"/>
            <a:gd name="connsiteX16" fmla="*/ 23827 w 317729"/>
            <a:gd name="connsiteY16" fmla="*/ 184466 h 311816"/>
            <a:gd name="connsiteX17" fmla="*/ 1541 w 317729"/>
            <a:gd name="connsiteY17" fmla="*/ 306941 h 311816"/>
            <a:gd name="connsiteX18" fmla="*/ 0 w 317729"/>
            <a:gd name="connsiteY18" fmla="*/ 311816 h 311816"/>
            <a:gd name="connsiteX19" fmla="*/ 68681 w 317729"/>
            <a:gd name="connsiteY19" fmla="*/ 311816 h 311816"/>
            <a:gd name="connsiteX20" fmla="*/ 141544 w 317729"/>
            <a:gd name="connsiteY20" fmla="*/ 260164 h 311816"/>
            <a:gd name="connsiteX21" fmla="*/ 158831 w 317729"/>
            <a:gd name="connsiteY21" fmla="*/ 210896 h 311816"/>
            <a:gd name="connsiteX22" fmla="*/ 158865 w 317729"/>
            <a:gd name="connsiteY22" fmla="*/ 210863 h 311816"/>
            <a:gd name="connsiteX23" fmla="*/ 158899 w 317729"/>
            <a:gd name="connsiteY23" fmla="*/ 210896 h 311816"/>
            <a:gd name="connsiteX24" fmla="*/ 176186 w 317729"/>
            <a:gd name="connsiteY24" fmla="*/ 260164 h 311816"/>
            <a:gd name="connsiteX25" fmla="*/ 249049 w 317729"/>
            <a:gd name="connsiteY25" fmla="*/ 311816 h 311816"/>
            <a:gd name="connsiteX26" fmla="*/ 317730 w 317729"/>
            <a:gd name="connsiteY26" fmla="*/ 311816 h 311816"/>
            <a:gd name="connsiteX27" fmla="*/ 185441 w 317729"/>
            <a:gd name="connsiteY27" fmla="*/ 62310 h 311816"/>
            <a:gd name="connsiteX28" fmla="*/ 185490 w 317729"/>
            <a:gd name="connsiteY28" fmla="*/ 62254 h 311816"/>
            <a:gd name="connsiteX29" fmla="*/ 305190 w 317729"/>
            <a:gd name="connsiteY29" fmla="*/ 149081 h 311816"/>
            <a:gd name="connsiteX30" fmla="*/ 305190 w 317729"/>
            <a:gd name="connsiteY30" fmla="*/ 165716 h 311816"/>
            <a:gd name="connsiteX31" fmla="*/ 293940 w 317729"/>
            <a:gd name="connsiteY31" fmla="*/ 176966 h 311816"/>
            <a:gd name="connsiteX32" fmla="*/ 275190 w 317729"/>
            <a:gd name="connsiteY32" fmla="*/ 176966 h 311816"/>
            <a:gd name="connsiteX33" fmla="*/ 252690 w 317729"/>
            <a:gd name="connsiteY33" fmla="*/ 154466 h 311816"/>
            <a:gd name="connsiteX34" fmla="*/ 252690 w 317729"/>
            <a:gd name="connsiteY34" fmla="*/ 145710 h 311816"/>
            <a:gd name="connsiteX35" fmla="*/ 125115 w 317729"/>
            <a:gd name="connsiteY35" fmla="*/ 146501 h 311816"/>
            <a:gd name="connsiteX36" fmla="*/ 125115 w 317729"/>
            <a:gd name="connsiteY36" fmla="*/ 154466 h 311816"/>
            <a:gd name="connsiteX37" fmla="*/ 102615 w 317729"/>
            <a:gd name="connsiteY37" fmla="*/ 176966 h 311816"/>
            <a:gd name="connsiteX38" fmla="*/ 95115 w 317729"/>
            <a:gd name="connsiteY38" fmla="*/ 176966 h 311816"/>
            <a:gd name="connsiteX39" fmla="*/ 72615 w 317729"/>
            <a:gd name="connsiteY39" fmla="*/ 154466 h 311816"/>
            <a:gd name="connsiteX40" fmla="*/ 72615 w 317729"/>
            <a:gd name="connsiteY40" fmla="*/ 148290 h 311816"/>
            <a:gd name="connsiteX41" fmla="*/ 150521 w 317729"/>
            <a:gd name="connsiteY41" fmla="*/ 51641 h 311816"/>
            <a:gd name="connsiteX42" fmla="*/ 150574 w 317729"/>
            <a:gd name="connsiteY42" fmla="*/ 51640 h 311816"/>
            <a:gd name="connsiteX43" fmla="*/ 150585 w 317729"/>
            <a:gd name="connsiteY43" fmla="*/ 51675 h 311816"/>
            <a:gd name="connsiteX44" fmla="*/ 125243 w 317729"/>
            <a:gd name="connsiteY44" fmla="*/ 145991 h 311816"/>
            <a:gd name="connsiteX45" fmla="*/ 132615 w 317729"/>
            <a:gd name="connsiteY45" fmla="*/ 147461 h 311816"/>
            <a:gd name="connsiteX46" fmla="*/ 158828 w 317729"/>
            <a:gd name="connsiteY46" fmla="*/ 49901 h 311816"/>
            <a:gd name="connsiteX47" fmla="*/ 158865 w 317729"/>
            <a:gd name="connsiteY47" fmla="*/ 49864 h 311816"/>
            <a:gd name="connsiteX48" fmla="*/ 158903 w 317729"/>
            <a:gd name="connsiteY48" fmla="*/ 49901 h 311816"/>
            <a:gd name="connsiteX49" fmla="*/ 185115 w 317729"/>
            <a:gd name="connsiteY49" fmla="*/ 147461 h 311816"/>
            <a:gd name="connsiteX50" fmla="*/ 185115 w 317729"/>
            <a:gd name="connsiteY50" fmla="*/ 154466 h 311816"/>
            <a:gd name="connsiteX51" fmla="*/ 162615 w 317729"/>
            <a:gd name="connsiteY51" fmla="*/ 176966 h 311816"/>
            <a:gd name="connsiteX52" fmla="*/ 155115 w 317729"/>
            <a:gd name="connsiteY52" fmla="*/ 176966 h 311816"/>
            <a:gd name="connsiteX53" fmla="*/ 132615 w 317729"/>
            <a:gd name="connsiteY53" fmla="*/ 154466 h 311816"/>
            <a:gd name="connsiteX54" fmla="*/ 192615 w 317729"/>
            <a:gd name="connsiteY54" fmla="*/ 146966 h 311816"/>
            <a:gd name="connsiteX55" fmla="*/ 167145 w 317729"/>
            <a:gd name="connsiteY55" fmla="*/ 51675 h 311816"/>
            <a:gd name="connsiteX56" fmla="*/ 167174 w 317729"/>
            <a:gd name="connsiteY56" fmla="*/ 51630 h 311816"/>
            <a:gd name="connsiteX57" fmla="*/ 167209 w 317729"/>
            <a:gd name="connsiteY57" fmla="*/ 51641 h 311816"/>
            <a:gd name="connsiteX58" fmla="*/ 245115 w 317729"/>
            <a:gd name="connsiteY58" fmla="*/ 148290 h 311816"/>
            <a:gd name="connsiteX59" fmla="*/ 245115 w 317729"/>
            <a:gd name="connsiteY59" fmla="*/ 154466 h 311816"/>
            <a:gd name="connsiteX60" fmla="*/ 222615 w 317729"/>
            <a:gd name="connsiteY60" fmla="*/ 176966 h 311816"/>
            <a:gd name="connsiteX61" fmla="*/ 215115 w 317729"/>
            <a:gd name="connsiteY61" fmla="*/ 176966 h 311816"/>
            <a:gd name="connsiteX62" fmla="*/ 192615 w 317729"/>
            <a:gd name="connsiteY62" fmla="*/ 154466 h 311816"/>
            <a:gd name="connsiteX63" fmla="*/ 162615 w 317729"/>
            <a:gd name="connsiteY63" fmla="*/ 7500 h 311816"/>
            <a:gd name="connsiteX64" fmla="*/ 205129 w 317729"/>
            <a:gd name="connsiteY64" fmla="*/ 7500 h 311816"/>
            <a:gd name="connsiteX65" fmla="*/ 193065 w 317729"/>
            <a:gd name="connsiteY65" fmla="*/ 17149 h 311816"/>
            <a:gd name="connsiteX66" fmla="*/ 205129 w 317729"/>
            <a:gd name="connsiteY66" fmla="*/ 26801 h 311816"/>
            <a:gd name="connsiteX67" fmla="*/ 162615 w 317729"/>
            <a:gd name="connsiteY67" fmla="*/ 26801 h 311816"/>
            <a:gd name="connsiteX68" fmla="*/ 12615 w 317729"/>
            <a:gd name="connsiteY68" fmla="*/ 165716 h 311816"/>
            <a:gd name="connsiteX69" fmla="*/ 12615 w 317729"/>
            <a:gd name="connsiteY69" fmla="*/ 149081 h 311816"/>
            <a:gd name="connsiteX70" fmla="*/ 132195 w 317729"/>
            <a:gd name="connsiteY70" fmla="*/ 62310 h 311816"/>
            <a:gd name="connsiteX71" fmla="*/ 132240 w 317729"/>
            <a:gd name="connsiteY71" fmla="*/ 62366 h 311816"/>
            <a:gd name="connsiteX72" fmla="*/ 65115 w 317729"/>
            <a:gd name="connsiteY72" fmla="*/ 145643 h 311816"/>
            <a:gd name="connsiteX73" fmla="*/ 65115 w 317729"/>
            <a:gd name="connsiteY73" fmla="*/ 154466 h 311816"/>
            <a:gd name="connsiteX74" fmla="*/ 42615 w 317729"/>
            <a:gd name="connsiteY74" fmla="*/ 176966 h 311816"/>
            <a:gd name="connsiteX75" fmla="*/ 23865 w 317729"/>
            <a:gd name="connsiteY75" fmla="*/ 176966 h 311816"/>
            <a:gd name="connsiteX76" fmla="*/ 12615 w 317729"/>
            <a:gd name="connsiteY76" fmla="*/ 165716 h 311816"/>
            <a:gd name="connsiteX77" fmla="*/ 249049 w 317729"/>
            <a:gd name="connsiteY77" fmla="*/ 304316 h 311816"/>
            <a:gd name="connsiteX78" fmla="*/ 183263 w 317729"/>
            <a:gd name="connsiteY78" fmla="*/ 257678 h 311816"/>
            <a:gd name="connsiteX79" fmla="*/ 158888 w 317729"/>
            <a:gd name="connsiteY79" fmla="*/ 188243 h 311816"/>
            <a:gd name="connsiteX80" fmla="*/ 158854 w 317729"/>
            <a:gd name="connsiteY80" fmla="*/ 188209 h 311816"/>
            <a:gd name="connsiteX81" fmla="*/ 158820 w 317729"/>
            <a:gd name="connsiteY81" fmla="*/ 188243 h 311816"/>
            <a:gd name="connsiteX82" fmla="*/ 134445 w 317729"/>
            <a:gd name="connsiteY82" fmla="*/ 257678 h 311816"/>
            <a:gd name="connsiteX83" fmla="*/ 68681 w 317729"/>
            <a:gd name="connsiteY83" fmla="*/ 304316 h 311816"/>
            <a:gd name="connsiteX84" fmla="*/ 10196 w 317729"/>
            <a:gd name="connsiteY84" fmla="*/ 304316 h 311816"/>
            <a:gd name="connsiteX85" fmla="*/ 31339 w 317729"/>
            <a:gd name="connsiteY85" fmla="*/ 184466 h 311816"/>
            <a:gd name="connsiteX86" fmla="*/ 42615 w 317729"/>
            <a:gd name="connsiteY86" fmla="*/ 184466 h 311816"/>
            <a:gd name="connsiteX87" fmla="*/ 68865 w 317729"/>
            <a:gd name="connsiteY87" fmla="*/ 168956 h 311816"/>
            <a:gd name="connsiteX88" fmla="*/ 95115 w 317729"/>
            <a:gd name="connsiteY88" fmla="*/ 184466 h 311816"/>
            <a:gd name="connsiteX89" fmla="*/ 102615 w 317729"/>
            <a:gd name="connsiteY89" fmla="*/ 184466 h 311816"/>
            <a:gd name="connsiteX90" fmla="*/ 128865 w 317729"/>
            <a:gd name="connsiteY90" fmla="*/ 168956 h 311816"/>
            <a:gd name="connsiteX91" fmla="*/ 155115 w 317729"/>
            <a:gd name="connsiteY91" fmla="*/ 184466 h 311816"/>
            <a:gd name="connsiteX92" fmla="*/ 162615 w 317729"/>
            <a:gd name="connsiteY92" fmla="*/ 184466 h 311816"/>
            <a:gd name="connsiteX93" fmla="*/ 188865 w 317729"/>
            <a:gd name="connsiteY93" fmla="*/ 168956 h 311816"/>
            <a:gd name="connsiteX94" fmla="*/ 215115 w 317729"/>
            <a:gd name="connsiteY94" fmla="*/ 184466 h 311816"/>
            <a:gd name="connsiteX95" fmla="*/ 222615 w 317729"/>
            <a:gd name="connsiteY95" fmla="*/ 184466 h 311816"/>
            <a:gd name="connsiteX96" fmla="*/ 248903 w 317729"/>
            <a:gd name="connsiteY96" fmla="*/ 168896 h 311816"/>
            <a:gd name="connsiteX97" fmla="*/ 275190 w 317729"/>
            <a:gd name="connsiteY97" fmla="*/ 184466 h 311816"/>
            <a:gd name="connsiteX98" fmla="*/ 286391 w 317729"/>
            <a:gd name="connsiteY98" fmla="*/ 184466 h 311816"/>
            <a:gd name="connsiteX99" fmla="*/ 307534 w 317729"/>
            <a:gd name="connsiteY99" fmla="*/ 304316 h 3118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</a:cxnLst>
          <a:rect l="l" t="t" r="r" b="b"/>
          <a:pathLst>
            <a:path w="317729" h="311816">
              <a:moveTo>
                <a:pt x="316189" y="306938"/>
              </a:moveTo>
              <a:cubicBezTo>
                <a:pt x="304013" y="267122"/>
                <a:pt x="296533" y="226019"/>
                <a:pt x="293903" y="184466"/>
              </a:cubicBezTo>
              <a:lnTo>
                <a:pt x="293940" y="184466"/>
              </a:lnTo>
              <a:cubicBezTo>
                <a:pt x="304295" y="184466"/>
                <a:pt x="312690" y="176072"/>
                <a:pt x="312690" y="165716"/>
              </a:cubicBezTo>
              <a:lnTo>
                <a:pt x="312690" y="144848"/>
              </a:lnTo>
              <a:lnTo>
                <a:pt x="310871" y="143753"/>
              </a:lnTo>
              <a:cubicBezTo>
                <a:pt x="250496" y="107426"/>
                <a:pt x="177064" y="45848"/>
                <a:pt x="163526" y="34361"/>
              </a:cubicBezTo>
              <a:cubicBezTo>
                <a:pt x="163485" y="34324"/>
                <a:pt x="163504" y="34301"/>
                <a:pt x="163560" y="34301"/>
              </a:cubicBezTo>
              <a:lnTo>
                <a:pt x="226508" y="34301"/>
              </a:lnTo>
              <a:lnTo>
                <a:pt x="205069" y="17149"/>
              </a:lnTo>
              <a:lnTo>
                <a:pt x="226508" y="0"/>
              </a:lnTo>
              <a:lnTo>
                <a:pt x="155115" y="0"/>
              </a:lnTo>
              <a:lnTo>
                <a:pt x="155115" y="33589"/>
              </a:lnTo>
              <a:cubicBezTo>
                <a:pt x="144431" y="42686"/>
                <a:pt x="68865" y="106493"/>
                <a:pt x="6930" y="143753"/>
              </a:cubicBezTo>
              <a:lnTo>
                <a:pt x="5115" y="144848"/>
              </a:lnTo>
              <a:lnTo>
                <a:pt x="5115" y="165716"/>
              </a:lnTo>
              <a:cubicBezTo>
                <a:pt x="5125" y="176053"/>
                <a:pt x="13491" y="184435"/>
                <a:pt x="23827" y="184466"/>
              </a:cubicBezTo>
              <a:cubicBezTo>
                <a:pt x="21196" y="226020"/>
                <a:pt x="13717" y="267124"/>
                <a:pt x="1541" y="306941"/>
              </a:cubicBezTo>
              <a:lnTo>
                <a:pt x="0" y="311816"/>
              </a:lnTo>
              <a:lnTo>
                <a:pt x="68681" y="311816"/>
              </a:lnTo>
              <a:cubicBezTo>
                <a:pt x="101464" y="311790"/>
                <a:pt x="130665" y="291089"/>
                <a:pt x="141544" y="260164"/>
              </a:cubicBezTo>
              <a:lnTo>
                <a:pt x="158831" y="210896"/>
              </a:lnTo>
              <a:cubicBezTo>
                <a:pt x="158831" y="210878"/>
                <a:pt x="158846" y="210863"/>
                <a:pt x="158865" y="210863"/>
              </a:cubicBezTo>
              <a:cubicBezTo>
                <a:pt x="158884" y="210863"/>
                <a:pt x="158899" y="210878"/>
                <a:pt x="158899" y="210896"/>
              </a:cubicBezTo>
              <a:lnTo>
                <a:pt x="176186" y="260164"/>
              </a:lnTo>
              <a:cubicBezTo>
                <a:pt x="187065" y="291089"/>
                <a:pt x="216266" y="311790"/>
                <a:pt x="249049" y="311816"/>
              </a:cubicBezTo>
              <a:lnTo>
                <a:pt x="317730" y="311816"/>
              </a:lnTo>
              <a:close/>
              <a:moveTo>
                <a:pt x="185441" y="62310"/>
              </a:moveTo>
              <a:lnTo>
                <a:pt x="185490" y="62254"/>
              </a:lnTo>
              <a:cubicBezTo>
                <a:pt x="215310" y="86400"/>
                <a:pt x="263145" y="123548"/>
                <a:pt x="305190" y="149081"/>
              </a:cubicBezTo>
              <a:lnTo>
                <a:pt x="305190" y="165716"/>
              </a:lnTo>
              <a:cubicBezTo>
                <a:pt x="305190" y="171930"/>
                <a:pt x="300153" y="176966"/>
                <a:pt x="293940" y="176966"/>
              </a:cubicBezTo>
              <a:lnTo>
                <a:pt x="275190" y="176966"/>
              </a:lnTo>
              <a:cubicBezTo>
                <a:pt x="262764" y="176966"/>
                <a:pt x="252690" y="166893"/>
                <a:pt x="252690" y="154466"/>
              </a:cubicBezTo>
              <a:lnTo>
                <a:pt x="252690" y="145710"/>
              </a:lnTo>
              <a:close/>
              <a:moveTo>
                <a:pt x="125115" y="146501"/>
              </a:moveTo>
              <a:lnTo>
                <a:pt x="125115" y="154466"/>
              </a:lnTo>
              <a:cubicBezTo>
                <a:pt x="125115" y="166893"/>
                <a:pt x="115041" y="176966"/>
                <a:pt x="102615" y="176966"/>
              </a:cubicBezTo>
              <a:lnTo>
                <a:pt x="95115" y="176966"/>
              </a:lnTo>
              <a:cubicBezTo>
                <a:pt x="82689" y="176966"/>
                <a:pt x="72615" y="166893"/>
                <a:pt x="72615" y="154466"/>
              </a:cubicBezTo>
              <a:lnTo>
                <a:pt x="72615" y="148290"/>
              </a:lnTo>
              <a:lnTo>
                <a:pt x="150521" y="51641"/>
              </a:lnTo>
              <a:cubicBezTo>
                <a:pt x="150536" y="51626"/>
                <a:pt x="150560" y="51626"/>
                <a:pt x="150574" y="51640"/>
              </a:cubicBezTo>
              <a:cubicBezTo>
                <a:pt x="150584" y="51649"/>
                <a:pt x="150588" y="51662"/>
                <a:pt x="150585" y="51675"/>
              </a:cubicBezTo>
              <a:lnTo>
                <a:pt x="125243" y="145991"/>
              </a:lnTo>
              <a:close/>
              <a:moveTo>
                <a:pt x="132615" y="147461"/>
              </a:moveTo>
              <a:lnTo>
                <a:pt x="158828" y="49901"/>
              </a:lnTo>
              <a:cubicBezTo>
                <a:pt x="158828" y="49881"/>
                <a:pt x="158844" y="49864"/>
                <a:pt x="158865" y="49864"/>
              </a:cubicBezTo>
              <a:cubicBezTo>
                <a:pt x="158886" y="49864"/>
                <a:pt x="158903" y="49881"/>
                <a:pt x="158903" y="49901"/>
              </a:cubicBezTo>
              <a:lnTo>
                <a:pt x="185115" y="147461"/>
              </a:lnTo>
              <a:lnTo>
                <a:pt x="185115" y="154466"/>
              </a:lnTo>
              <a:cubicBezTo>
                <a:pt x="185115" y="166893"/>
                <a:pt x="175041" y="176966"/>
                <a:pt x="162615" y="176966"/>
              </a:cubicBezTo>
              <a:lnTo>
                <a:pt x="155115" y="176966"/>
              </a:lnTo>
              <a:cubicBezTo>
                <a:pt x="142689" y="176966"/>
                <a:pt x="132615" y="166893"/>
                <a:pt x="132615" y="154466"/>
              </a:cubicBezTo>
              <a:close/>
              <a:moveTo>
                <a:pt x="192615" y="146966"/>
              </a:moveTo>
              <a:lnTo>
                <a:pt x="167145" y="51675"/>
              </a:lnTo>
              <a:cubicBezTo>
                <a:pt x="167141" y="51655"/>
                <a:pt x="167154" y="51635"/>
                <a:pt x="167174" y="51630"/>
              </a:cubicBezTo>
              <a:cubicBezTo>
                <a:pt x="167187" y="51628"/>
                <a:pt x="167200" y="51632"/>
                <a:pt x="167209" y="51641"/>
              </a:cubicBezTo>
              <a:lnTo>
                <a:pt x="245115" y="148290"/>
              </a:lnTo>
              <a:lnTo>
                <a:pt x="245115" y="154466"/>
              </a:lnTo>
              <a:cubicBezTo>
                <a:pt x="245115" y="166893"/>
                <a:pt x="235041" y="176966"/>
                <a:pt x="222615" y="176966"/>
              </a:cubicBezTo>
              <a:lnTo>
                <a:pt x="215115" y="176966"/>
              </a:lnTo>
              <a:cubicBezTo>
                <a:pt x="202689" y="176966"/>
                <a:pt x="192615" y="166893"/>
                <a:pt x="192615" y="154466"/>
              </a:cubicBezTo>
              <a:close/>
              <a:moveTo>
                <a:pt x="162615" y="7500"/>
              </a:moveTo>
              <a:lnTo>
                <a:pt x="205129" y="7500"/>
              </a:lnTo>
              <a:lnTo>
                <a:pt x="193065" y="17149"/>
              </a:lnTo>
              <a:lnTo>
                <a:pt x="205129" y="26801"/>
              </a:lnTo>
              <a:lnTo>
                <a:pt x="162615" y="26801"/>
              </a:lnTo>
              <a:close/>
              <a:moveTo>
                <a:pt x="12615" y="165716"/>
              </a:moveTo>
              <a:lnTo>
                <a:pt x="12615" y="149081"/>
              </a:lnTo>
              <a:cubicBezTo>
                <a:pt x="54615" y="123581"/>
                <a:pt x="102386" y="86456"/>
                <a:pt x="132195" y="62310"/>
              </a:cubicBezTo>
              <a:cubicBezTo>
                <a:pt x="132229" y="62284"/>
                <a:pt x="132270" y="62333"/>
                <a:pt x="132240" y="62366"/>
              </a:cubicBezTo>
              <a:lnTo>
                <a:pt x="65115" y="145643"/>
              </a:lnTo>
              <a:lnTo>
                <a:pt x="65115" y="154466"/>
              </a:lnTo>
              <a:cubicBezTo>
                <a:pt x="65115" y="166893"/>
                <a:pt x="55041" y="176966"/>
                <a:pt x="42615" y="176966"/>
              </a:cubicBezTo>
              <a:lnTo>
                <a:pt x="23865" y="176966"/>
              </a:lnTo>
              <a:cubicBezTo>
                <a:pt x="17652" y="176966"/>
                <a:pt x="12615" y="171930"/>
                <a:pt x="12615" y="165716"/>
              </a:cubicBezTo>
              <a:close/>
              <a:moveTo>
                <a:pt x="249049" y="304316"/>
              </a:moveTo>
              <a:cubicBezTo>
                <a:pt x="219441" y="304316"/>
                <a:pt x="193063" y="285616"/>
                <a:pt x="183263" y="257678"/>
              </a:cubicBezTo>
              <a:lnTo>
                <a:pt x="158888" y="188243"/>
              </a:lnTo>
              <a:cubicBezTo>
                <a:pt x="158888" y="188224"/>
                <a:pt x="158873" y="188209"/>
                <a:pt x="158854" y="188209"/>
              </a:cubicBezTo>
              <a:cubicBezTo>
                <a:pt x="158835" y="188209"/>
                <a:pt x="158820" y="188224"/>
                <a:pt x="158820" y="188243"/>
              </a:cubicBezTo>
              <a:lnTo>
                <a:pt x="134445" y="257678"/>
              </a:lnTo>
              <a:cubicBezTo>
                <a:pt x="124647" y="285608"/>
                <a:pt x="98280" y="304307"/>
                <a:pt x="68681" y="304316"/>
              </a:cubicBezTo>
              <a:lnTo>
                <a:pt x="10196" y="304316"/>
              </a:lnTo>
              <a:cubicBezTo>
                <a:pt x="21694" y="265281"/>
                <a:pt x="28786" y="225080"/>
                <a:pt x="31339" y="184466"/>
              </a:cubicBezTo>
              <a:lnTo>
                <a:pt x="42615" y="184466"/>
              </a:lnTo>
              <a:cubicBezTo>
                <a:pt x="53536" y="184460"/>
                <a:pt x="63590" y="178519"/>
                <a:pt x="68865" y="168956"/>
              </a:cubicBezTo>
              <a:cubicBezTo>
                <a:pt x="74140" y="178519"/>
                <a:pt x="84194" y="184460"/>
                <a:pt x="95115" y="184466"/>
              </a:cubicBezTo>
              <a:lnTo>
                <a:pt x="102615" y="184466"/>
              </a:lnTo>
              <a:cubicBezTo>
                <a:pt x="113536" y="184460"/>
                <a:pt x="123590" y="178519"/>
                <a:pt x="128865" y="168956"/>
              </a:cubicBezTo>
              <a:cubicBezTo>
                <a:pt x="134140" y="178519"/>
                <a:pt x="144194" y="184460"/>
                <a:pt x="155115" y="184466"/>
              </a:cubicBezTo>
              <a:lnTo>
                <a:pt x="162615" y="184466"/>
              </a:lnTo>
              <a:cubicBezTo>
                <a:pt x="173536" y="184460"/>
                <a:pt x="183590" y="178519"/>
                <a:pt x="188865" y="168956"/>
              </a:cubicBezTo>
              <a:cubicBezTo>
                <a:pt x="194140" y="178519"/>
                <a:pt x="204194" y="184460"/>
                <a:pt x="215115" y="184466"/>
              </a:cubicBezTo>
              <a:lnTo>
                <a:pt x="222615" y="184466"/>
              </a:lnTo>
              <a:cubicBezTo>
                <a:pt x="233561" y="184456"/>
                <a:pt x="243633" y="178490"/>
                <a:pt x="248903" y="168896"/>
              </a:cubicBezTo>
              <a:cubicBezTo>
                <a:pt x="254168" y="178494"/>
                <a:pt x="264243" y="184461"/>
                <a:pt x="275190" y="184466"/>
              </a:cubicBezTo>
              <a:lnTo>
                <a:pt x="286391" y="184466"/>
              </a:lnTo>
              <a:cubicBezTo>
                <a:pt x="288944" y="225080"/>
                <a:pt x="296036" y="265281"/>
                <a:pt x="307534" y="304316"/>
              </a:cubicBezTo>
              <a:close/>
            </a:path>
          </a:pathLst>
        </a:custGeom>
        <a:solidFill>
          <a:srgbClr val="1F4E78"/>
        </a:solidFill>
        <a:ln w="3671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6</xdr:col>
      <xdr:colOff>137068</xdr:colOff>
      <xdr:row>12</xdr:row>
      <xdr:rowOff>127844</xdr:rowOff>
    </xdr:from>
    <xdr:to>
      <xdr:col>6</xdr:col>
      <xdr:colOff>446976</xdr:colOff>
      <xdr:row>12</xdr:row>
      <xdr:rowOff>435235</xdr:rowOff>
    </xdr:to>
    <xdr:grpSp>
      <xdr:nvGrpSpPr>
        <xdr:cNvPr id="564" name="guitar" descr="Guitar outline">
          <a:extLst>
            <a:ext uri="{FF2B5EF4-FFF2-40B4-BE49-F238E27FC236}">
              <a16:creationId xmlns:a16="http://schemas.microsoft.com/office/drawing/2014/main" id="{2F323F52-7B7E-4469-B834-0710A9B7D737}"/>
            </a:ext>
          </a:extLst>
        </xdr:cNvPr>
        <xdr:cNvGrpSpPr>
          <a:grpSpLocks noChangeAspect="1"/>
        </xdr:cNvGrpSpPr>
      </xdr:nvGrpSpPr>
      <xdr:grpSpPr>
        <a:xfrm>
          <a:off x="5356768" y="5538044"/>
          <a:ext cx="309908" cy="307391"/>
          <a:chOff x="14312825" y="10563813"/>
          <a:chExt cx="309908" cy="307391"/>
        </a:xfrm>
        <a:solidFill>
          <a:srgbClr val="1F4E78"/>
        </a:solidFill>
      </xdr:grpSpPr>
      <xdr:sp macro="" textlink="">
        <xdr:nvSpPr>
          <xdr:cNvPr id="565" name="Freeform: Shape 564">
            <a:extLst>
              <a:ext uri="{FF2B5EF4-FFF2-40B4-BE49-F238E27FC236}">
                <a16:creationId xmlns:a16="http://schemas.microsoft.com/office/drawing/2014/main" id="{2960ACE1-45BC-4F6D-B05E-F7C9022A3278}"/>
              </a:ext>
            </a:extLst>
          </xdr:cNvPr>
          <xdr:cNvSpPr/>
        </xdr:nvSpPr>
        <xdr:spPr>
          <a:xfrm>
            <a:off x="14312825" y="10564751"/>
            <a:ext cx="309560" cy="306453"/>
          </a:xfrm>
          <a:custGeom>
            <a:avLst/>
            <a:gdLst>
              <a:gd name="connsiteX0" fmla="*/ 91143 w 309560"/>
              <a:gd name="connsiteY0" fmla="*/ 306454 h 306453"/>
              <a:gd name="connsiteX1" fmla="*/ 130279 w 309560"/>
              <a:gd name="connsiteY1" fmla="*/ 288484 h 306453"/>
              <a:gd name="connsiteX2" fmla="*/ 148301 w 309560"/>
              <a:gd name="connsiteY2" fmla="*/ 243259 h 306453"/>
              <a:gd name="connsiteX3" fmla="*/ 154460 w 309560"/>
              <a:gd name="connsiteY3" fmla="*/ 222090 h 306453"/>
              <a:gd name="connsiteX4" fmla="*/ 168599 w 309560"/>
              <a:gd name="connsiteY4" fmla="*/ 215640 h 306453"/>
              <a:gd name="connsiteX5" fmla="*/ 183602 w 309560"/>
              <a:gd name="connsiteY5" fmla="*/ 209265 h 306453"/>
              <a:gd name="connsiteX6" fmla="*/ 192519 w 309560"/>
              <a:gd name="connsiteY6" fmla="*/ 192848 h 306453"/>
              <a:gd name="connsiteX7" fmla="*/ 174334 w 309560"/>
              <a:gd name="connsiteY7" fmla="*/ 152393 h 306453"/>
              <a:gd name="connsiteX8" fmla="*/ 260518 w 309560"/>
              <a:gd name="connsiteY8" fmla="*/ 64091 h 306453"/>
              <a:gd name="connsiteX9" fmla="*/ 269008 w 309560"/>
              <a:gd name="connsiteY9" fmla="*/ 64410 h 306453"/>
              <a:gd name="connsiteX10" fmla="*/ 309561 w 309560"/>
              <a:gd name="connsiteY10" fmla="*/ 29325 h 306453"/>
              <a:gd name="connsiteX11" fmla="*/ 309055 w 309560"/>
              <a:gd name="connsiteY11" fmla="*/ 27135 h 306453"/>
              <a:gd name="connsiteX12" fmla="*/ 298098 w 309560"/>
              <a:gd name="connsiteY12" fmla="*/ 10463 h 306453"/>
              <a:gd name="connsiteX13" fmla="*/ 280880 w 309560"/>
              <a:gd name="connsiteY13" fmla="*/ 263 h 306453"/>
              <a:gd name="connsiteX14" fmla="*/ 278870 w 309560"/>
              <a:gd name="connsiteY14" fmla="*/ 0 h 306453"/>
              <a:gd name="connsiteX15" fmla="*/ 243667 w 309560"/>
              <a:gd name="connsiteY15" fmla="*/ 40080 h 306453"/>
              <a:gd name="connsiteX16" fmla="*/ 243988 w 309560"/>
              <a:gd name="connsiteY16" fmla="*/ 48503 h 306453"/>
              <a:gd name="connsiteX17" fmla="*/ 155280 w 309560"/>
              <a:gd name="connsiteY17" fmla="*/ 133463 h 306453"/>
              <a:gd name="connsiteX18" fmla="*/ 115449 w 309560"/>
              <a:gd name="connsiteY18" fmla="*/ 115530 h 306453"/>
              <a:gd name="connsiteX19" fmla="*/ 98261 w 309560"/>
              <a:gd name="connsiteY19" fmla="*/ 124365 h 306453"/>
              <a:gd name="connsiteX20" fmla="*/ 91520 w 309560"/>
              <a:gd name="connsiteY20" fmla="*/ 139635 h 306453"/>
              <a:gd name="connsiteX21" fmla="*/ 85241 w 309560"/>
              <a:gd name="connsiteY21" fmla="*/ 153394 h 306453"/>
              <a:gd name="connsiteX22" fmla="*/ 63920 w 309560"/>
              <a:gd name="connsiteY22" fmla="*/ 159510 h 306453"/>
              <a:gd name="connsiteX23" fmla="*/ 18387 w 309560"/>
              <a:gd name="connsiteY23" fmla="*/ 177375 h 306453"/>
              <a:gd name="connsiteX24" fmla="*/ 31233 w 309560"/>
              <a:gd name="connsiteY24" fmla="*/ 275393 h 306453"/>
              <a:gd name="connsiteX25" fmla="*/ 91143 w 309560"/>
              <a:gd name="connsiteY25" fmla="*/ 306454 h 306453"/>
              <a:gd name="connsiteX26" fmla="*/ 281650 w 309560"/>
              <a:gd name="connsiteY26" fmla="*/ 8227 h 306453"/>
              <a:gd name="connsiteX27" fmla="*/ 292808 w 309560"/>
              <a:gd name="connsiteY27" fmla="*/ 15832 h 306453"/>
              <a:gd name="connsiteX28" fmla="*/ 300946 w 309560"/>
              <a:gd name="connsiteY28" fmla="*/ 26831 h 306453"/>
              <a:gd name="connsiteX29" fmla="*/ 266299 w 309560"/>
              <a:gd name="connsiteY29" fmla="*/ 56813 h 306453"/>
              <a:gd name="connsiteX30" fmla="*/ 259736 w 309560"/>
              <a:gd name="connsiteY30" fmla="*/ 56569 h 306453"/>
              <a:gd name="connsiteX31" fmla="*/ 251548 w 309560"/>
              <a:gd name="connsiteY31" fmla="*/ 48439 h 306453"/>
              <a:gd name="connsiteX32" fmla="*/ 251344 w 309560"/>
              <a:gd name="connsiteY32" fmla="*/ 42769 h 306453"/>
              <a:gd name="connsiteX33" fmla="*/ 247781 w 309560"/>
              <a:gd name="connsiteY33" fmla="*/ 55313 h 306453"/>
              <a:gd name="connsiteX34" fmla="*/ 253267 w 309560"/>
              <a:gd name="connsiteY34" fmla="*/ 60761 h 306453"/>
              <a:gd name="connsiteX35" fmla="*/ 144795 w 309560"/>
              <a:gd name="connsiteY35" fmla="*/ 171863 h 306453"/>
              <a:gd name="connsiteX36" fmla="*/ 140820 w 309560"/>
              <a:gd name="connsiteY36" fmla="*/ 166568 h 306453"/>
              <a:gd name="connsiteX37" fmla="*/ 135587 w 309560"/>
              <a:gd name="connsiteY37" fmla="*/ 162758 h 306453"/>
              <a:gd name="connsiteX38" fmla="*/ 140015 w 309560"/>
              <a:gd name="connsiteY38" fmla="*/ 182119 h 306453"/>
              <a:gd name="connsiteX39" fmla="*/ 135459 w 309560"/>
              <a:gd name="connsiteY39" fmla="*/ 193080 h 306453"/>
              <a:gd name="connsiteX40" fmla="*/ 114550 w 309560"/>
              <a:gd name="connsiteY40" fmla="*/ 193530 h 306453"/>
              <a:gd name="connsiteX41" fmla="*/ 114096 w 309560"/>
              <a:gd name="connsiteY41" fmla="*/ 193080 h 306453"/>
              <a:gd name="connsiteX42" fmla="*/ 113624 w 309560"/>
              <a:gd name="connsiteY42" fmla="*/ 172339 h 306453"/>
              <a:gd name="connsiteX43" fmla="*/ 114096 w 309560"/>
              <a:gd name="connsiteY43" fmla="*/ 171870 h 306453"/>
              <a:gd name="connsiteX44" fmla="*/ 135005 w 309560"/>
              <a:gd name="connsiteY44" fmla="*/ 171420 h 306453"/>
              <a:gd name="connsiteX45" fmla="*/ 135459 w 309560"/>
              <a:gd name="connsiteY45" fmla="*/ 171870 h 306453"/>
              <a:gd name="connsiteX46" fmla="*/ 135527 w 309560"/>
              <a:gd name="connsiteY46" fmla="*/ 171938 h 306453"/>
              <a:gd name="connsiteX47" fmla="*/ 135599 w 309560"/>
              <a:gd name="connsiteY47" fmla="*/ 172001 h 306453"/>
              <a:gd name="connsiteX48" fmla="*/ 140015 w 309560"/>
              <a:gd name="connsiteY48" fmla="*/ 182119 h 306453"/>
              <a:gd name="connsiteX49" fmla="*/ 23710 w 309560"/>
              <a:gd name="connsiteY49" fmla="*/ 182704 h 306453"/>
              <a:gd name="connsiteX50" fmla="*/ 64683 w 309560"/>
              <a:gd name="connsiteY50" fmla="*/ 166973 h 306453"/>
              <a:gd name="connsiteX51" fmla="*/ 90591 w 309560"/>
              <a:gd name="connsiteY51" fmla="*/ 158696 h 306453"/>
              <a:gd name="connsiteX52" fmla="*/ 98820 w 309560"/>
              <a:gd name="connsiteY52" fmla="*/ 141593 h 306453"/>
              <a:gd name="connsiteX53" fmla="*/ 104030 w 309560"/>
              <a:gd name="connsiteY53" fmla="*/ 129217 h 306453"/>
              <a:gd name="connsiteX54" fmla="*/ 116034 w 309560"/>
              <a:gd name="connsiteY54" fmla="*/ 123015 h 306453"/>
              <a:gd name="connsiteX55" fmla="*/ 149809 w 309560"/>
              <a:gd name="connsiteY55" fmla="*/ 138705 h 306453"/>
              <a:gd name="connsiteX56" fmla="*/ 127456 w 309560"/>
              <a:gd name="connsiteY56" fmla="*/ 160114 h 306453"/>
              <a:gd name="connsiteX57" fmla="*/ 124777 w 309560"/>
              <a:gd name="connsiteY57" fmla="*/ 159851 h 306453"/>
              <a:gd name="connsiteX58" fmla="*/ 102002 w 309560"/>
              <a:gd name="connsiteY58" fmla="*/ 182382 h 306453"/>
              <a:gd name="connsiteX59" fmla="*/ 124703 w 309560"/>
              <a:gd name="connsiteY59" fmla="*/ 204986 h 306453"/>
              <a:gd name="connsiteX60" fmla="*/ 147478 w 309560"/>
              <a:gd name="connsiteY60" fmla="*/ 182456 h 306453"/>
              <a:gd name="connsiteX61" fmla="*/ 147349 w 309560"/>
              <a:gd name="connsiteY61" fmla="*/ 180019 h 306453"/>
              <a:gd name="connsiteX62" fmla="*/ 169052 w 309560"/>
              <a:gd name="connsiteY62" fmla="*/ 157785 h 306453"/>
              <a:gd name="connsiteX63" fmla="*/ 184989 w 309560"/>
              <a:gd name="connsiteY63" fmla="*/ 192131 h 306453"/>
              <a:gd name="connsiteX64" fmla="*/ 178906 w 309560"/>
              <a:gd name="connsiteY64" fmla="*/ 203381 h 306453"/>
              <a:gd name="connsiteX65" fmla="*/ 166570 w 309560"/>
              <a:gd name="connsiteY65" fmla="*/ 208429 h 306453"/>
              <a:gd name="connsiteX66" fmla="*/ 149106 w 309560"/>
              <a:gd name="connsiteY66" fmla="*/ 216799 h 306453"/>
              <a:gd name="connsiteX67" fmla="*/ 140771 w 309560"/>
              <a:gd name="connsiteY67" fmla="*/ 242520 h 306453"/>
              <a:gd name="connsiteX68" fmla="*/ 124925 w 309560"/>
              <a:gd name="connsiteY68" fmla="*/ 283193 h 306453"/>
              <a:gd name="connsiteX69" fmla="*/ 36595 w 309560"/>
              <a:gd name="connsiteY69" fmla="*/ 270098 h 306453"/>
              <a:gd name="connsiteX70" fmla="*/ 23710 w 309560"/>
              <a:gd name="connsiteY70" fmla="*/ 182704 h 3064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</a:cxnLst>
            <a:rect l="l" t="t" r="r" b="b"/>
            <a:pathLst>
              <a:path w="309560" h="306453">
                <a:moveTo>
                  <a:pt x="91143" y="306454"/>
                </a:moveTo>
                <a:cubicBezTo>
                  <a:pt x="105137" y="306454"/>
                  <a:pt x="118183" y="300464"/>
                  <a:pt x="130279" y="288484"/>
                </a:cubicBezTo>
                <a:cubicBezTo>
                  <a:pt x="145218" y="273653"/>
                  <a:pt x="146930" y="256800"/>
                  <a:pt x="148301" y="243259"/>
                </a:cubicBezTo>
                <a:cubicBezTo>
                  <a:pt x="149212" y="234277"/>
                  <a:pt x="149998" y="226522"/>
                  <a:pt x="154460" y="222090"/>
                </a:cubicBezTo>
                <a:cubicBezTo>
                  <a:pt x="158543" y="218781"/>
                  <a:pt x="163410" y="216561"/>
                  <a:pt x="168599" y="215640"/>
                </a:cubicBezTo>
                <a:cubicBezTo>
                  <a:pt x="173982" y="214541"/>
                  <a:pt x="179085" y="212373"/>
                  <a:pt x="183602" y="209265"/>
                </a:cubicBezTo>
                <a:cubicBezTo>
                  <a:pt x="188755" y="205269"/>
                  <a:pt x="191989" y="199316"/>
                  <a:pt x="192519" y="192848"/>
                </a:cubicBezTo>
                <a:cubicBezTo>
                  <a:pt x="193604" y="181466"/>
                  <a:pt x="187441" y="167854"/>
                  <a:pt x="174334" y="152393"/>
                </a:cubicBezTo>
                <a:lnTo>
                  <a:pt x="260518" y="64091"/>
                </a:lnTo>
                <a:lnTo>
                  <a:pt x="269008" y="64410"/>
                </a:lnTo>
                <a:lnTo>
                  <a:pt x="309561" y="29325"/>
                </a:lnTo>
                <a:lnTo>
                  <a:pt x="309055" y="27135"/>
                </a:lnTo>
                <a:cubicBezTo>
                  <a:pt x="307011" y="20686"/>
                  <a:pt x="303221" y="14918"/>
                  <a:pt x="298098" y="10463"/>
                </a:cubicBezTo>
                <a:cubicBezTo>
                  <a:pt x="293574" y="5359"/>
                  <a:pt x="287553" y="1791"/>
                  <a:pt x="280880" y="263"/>
                </a:cubicBezTo>
                <a:lnTo>
                  <a:pt x="278870" y="0"/>
                </a:lnTo>
                <a:lnTo>
                  <a:pt x="243667" y="40080"/>
                </a:lnTo>
                <a:lnTo>
                  <a:pt x="243988" y="48503"/>
                </a:lnTo>
                <a:lnTo>
                  <a:pt x="155280" y="133463"/>
                </a:lnTo>
                <a:cubicBezTo>
                  <a:pt x="140080" y="120739"/>
                  <a:pt x="126689" y="114712"/>
                  <a:pt x="115449" y="115530"/>
                </a:cubicBezTo>
                <a:cubicBezTo>
                  <a:pt x="108745" y="116025"/>
                  <a:pt x="102536" y="119217"/>
                  <a:pt x="98261" y="124365"/>
                </a:cubicBezTo>
                <a:cubicBezTo>
                  <a:pt x="94897" y="128894"/>
                  <a:pt x="92594" y="134111"/>
                  <a:pt x="91520" y="139635"/>
                </a:cubicBezTo>
                <a:cubicBezTo>
                  <a:pt x="90656" y="144681"/>
                  <a:pt x="88493" y="149421"/>
                  <a:pt x="85241" y="153394"/>
                </a:cubicBezTo>
                <a:cubicBezTo>
                  <a:pt x="80779" y="157826"/>
                  <a:pt x="72965" y="158606"/>
                  <a:pt x="63920" y="159510"/>
                </a:cubicBezTo>
                <a:cubicBezTo>
                  <a:pt x="50280" y="160871"/>
                  <a:pt x="33315" y="162570"/>
                  <a:pt x="18387" y="177375"/>
                </a:cubicBezTo>
                <a:cubicBezTo>
                  <a:pt x="-9856" y="204874"/>
                  <a:pt x="-5553" y="237825"/>
                  <a:pt x="31233" y="275393"/>
                </a:cubicBezTo>
                <a:cubicBezTo>
                  <a:pt x="52702" y="296093"/>
                  <a:pt x="72716" y="306454"/>
                  <a:pt x="91143" y="306454"/>
                </a:cubicBezTo>
                <a:close/>
                <a:moveTo>
                  <a:pt x="281650" y="8227"/>
                </a:moveTo>
                <a:cubicBezTo>
                  <a:pt x="285873" y="9945"/>
                  <a:pt x="289677" y="12537"/>
                  <a:pt x="292808" y="15832"/>
                </a:cubicBezTo>
                <a:cubicBezTo>
                  <a:pt x="296223" y="18932"/>
                  <a:pt x="298988" y="22670"/>
                  <a:pt x="300946" y="26831"/>
                </a:cubicBezTo>
                <a:lnTo>
                  <a:pt x="266299" y="56813"/>
                </a:lnTo>
                <a:lnTo>
                  <a:pt x="259736" y="56569"/>
                </a:lnTo>
                <a:lnTo>
                  <a:pt x="251548" y="48439"/>
                </a:lnTo>
                <a:lnTo>
                  <a:pt x="251344" y="42769"/>
                </a:lnTo>
                <a:close/>
                <a:moveTo>
                  <a:pt x="247781" y="55313"/>
                </a:moveTo>
                <a:lnTo>
                  <a:pt x="253267" y="60761"/>
                </a:lnTo>
                <a:lnTo>
                  <a:pt x="144795" y="171863"/>
                </a:lnTo>
                <a:cubicBezTo>
                  <a:pt x="143757" y="169902"/>
                  <a:pt x="142416" y="168116"/>
                  <a:pt x="140820" y="166568"/>
                </a:cubicBezTo>
                <a:cubicBezTo>
                  <a:pt x="139264" y="165061"/>
                  <a:pt x="137502" y="163778"/>
                  <a:pt x="135587" y="162758"/>
                </a:cubicBezTo>
                <a:close/>
                <a:moveTo>
                  <a:pt x="140015" y="182119"/>
                </a:moveTo>
                <a:cubicBezTo>
                  <a:pt x="140061" y="186236"/>
                  <a:pt x="138416" y="190193"/>
                  <a:pt x="135459" y="193080"/>
                </a:cubicBezTo>
                <a:cubicBezTo>
                  <a:pt x="129810" y="198935"/>
                  <a:pt x="120449" y="199137"/>
                  <a:pt x="114550" y="193530"/>
                </a:cubicBezTo>
                <a:cubicBezTo>
                  <a:pt x="114395" y="193383"/>
                  <a:pt x="114244" y="193233"/>
                  <a:pt x="114096" y="193080"/>
                </a:cubicBezTo>
                <a:cubicBezTo>
                  <a:pt x="108195" y="187482"/>
                  <a:pt x="107983" y="178196"/>
                  <a:pt x="113624" y="172339"/>
                </a:cubicBezTo>
                <a:cubicBezTo>
                  <a:pt x="113777" y="172179"/>
                  <a:pt x="113935" y="172023"/>
                  <a:pt x="114096" y="171870"/>
                </a:cubicBezTo>
                <a:cubicBezTo>
                  <a:pt x="119745" y="166015"/>
                  <a:pt x="129106" y="165813"/>
                  <a:pt x="135005" y="171420"/>
                </a:cubicBezTo>
                <a:cubicBezTo>
                  <a:pt x="135159" y="171567"/>
                  <a:pt x="135311" y="171717"/>
                  <a:pt x="135459" y="171870"/>
                </a:cubicBezTo>
                <a:lnTo>
                  <a:pt x="135527" y="171938"/>
                </a:lnTo>
                <a:lnTo>
                  <a:pt x="135599" y="172001"/>
                </a:lnTo>
                <a:cubicBezTo>
                  <a:pt x="138396" y="174637"/>
                  <a:pt x="139991" y="178290"/>
                  <a:pt x="140015" y="182119"/>
                </a:cubicBezTo>
                <a:close/>
                <a:moveTo>
                  <a:pt x="23710" y="182704"/>
                </a:moveTo>
                <a:cubicBezTo>
                  <a:pt x="36749" y="169766"/>
                  <a:pt x="51591" y="168281"/>
                  <a:pt x="64683" y="166973"/>
                </a:cubicBezTo>
                <a:cubicBezTo>
                  <a:pt x="74733" y="165968"/>
                  <a:pt x="84224" y="165019"/>
                  <a:pt x="90591" y="158696"/>
                </a:cubicBezTo>
                <a:cubicBezTo>
                  <a:pt x="94840" y="153837"/>
                  <a:pt x="97684" y="147927"/>
                  <a:pt x="98820" y="141593"/>
                </a:cubicBezTo>
                <a:cubicBezTo>
                  <a:pt x="99656" y="137148"/>
                  <a:pt x="101431" y="132930"/>
                  <a:pt x="104030" y="129217"/>
                </a:cubicBezTo>
                <a:cubicBezTo>
                  <a:pt x="106995" y="125591"/>
                  <a:pt x="111341" y="123345"/>
                  <a:pt x="116034" y="123015"/>
                </a:cubicBezTo>
                <a:cubicBezTo>
                  <a:pt x="124955" y="122348"/>
                  <a:pt x="136607" y="127789"/>
                  <a:pt x="149809" y="138705"/>
                </a:cubicBezTo>
                <a:lnTo>
                  <a:pt x="127456" y="160114"/>
                </a:lnTo>
                <a:cubicBezTo>
                  <a:pt x="126569" y="159972"/>
                  <a:pt x="125675" y="159885"/>
                  <a:pt x="124777" y="159851"/>
                </a:cubicBezTo>
                <a:cubicBezTo>
                  <a:pt x="112220" y="159831"/>
                  <a:pt x="102023" y="169918"/>
                  <a:pt x="102002" y="182382"/>
                </a:cubicBezTo>
                <a:cubicBezTo>
                  <a:pt x="101981" y="194846"/>
                  <a:pt x="112145" y="204966"/>
                  <a:pt x="124703" y="204986"/>
                </a:cubicBezTo>
                <a:cubicBezTo>
                  <a:pt x="137261" y="205007"/>
                  <a:pt x="147458" y="194919"/>
                  <a:pt x="147478" y="182456"/>
                </a:cubicBezTo>
                <a:cubicBezTo>
                  <a:pt x="147480" y="181642"/>
                  <a:pt x="147436" y="180828"/>
                  <a:pt x="147349" y="180019"/>
                </a:cubicBezTo>
                <a:lnTo>
                  <a:pt x="169052" y="157785"/>
                </a:lnTo>
                <a:cubicBezTo>
                  <a:pt x="183228" y="174683"/>
                  <a:pt x="185597" y="185760"/>
                  <a:pt x="184989" y="192131"/>
                </a:cubicBezTo>
                <a:cubicBezTo>
                  <a:pt x="184634" y="196560"/>
                  <a:pt x="182428" y="200640"/>
                  <a:pt x="178906" y="203381"/>
                </a:cubicBezTo>
                <a:cubicBezTo>
                  <a:pt x="175159" y="205836"/>
                  <a:pt x="170971" y="207549"/>
                  <a:pt x="166570" y="208429"/>
                </a:cubicBezTo>
                <a:cubicBezTo>
                  <a:pt x="160101" y="209626"/>
                  <a:pt x="154073" y="212515"/>
                  <a:pt x="149106" y="216799"/>
                </a:cubicBezTo>
                <a:cubicBezTo>
                  <a:pt x="142736" y="223121"/>
                  <a:pt x="141784" y="232549"/>
                  <a:pt x="140771" y="242520"/>
                </a:cubicBezTo>
                <a:cubicBezTo>
                  <a:pt x="139452" y="255518"/>
                  <a:pt x="137960" y="270251"/>
                  <a:pt x="124925" y="283193"/>
                </a:cubicBezTo>
                <a:cubicBezTo>
                  <a:pt x="100124" y="307811"/>
                  <a:pt x="71212" y="303506"/>
                  <a:pt x="36595" y="270098"/>
                </a:cubicBezTo>
                <a:cubicBezTo>
                  <a:pt x="2884" y="235687"/>
                  <a:pt x="-1340" y="207098"/>
                  <a:pt x="23710" y="182704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66" name="Freeform: Shape 565">
            <a:extLst>
              <a:ext uri="{FF2B5EF4-FFF2-40B4-BE49-F238E27FC236}">
                <a16:creationId xmlns:a16="http://schemas.microsoft.com/office/drawing/2014/main" id="{87A861A4-F2BD-4BC4-832F-AB05F8BFCDD4}"/>
              </a:ext>
            </a:extLst>
          </xdr:cNvPr>
          <xdr:cNvSpPr/>
        </xdr:nvSpPr>
        <xdr:spPr>
          <a:xfrm>
            <a:off x="14571349" y="10563813"/>
            <a:ext cx="11335" cy="11250"/>
          </a:xfrm>
          <a:custGeom>
            <a:avLst/>
            <a:gdLst>
              <a:gd name="connsiteX0" fmla="*/ 0 w 11335"/>
              <a:gd name="connsiteY0" fmla="*/ 5625 h 11250"/>
              <a:gd name="connsiteX1" fmla="*/ 5668 w 11335"/>
              <a:gd name="connsiteY1" fmla="*/ 11250 h 11250"/>
              <a:gd name="connsiteX2" fmla="*/ 11335 w 11335"/>
              <a:gd name="connsiteY2" fmla="*/ 5625 h 11250"/>
              <a:gd name="connsiteX3" fmla="*/ 5668 w 11335"/>
              <a:gd name="connsiteY3" fmla="*/ 0 h 11250"/>
              <a:gd name="connsiteX4" fmla="*/ 0 w 11335"/>
              <a:gd name="connsiteY4" fmla="*/ 5625 h 1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335" h="11250">
                <a:moveTo>
                  <a:pt x="0" y="5625"/>
                </a:moveTo>
                <a:cubicBezTo>
                  <a:pt x="0" y="8732"/>
                  <a:pt x="2538" y="11250"/>
                  <a:pt x="5668" y="11250"/>
                </a:cubicBezTo>
                <a:cubicBezTo>
                  <a:pt x="8797" y="11250"/>
                  <a:pt x="11335" y="8732"/>
                  <a:pt x="11335" y="5625"/>
                </a:cubicBezTo>
                <a:cubicBezTo>
                  <a:pt x="11335" y="2518"/>
                  <a:pt x="8797" y="0"/>
                  <a:pt x="5668" y="0"/>
                </a:cubicBezTo>
                <a:cubicBezTo>
                  <a:pt x="2538" y="0"/>
                  <a:pt x="0" y="2518"/>
                  <a:pt x="0" y="56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67" name="Freeform: Shape 566">
            <a:extLst>
              <a:ext uri="{FF2B5EF4-FFF2-40B4-BE49-F238E27FC236}">
                <a16:creationId xmlns:a16="http://schemas.microsoft.com/office/drawing/2014/main" id="{236544E9-BEA3-4879-ACC3-09339F9F2B63}"/>
              </a:ext>
            </a:extLst>
          </xdr:cNvPr>
          <xdr:cNvSpPr/>
        </xdr:nvSpPr>
        <xdr:spPr>
          <a:xfrm>
            <a:off x="14611399" y="10603564"/>
            <a:ext cx="11335" cy="11250"/>
          </a:xfrm>
          <a:custGeom>
            <a:avLst/>
            <a:gdLst>
              <a:gd name="connsiteX0" fmla="*/ 11335 w 11335"/>
              <a:gd name="connsiteY0" fmla="*/ 5625 h 11250"/>
              <a:gd name="connsiteX1" fmla="*/ 5668 w 11335"/>
              <a:gd name="connsiteY1" fmla="*/ 0 h 11250"/>
              <a:gd name="connsiteX2" fmla="*/ 0 w 11335"/>
              <a:gd name="connsiteY2" fmla="*/ 5625 h 11250"/>
              <a:gd name="connsiteX3" fmla="*/ 5668 w 11335"/>
              <a:gd name="connsiteY3" fmla="*/ 11250 h 11250"/>
              <a:gd name="connsiteX4" fmla="*/ 11335 w 11335"/>
              <a:gd name="connsiteY4" fmla="*/ 5625 h 1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335" h="11250">
                <a:moveTo>
                  <a:pt x="11335" y="5625"/>
                </a:moveTo>
                <a:cubicBezTo>
                  <a:pt x="11335" y="2518"/>
                  <a:pt x="8797" y="0"/>
                  <a:pt x="5668" y="0"/>
                </a:cubicBezTo>
                <a:cubicBezTo>
                  <a:pt x="2538" y="0"/>
                  <a:pt x="0" y="2518"/>
                  <a:pt x="0" y="5625"/>
                </a:cubicBezTo>
                <a:cubicBezTo>
                  <a:pt x="0" y="8731"/>
                  <a:pt x="2538" y="11250"/>
                  <a:pt x="5668" y="11250"/>
                </a:cubicBezTo>
                <a:cubicBezTo>
                  <a:pt x="8797" y="11250"/>
                  <a:pt x="11335" y="8731"/>
                  <a:pt x="11335" y="56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68" name="Freeform: Shape 567">
            <a:extLst>
              <a:ext uri="{FF2B5EF4-FFF2-40B4-BE49-F238E27FC236}">
                <a16:creationId xmlns:a16="http://schemas.microsoft.com/office/drawing/2014/main" id="{4DA53650-E929-46AB-AEF5-C03D85AAFB45}"/>
              </a:ext>
            </a:extLst>
          </xdr:cNvPr>
          <xdr:cNvSpPr/>
        </xdr:nvSpPr>
        <xdr:spPr>
          <a:xfrm>
            <a:off x="14557747" y="10577313"/>
            <a:ext cx="11335" cy="11250"/>
          </a:xfrm>
          <a:custGeom>
            <a:avLst/>
            <a:gdLst>
              <a:gd name="connsiteX0" fmla="*/ 0 w 11335"/>
              <a:gd name="connsiteY0" fmla="*/ 5625 h 11250"/>
              <a:gd name="connsiteX1" fmla="*/ 5668 w 11335"/>
              <a:gd name="connsiteY1" fmla="*/ 11250 h 11250"/>
              <a:gd name="connsiteX2" fmla="*/ 11335 w 11335"/>
              <a:gd name="connsiteY2" fmla="*/ 5625 h 11250"/>
              <a:gd name="connsiteX3" fmla="*/ 5668 w 11335"/>
              <a:gd name="connsiteY3" fmla="*/ 0 h 11250"/>
              <a:gd name="connsiteX4" fmla="*/ 0 w 11335"/>
              <a:gd name="connsiteY4" fmla="*/ 5625 h 1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335" h="11250">
                <a:moveTo>
                  <a:pt x="0" y="5625"/>
                </a:moveTo>
                <a:cubicBezTo>
                  <a:pt x="0" y="8732"/>
                  <a:pt x="2538" y="11250"/>
                  <a:pt x="5668" y="11250"/>
                </a:cubicBezTo>
                <a:cubicBezTo>
                  <a:pt x="8797" y="11250"/>
                  <a:pt x="11335" y="8732"/>
                  <a:pt x="11335" y="5625"/>
                </a:cubicBezTo>
                <a:cubicBezTo>
                  <a:pt x="11335" y="2519"/>
                  <a:pt x="8797" y="0"/>
                  <a:pt x="5668" y="0"/>
                </a:cubicBezTo>
                <a:cubicBezTo>
                  <a:pt x="2538" y="0"/>
                  <a:pt x="0" y="2519"/>
                  <a:pt x="0" y="56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69" name="Freeform: Shape 568">
            <a:extLst>
              <a:ext uri="{FF2B5EF4-FFF2-40B4-BE49-F238E27FC236}">
                <a16:creationId xmlns:a16="http://schemas.microsoft.com/office/drawing/2014/main" id="{EEE01776-21F2-498B-A6A8-A0F13E83AAAB}"/>
              </a:ext>
            </a:extLst>
          </xdr:cNvPr>
          <xdr:cNvSpPr/>
        </xdr:nvSpPr>
        <xdr:spPr>
          <a:xfrm>
            <a:off x="14597793" y="10617079"/>
            <a:ext cx="11335" cy="11250"/>
          </a:xfrm>
          <a:custGeom>
            <a:avLst/>
            <a:gdLst>
              <a:gd name="connsiteX0" fmla="*/ 11335 w 11335"/>
              <a:gd name="connsiteY0" fmla="*/ 5625 h 11250"/>
              <a:gd name="connsiteX1" fmla="*/ 5668 w 11335"/>
              <a:gd name="connsiteY1" fmla="*/ 11250 h 11250"/>
              <a:gd name="connsiteX2" fmla="*/ 0 w 11335"/>
              <a:gd name="connsiteY2" fmla="*/ 5625 h 11250"/>
              <a:gd name="connsiteX3" fmla="*/ 5668 w 11335"/>
              <a:gd name="connsiteY3" fmla="*/ 0 h 11250"/>
              <a:gd name="connsiteX4" fmla="*/ 11335 w 11335"/>
              <a:gd name="connsiteY4" fmla="*/ 5625 h 11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335" h="11250">
                <a:moveTo>
                  <a:pt x="11335" y="5625"/>
                </a:moveTo>
                <a:cubicBezTo>
                  <a:pt x="11335" y="8732"/>
                  <a:pt x="8798" y="11250"/>
                  <a:pt x="5668" y="11250"/>
                </a:cubicBezTo>
                <a:cubicBezTo>
                  <a:pt x="2537" y="11250"/>
                  <a:pt x="0" y="8732"/>
                  <a:pt x="0" y="5625"/>
                </a:cubicBezTo>
                <a:cubicBezTo>
                  <a:pt x="0" y="2518"/>
                  <a:pt x="2537" y="0"/>
                  <a:pt x="5668" y="0"/>
                </a:cubicBezTo>
                <a:cubicBezTo>
                  <a:pt x="8798" y="0"/>
                  <a:pt x="11335" y="2518"/>
                  <a:pt x="11335" y="56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70" name="Freeform: Shape 569">
            <a:extLst>
              <a:ext uri="{FF2B5EF4-FFF2-40B4-BE49-F238E27FC236}">
                <a16:creationId xmlns:a16="http://schemas.microsoft.com/office/drawing/2014/main" id="{D36F6ACA-8AA8-4712-850A-28FF33828051}"/>
              </a:ext>
            </a:extLst>
          </xdr:cNvPr>
          <xdr:cNvSpPr/>
        </xdr:nvSpPr>
        <xdr:spPr>
          <a:xfrm rot="-2699759">
            <a:off x="14393569" y="10760481"/>
            <a:ext cx="7556" cy="52657"/>
          </a:xfrm>
          <a:custGeom>
            <a:avLst/>
            <a:gdLst>
              <a:gd name="connsiteX0" fmla="*/ 0 w 7556"/>
              <a:gd name="connsiteY0" fmla="*/ 0 h 52657"/>
              <a:gd name="connsiteX1" fmla="*/ 7557 w 7556"/>
              <a:gd name="connsiteY1" fmla="*/ 0 h 52657"/>
              <a:gd name="connsiteX2" fmla="*/ 7557 w 7556"/>
              <a:gd name="connsiteY2" fmla="*/ 52657 h 52657"/>
              <a:gd name="connsiteX3" fmla="*/ 0 w 7556"/>
              <a:gd name="connsiteY3" fmla="*/ 52657 h 526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556" h="52657">
                <a:moveTo>
                  <a:pt x="0" y="0"/>
                </a:moveTo>
                <a:lnTo>
                  <a:pt x="7557" y="0"/>
                </a:lnTo>
                <a:lnTo>
                  <a:pt x="7557" y="52657"/>
                </a:lnTo>
                <a:lnTo>
                  <a:pt x="0" y="52657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8</xdr:col>
      <xdr:colOff>126548</xdr:colOff>
      <xdr:row>15</xdr:row>
      <xdr:rowOff>201482</xdr:rowOff>
    </xdr:from>
    <xdr:to>
      <xdr:col>8</xdr:col>
      <xdr:colOff>452619</xdr:colOff>
      <xdr:row>15</xdr:row>
      <xdr:rowOff>349981</xdr:rowOff>
    </xdr:to>
    <xdr:grpSp>
      <xdr:nvGrpSpPr>
        <xdr:cNvPr id="571" name="music" descr="Music notation outline">
          <a:extLst>
            <a:ext uri="{FF2B5EF4-FFF2-40B4-BE49-F238E27FC236}">
              <a16:creationId xmlns:a16="http://schemas.microsoft.com/office/drawing/2014/main" id="{5A08110A-6D62-4337-BDF9-8F3811DE9952}"/>
            </a:ext>
          </a:extLst>
        </xdr:cNvPr>
        <xdr:cNvGrpSpPr>
          <a:grpSpLocks noChangeAspect="1"/>
        </xdr:cNvGrpSpPr>
      </xdr:nvGrpSpPr>
      <xdr:grpSpPr>
        <a:xfrm>
          <a:off x="7241723" y="7497632"/>
          <a:ext cx="326071" cy="148499"/>
          <a:chOff x="11116923" y="10636564"/>
          <a:chExt cx="326071" cy="148499"/>
        </a:xfrm>
        <a:solidFill>
          <a:srgbClr val="1F4E78"/>
        </a:solidFill>
      </xdr:grpSpPr>
      <xdr:sp macro="" textlink="">
        <xdr:nvSpPr>
          <xdr:cNvPr id="572" name="Freeform: Shape 571">
            <a:extLst>
              <a:ext uri="{FF2B5EF4-FFF2-40B4-BE49-F238E27FC236}">
                <a16:creationId xmlns:a16="http://schemas.microsoft.com/office/drawing/2014/main" id="{F07E21B9-CAE3-4538-B7C2-410B4E79D000}"/>
              </a:ext>
            </a:extLst>
          </xdr:cNvPr>
          <xdr:cNvSpPr/>
        </xdr:nvSpPr>
        <xdr:spPr>
          <a:xfrm>
            <a:off x="11184933" y="10686064"/>
            <a:ext cx="42317" cy="9749"/>
          </a:xfrm>
          <a:custGeom>
            <a:avLst/>
            <a:gdLst>
              <a:gd name="connsiteX0" fmla="*/ 42317 w 42317"/>
              <a:gd name="connsiteY0" fmla="*/ 0 h 9749"/>
              <a:gd name="connsiteX1" fmla="*/ 0 w 42317"/>
              <a:gd name="connsiteY1" fmla="*/ 6000 h 9749"/>
              <a:gd name="connsiteX2" fmla="*/ 0 w 42317"/>
              <a:gd name="connsiteY2" fmla="*/ 9750 h 9749"/>
              <a:gd name="connsiteX3" fmla="*/ 42317 w 42317"/>
              <a:gd name="connsiteY3" fmla="*/ 3750 h 9749"/>
              <a:gd name="connsiteX4" fmla="*/ 42317 w 42317"/>
              <a:gd name="connsiteY4" fmla="*/ 0 h 974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42317" h="9749">
                <a:moveTo>
                  <a:pt x="42317" y="0"/>
                </a:moveTo>
                <a:cubicBezTo>
                  <a:pt x="27582" y="1500"/>
                  <a:pt x="13224" y="3375"/>
                  <a:pt x="0" y="6000"/>
                </a:cubicBezTo>
                <a:lnTo>
                  <a:pt x="0" y="9750"/>
                </a:lnTo>
                <a:cubicBezTo>
                  <a:pt x="13224" y="7125"/>
                  <a:pt x="27582" y="4875"/>
                  <a:pt x="42317" y="3750"/>
                </a:cubicBezTo>
                <a:lnTo>
                  <a:pt x="42317" y="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73" name="Freeform: Shape 572">
            <a:extLst>
              <a:ext uri="{FF2B5EF4-FFF2-40B4-BE49-F238E27FC236}">
                <a16:creationId xmlns:a16="http://schemas.microsoft.com/office/drawing/2014/main" id="{AC74079A-CE34-4429-9417-F7534DF8BC18}"/>
              </a:ext>
            </a:extLst>
          </xdr:cNvPr>
          <xdr:cNvSpPr/>
        </xdr:nvSpPr>
        <xdr:spPr>
          <a:xfrm>
            <a:off x="11310752" y="10706689"/>
            <a:ext cx="23425" cy="5249"/>
          </a:xfrm>
          <a:custGeom>
            <a:avLst/>
            <a:gdLst>
              <a:gd name="connsiteX0" fmla="*/ 23426 w 23425"/>
              <a:gd name="connsiteY0" fmla="*/ 1875 h 5249"/>
              <a:gd name="connsiteX1" fmla="*/ 0 w 23425"/>
              <a:gd name="connsiteY1" fmla="*/ 0 h 5249"/>
              <a:gd name="connsiteX2" fmla="*/ 2645 w 23425"/>
              <a:gd name="connsiteY2" fmla="*/ 3750 h 5249"/>
              <a:gd name="connsiteX3" fmla="*/ 20403 w 23425"/>
              <a:gd name="connsiteY3" fmla="*/ 5250 h 5249"/>
              <a:gd name="connsiteX4" fmla="*/ 23426 w 23425"/>
              <a:gd name="connsiteY4" fmla="*/ 1875 h 524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3425" h="5249">
                <a:moveTo>
                  <a:pt x="23426" y="1875"/>
                </a:moveTo>
                <a:cubicBezTo>
                  <a:pt x="15869" y="1125"/>
                  <a:pt x="7935" y="375"/>
                  <a:pt x="0" y="0"/>
                </a:cubicBezTo>
                <a:cubicBezTo>
                  <a:pt x="756" y="1125"/>
                  <a:pt x="1889" y="2625"/>
                  <a:pt x="2645" y="3750"/>
                </a:cubicBezTo>
                <a:cubicBezTo>
                  <a:pt x="8690" y="4125"/>
                  <a:pt x="14736" y="4500"/>
                  <a:pt x="20403" y="5250"/>
                </a:cubicBezTo>
                <a:cubicBezTo>
                  <a:pt x="20781" y="4125"/>
                  <a:pt x="21914" y="3000"/>
                  <a:pt x="23426" y="187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74" name="Freeform: Shape 573">
            <a:extLst>
              <a:ext uri="{FF2B5EF4-FFF2-40B4-BE49-F238E27FC236}">
                <a16:creationId xmlns:a16="http://schemas.microsoft.com/office/drawing/2014/main" id="{398F74BD-6F88-42B0-99F0-BDF96A078E27}"/>
              </a:ext>
            </a:extLst>
          </xdr:cNvPr>
          <xdr:cNvSpPr/>
        </xdr:nvSpPr>
        <xdr:spPr>
          <a:xfrm>
            <a:off x="11249920" y="10683439"/>
            <a:ext cx="25692" cy="4500"/>
          </a:xfrm>
          <a:custGeom>
            <a:avLst/>
            <a:gdLst>
              <a:gd name="connsiteX0" fmla="*/ 0 w 25692"/>
              <a:gd name="connsiteY0" fmla="*/ 4500 h 4500"/>
              <a:gd name="connsiteX1" fmla="*/ 25693 w 25692"/>
              <a:gd name="connsiteY1" fmla="*/ 3750 h 4500"/>
              <a:gd name="connsiteX2" fmla="*/ 25693 w 25692"/>
              <a:gd name="connsiteY2" fmla="*/ 0 h 4500"/>
              <a:gd name="connsiteX3" fmla="*/ 0 w 25692"/>
              <a:gd name="connsiteY3" fmla="*/ 750 h 4500"/>
              <a:gd name="connsiteX4" fmla="*/ 0 w 25692"/>
              <a:gd name="connsiteY4" fmla="*/ 4500 h 4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5692" h="4500">
                <a:moveTo>
                  <a:pt x="0" y="4500"/>
                </a:moveTo>
                <a:cubicBezTo>
                  <a:pt x="8312" y="4125"/>
                  <a:pt x="17003" y="3750"/>
                  <a:pt x="25693" y="3750"/>
                </a:cubicBezTo>
                <a:lnTo>
                  <a:pt x="25693" y="0"/>
                </a:lnTo>
                <a:cubicBezTo>
                  <a:pt x="17003" y="0"/>
                  <a:pt x="8312" y="375"/>
                  <a:pt x="0" y="750"/>
                </a:cubicBezTo>
                <a:lnTo>
                  <a:pt x="0" y="450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75" name="Freeform: Shape 574">
            <a:extLst>
              <a:ext uri="{FF2B5EF4-FFF2-40B4-BE49-F238E27FC236}">
                <a16:creationId xmlns:a16="http://schemas.microsoft.com/office/drawing/2014/main" id="{8B6EDB25-BF40-4477-B1D7-E9AF4FCF6D4E}"/>
              </a:ext>
            </a:extLst>
          </xdr:cNvPr>
          <xdr:cNvSpPr/>
        </xdr:nvSpPr>
        <xdr:spPr>
          <a:xfrm>
            <a:off x="11184933" y="10663564"/>
            <a:ext cx="42317" cy="9749"/>
          </a:xfrm>
          <a:custGeom>
            <a:avLst/>
            <a:gdLst>
              <a:gd name="connsiteX0" fmla="*/ 42317 w 42317"/>
              <a:gd name="connsiteY0" fmla="*/ 0 h 9749"/>
              <a:gd name="connsiteX1" fmla="*/ 0 w 42317"/>
              <a:gd name="connsiteY1" fmla="*/ 6000 h 9749"/>
              <a:gd name="connsiteX2" fmla="*/ 0 w 42317"/>
              <a:gd name="connsiteY2" fmla="*/ 9750 h 9749"/>
              <a:gd name="connsiteX3" fmla="*/ 42317 w 42317"/>
              <a:gd name="connsiteY3" fmla="*/ 3750 h 9749"/>
              <a:gd name="connsiteX4" fmla="*/ 42317 w 42317"/>
              <a:gd name="connsiteY4" fmla="*/ 0 h 974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42317" h="9749">
                <a:moveTo>
                  <a:pt x="42317" y="0"/>
                </a:moveTo>
                <a:cubicBezTo>
                  <a:pt x="27582" y="1500"/>
                  <a:pt x="13224" y="3375"/>
                  <a:pt x="0" y="6000"/>
                </a:cubicBezTo>
                <a:lnTo>
                  <a:pt x="0" y="9750"/>
                </a:lnTo>
                <a:cubicBezTo>
                  <a:pt x="13224" y="7125"/>
                  <a:pt x="27582" y="4875"/>
                  <a:pt x="42317" y="3750"/>
                </a:cubicBezTo>
                <a:lnTo>
                  <a:pt x="42317" y="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76" name="Freeform: Shape 575">
            <a:extLst>
              <a:ext uri="{FF2B5EF4-FFF2-40B4-BE49-F238E27FC236}">
                <a16:creationId xmlns:a16="http://schemas.microsoft.com/office/drawing/2014/main" id="{DFBB015E-4F11-40DC-AE87-ED5171ECAFD6}"/>
              </a:ext>
            </a:extLst>
          </xdr:cNvPr>
          <xdr:cNvSpPr/>
        </xdr:nvSpPr>
        <xdr:spPr>
          <a:xfrm>
            <a:off x="11317930" y="10729563"/>
            <a:ext cx="9823" cy="4500"/>
          </a:xfrm>
          <a:custGeom>
            <a:avLst/>
            <a:gdLst>
              <a:gd name="connsiteX0" fmla="*/ 0 w 9823"/>
              <a:gd name="connsiteY0" fmla="*/ 0 h 4500"/>
              <a:gd name="connsiteX1" fmla="*/ 0 w 9823"/>
              <a:gd name="connsiteY1" fmla="*/ 3750 h 4500"/>
              <a:gd name="connsiteX2" fmla="*/ 9824 w 9823"/>
              <a:gd name="connsiteY2" fmla="*/ 4500 h 4500"/>
              <a:gd name="connsiteX3" fmla="*/ 9446 w 9823"/>
              <a:gd name="connsiteY3" fmla="*/ 3375 h 4500"/>
              <a:gd name="connsiteX4" fmla="*/ 8690 w 9823"/>
              <a:gd name="connsiteY4" fmla="*/ 375 h 4500"/>
              <a:gd name="connsiteX5" fmla="*/ 0 w 9823"/>
              <a:gd name="connsiteY5" fmla="*/ 0 h 4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9823" h="4500">
                <a:moveTo>
                  <a:pt x="0" y="0"/>
                </a:moveTo>
                <a:cubicBezTo>
                  <a:pt x="0" y="1125"/>
                  <a:pt x="0" y="2625"/>
                  <a:pt x="0" y="3750"/>
                </a:cubicBezTo>
                <a:cubicBezTo>
                  <a:pt x="3401" y="4125"/>
                  <a:pt x="6423" y="4125"/>
                  <a:pt x="9824" y="4500"/>
                </a:cubicBezTo>
                <a:cubicBezTo>
                  <a:pt x="9824" y="4125"/>
                  <a:pt x="9446" y="3750"/>
                  <a:pt x="9446" y="3375"/>
                </a:cubicBezTo>
                <a:cubicBezTo>
                  <a:pt x="9068" y="2625"/>
                  <a:pt x="8690" y="1500"/>
                  <a:pt x="8690" y="375"/>
                </a:cubicBezTo>
                <a:cubicBezTo>
                  <a:pt x="5290" y="750"/>
                  <a:pt x="2645" y="375"/>
                  <a:pt x="0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77" name="Freeform: Shape 576">
            <a:extLst>
              <a:ext uri="{FF2B5EF4-FFF2-40B4-BE49-F238E27FC236}">
                <a16:creationId xmlns:a16="http://schemas.microsoft.com/office/drawing/2014/main" id="{AA5DA005-24ED-4F96-8799-1664C1073BE5}"/>
              </a:ext>
            </a:extLst>
          </xdr:cNvPr>
          <xdr:cNvSpPr/>
        </xdr:nvSpPr>
        <xdr:spPr>
          <a:xfrm>
            <a:off x="11184933" y="10712314"/>
            <a:ext cx="13224" cy="5999"/>
          </a:xfrm>
          <a:custGeom>
            <a:avLst/>
            <a:gdLst>
              <a:gd name="connsiteX0" fmla="*/ 0 w 13224"/>
              <a:gd name="connsiteY0" fmla="*/ 6000 h 5999"/>
              <a:gd name="connsiteX1" fmla="*/ 12846 w 13224"/>
              <a:gd name="connsiteY1" fmla="*/ 3750 h 5999"/>
              <a:gd name="connsiteX2" fmla="*/ 13224 w 13224"/>
              <a:gd name="connsiteY2" fmla="*/ 0 h 5999"/>
              <a:gd name="connsiteX3" fmla="*/ 0 w 13224"/>
              <a:gd name="connsiteY3" fmla="*/ 2250 h 5999"/>
              <a:gd name="connsiteX4" fmla="*/ 0 w 13224"/>
              <a:gd name="connsiteY4" fmla="*/ 6000 h 59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3224" h="5999">
                <a:moveTo>
                  <a:pt x="0" y="6000"/>
                </a:moveTo>
                <a:cubicBezTo>
                  <a:pt x="4156" y="5250"/>
                  <a:pt x="8690" y="4500"/>
                  <a:pt x="12846" y="3750"/>
                </a:cubicBezTo>
                <a:cubicBezTo>
                  <a:pt x="12846" y="2625"/>
                  <a:pt x="12846" y="1125"/>
                  <a:pt x="13224" y="0"/>
                </a:cubicBezTo>
                <a:cubicBezTo>
                  <a:pt x="8690" y="750"/>
                  <a:pt x="4156" y="1500"/>
                  <a:pt x="0" y="2250"/>
                </a:cubicBezTo>
                <a:lnTo>
                  <a:pt x="0" y="600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78" name="Freeform: Shape 577">
            <a:extLst>
              <a:ext uri="{FF2B5EF4-FFF2-40B4-BE49-F238E27FC236}">
                <a16:creationId xmlns:a16="http://schemas.microsoft.com/office/drawing/2014/main" id="{33D2777D-DCD6-4817-91FE-CFA2C6227D4A}"/>
              </a:ext>
            </a:extLst>
          </xdr:cNvPr>
          <xdr:cNvSpPr/>
        </xdr:nvSpPr>
        <xdr:spPr>
          <a:xfrm>
            <a:off x="11249920" y="10660939"/>
            <a:ext cx="105037" cy="9000"/>
          </a:xfrm>
          <a:custGeom>
            <a:avLst/>
            <a:gdLst>
              <a:gd name="connsiteX0" fmla="*/ 105038 w 105037"/>
              <a:gd name="connsiteY0" fmla="*/ 9000 h 9000"/>
              <a:gd name="connsiteX1" fmla="*/ 105038 w 105037"/>
              <a:gd name="connsiteY1" fmla="*/ 5250 h 9000"/>
              <a:gd name="connsiteX2" fmla="*/ 30227 w 105037"/>
              <a:gd name="connsiteY2" fmla="*/ 0 h 9000"/>
              <a:gd name="connsiteX3" fmla="*/ 0 w 105037"/>
              <a:gd name="connsiteY3" fmla="*/ 750 h 9000"/>
              <a:gd name="connsiteX4" fmla="*/ 0 w 105037"/>
              <a:gd name="connsiteY4" fmla="*/ 4500 h 9000"/>
              <a:gd name="connsiteX5" fmla="*/ 30227 w 105037"/>
              <a:gd name="connsiteY5" fmla="*/ 3750 h 9000"/>
              <a:gd name="connsiteX6" fmla="*/ 105038 w 105037"/>
              <a:gd name="connsiteY6" fmla="*/ 9000 h 9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05037" h="9000">
                <a:moveTo>
                  <a:pt x="105038" y="9000"/>
                </a:moveTo>
                <a:lnTo>
                  <a:pt x="105038" y="5250"/>
                </a:lnTo>
                <a:cubicBezTo>
                  <a:pt x="80101" y="1875"/>
                  <a:pt x="55164" y="0"/>
                  <a:pt x="30227" y="0"/>
                </a:cubicBezTo>
                <a:cubicBezTo>
                  <a:pt x="20025" y="0"/>
                  <a:pt x="9824" y="375"/>
                  <a:pt x="0" y="750"/>
                </a:cubicBezTo>
                <a:lnTo>
                  <a:pt x="0" y="4500"/>
                </a:lnTo>
                <a:cubicBezTo>
                  <a:pt x="9824" y="4125"/>
                  <a:pt x="20025" y="3750"/>
                  <a:pt x="30227" y="3750"/>
                </a:cubicBezTo>
                <a:cubicBezTo>
                  <a:pt x="55164" y="3750"/>
                  <a:pt x="80101" y="5625"/>
                  <a:pt x="105038" y="90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79" name="Freeform: Shape 578">
            <a:extLst>
              <a:ext uri="{FF2B5EF4-FFF2-40B4-BE49-F238E27FC236}">
                <a16:creationId xmlns:a16="http://schemas.microsoft.com/office/drawing/2014/main" id="{C787EE8A-33C8-419B-B7F7-4272AAE062DE}"/>
              </a:ext>
            </a:extLst>
          </xdr:cNvPr>
          <xdr:cNvSpPr/>
        </xdr:nvSpPr>
        <xdr:spPr>
          <a:xfrm>
            <a:off x="11377628" y="10669939"/>
            <a:ext cx="65365" cy="24375"/>
          </a:xfrm>
          <a:custGeom>
            <a:avLst/>
            <a:gdLst>
              <a:gd name="connsiteX0" fmla="*/ 0 w 65365"/>
              <a:gd name="connsiteY0" fmla="*/ 0 h 24375"/>
              <a:gd name="connsiteX1" fmla="*/ 0 w 65365"/>
              <a:gd name="connsiteY1" fmla="*/ 3750 h 24375"/>
              <a:gd name="connsiteX2" fmla="*/ 63476 w 65365"/>
              <a:gd name="connsiteY2" fmla="*/ 24375 h 24375"/>
              <a:gd name="connsiteX3" fmla="*/ 65365 w 65365"/>
              <a:gd name="connsiteY3" fmla="*/ 21000 h 24375"/>
              <a:gd name="connsiteX4" fmla="*/ 0 w 65365"/>
              <a:gd name="connsiteY4" fmla="*/ 0 h 24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5365" h="24375">
                <a:moveTo>
                  <a:pt x="0" y="0"/>
                </a:moveTo>
                <a:lnTo>
                  <a:pt x="0" y="3750"/>
                </a:lnTo>
                <a:cubicBezTo>
                  <a:pt x="21914" y="7875"/>
                  <a:pt x="43451" y="14625"/>
                  <a:pt x="63476" y="24375"/>
                </a:cubicBezTo>
                <a:lnTo>
                  <a:pt x="65365" y="21000"/>
                </a:lnTo>
                <a:cubicBezTo>
                  <a:pt x="44584" y="11250"/>
                  <a:pt x="22670" y="4125"/>
                  <a:pt x="0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80" name="Freeform: Shape 579">
            <a:extLst>
              <a:ext uri="{FF2B5EF4-FFF2-40B4-BE49-F238E27FC236}">
                <a16:creationId xmlns:a16="http://schemas.microsoft.com/office/drawing/2014/main" id="{9502687C-827F-4B28-A195-9F9C9E20624B}"/>
              </a:ext>
            </a:extLst>
          </xdr:cNvPr>
          <xdr:cNvSpPr/>
        </xdr:nvSpPr>
        <xdr:spPr>
          <a:xfrm>
            <a:off x="11249920" y="10705939"/>
            <a:ext cx="25692" cy="4500"/>
          </a:xfrm>
          <a:custGeom>
            <a:avLst/>
            <a:gdLst>
              <a:gd name="connsiteX0" fmla="*/ 25693 w 25692"/>
              <a:gd name="connsiteY0" fmla="*/ 0 h 4500"/>
              <a:gd name="connsiteX1" fmla="*/ 0 w 25692"/>
              <a:gd name="connsiteY1" fmla="*/ 750 h 4500"/>
              <a:gd name="connsiteX2" fmla="*/ 0 w 25692"/>
              <a:gd name="connsiteY2" fmla="*/ 1875 h 4500"/>
              <a:gd name="connsiteX3" fmla="*/ 0 w 25692"/>
              <a:gd name="connsiteY3" fmla="*/ 2625 h 4500"/>
              <a:gd name="connsiteX4" fmla="*/ 0 w 25692"/>
              <a:gd name="connsiteY4" fmla="*/ 4500 h 4500"/>
              <a:gd name="connsiteX5" fmla="*/ 25693 w 25692"/>
              <a:gd name="connsiteY5" fmla="*/ 3750 h 4500"/>
              <a:gd name="connsiteX6" fmla="*/ 25693 w 25692"/>
              <a:gd name="connsiteY6" fmla="*/ 0 h 4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5692" h="4500">
                <a:moveTo>
                  <a:pt x="25693" y="0"/>
                </a:moveTo>
                <a:cubicBezTo>
                  <a:pt x="17003" y="0"/>
                  <a:pt x="8312" y="375"/>
                  <a:pt x="0" y="750"/>
                </a:cubicBezTo>
                <a:lnTo>
                  <a:pt x="0" y="1875"/>
                </a:lnTo>
                <a:cubicBezTo>
                  <a:pt x="0" y="2250"/>
                  <a:pt x="0" y="2625"/>
                  <a:pt x="0" y="2625"/>
                </a:cubicBezTo>
                <a:cubicBezTo>
                  <a:pt x="0" y="3375"/>
                  <a:pt x="0" y="3750"/>
                  <a:pt x="0" y="4500"/>
                </a:cubicBezTo>
                <a:cubicBezTo>
                  <a:pt x="8312" y="4125"/>
                  <a:pt x="17003" y="3750"/>
                  <a:pt x="25693" y="3750"/>
                </a:cubicBezTo>
                <a:lnTo>
                  <a:pt x="25693" y="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81" name="Freeform: Shape 580">
            <a:extLst>
              <a:ext uri="{FF2B5EF4-FFF2-40B4-BE49-F238E27FC236}">
                <a16:creationId xmlns:a16="http://schemas.microsoft.com/office/drawing/2014/main" id="{8114DA95-8D66-498A-8629-7E9661EB88A1}"/>
              </a:ext>
            </a:extLst>
          </xdr:cNvPr>
          <xdr:cNvSpPr/>
        </xdr:nvSpPr>
        <xdr:spPr>
          <a:xfrm>
            <a:off x="11366293" y="10735939"/>
            <a:ext cx="76700" cy="25875"/>
          </a:xfrm>
          <a:custGeom>
            <a:avLst/>
            <a:gdLst>
              <a:gd name="connsiteX0" fmla="*/ 3778 w 76700"/>
              <a:gd name="connsiteY0" fmla="*/ 0 h 25875"/>
              <a:gd name="connsiteX1" fmla="*/ 0 w 76700"/>
              <a:gd name="connsiteY1" fmla="*/ 3000 h 25875"/>
              <a:gd name="connsiteX2" fmla="*/ 74811 w 76700"/>
              <a:gd name="connsiteY2" fmla="*/ 25875 h 25875"/>
              <a:gd name="connsiteX3" fmla="*/ 76700 w 76700"/>
              <a:gd name="connsiteY3" fmla="*/ 22500 h 25875"/>
              <a:gd name="connsiteX4" fmla="*/ 3778 w 76700"/>
              <a:gd name="connsiteY4" fmla="*/ 0 h 258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6700" h="25875">
                <a:moveTo>
                  <a:pt x="3778" y="0"/>
                </a:moveTo>
                <a:cubicBezTo>
                  <a:pt x="2645" y="1125"/>
                  <a:pt x="1511" y="2250"/>
                  <a:pt x="0" y="3000"/>
                </a:cubicBezTo>
                <a:cubicBezTo>
                  <a:pt x="29471" y="8250"/>
                  <a:pt x="55542" y="15750"/>
                  <a:pt x="74811" y="25875"/>
                </a:cubicBezTo>
                <a:lnTo>
                  <a:pt x="76700" y="22500"/>
                </a:lnTo>
                <a:cubicBezTo>
                  <a:pt x="53275" y="11625"/>
                  <a:pt x="29093" y="4125"/>
                  <a:pt x="3778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82" name="Freeform: Shape 581">
            <a:extLst>
              <a:ext uri="{FF2B5EF4-FFF2-40B4-BE49-F238E27FC236}">
                <a16:creationId xmlns:a16="http://schemas.microsoft.com/office/drawing/2014/main" id="{485995AA-CEB6-43CB-8062-690899D2EFA2}"/>
              </a:ext>
            </a:extLst>
          </xdr:cNvPr>
          <xdr:cNvSpPr/>
        </xdr:nvSpPr>
        <xdr:spPr>
          <a:xfrm>
            <a:off x="11298283" y="10752063"/>
            <a:ext cx="144332" cy="32999"/>
          </a:xfrm>
          <a:custGeom>
            <a:avLst/>
            <a:gdLst>
              <a:gd name="connsiteX0" fmla="*/ 144333 w 144332"/>
              <a:gd name="connsiteY0" fmla="*/ 29250 h 32999"/>
              <a:gd name="connsiteX1" fmla="*/ 11335 w 144332"/>
              <a:gd name="connsiteY1" fmla="*/ 0 h 32999"/>
              <a:gd name="connsiteX2" fmla="*/ 0 w 144332"/>
              <a:gd name="connsiteY2" fmla="*/ 375 h 32999"/>
              <a:gd name="connsiteX3" fmla="*/ 0 w 144332"/>
              <a:gd name="connsiteY3" fmla="*/ 3375 h 32999"/>
              <a:gd name="connsiteX4" fmla="*/ 142821 w 144332"/>
              <a:gd name="connsiteY4" fmla="*/ 33000 h 32999"/>
              <a:gd name="connsiteX5" fmla="*/ 144333 w 144332"/>
              <a:gd name="connsiteY5" fmla="*/ 29250 h 329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44332" h="32999">
                <a:moveTo>
                  <a:pt x="144333" y="29250"/>
                </a:moveTo>
                <a:cubicBezTo>
                  <a:pt x="112972" y="13125"/>
                  <a:pt x="64610" y="2625"/>
                  <a:pt x="11335" y="0"/>
                </a:cubicBezTo>
                <a:cubicBezTo>
                  <a:pt x="7935" y="2250"/>
                  <a:pt x="3401" y="2250"/>
                  <a:pt x="0" y="375"/>
                </a:cubicBezTo>
                <a:lnTo>
                  <a:pt x="0" y="3375"/>
                </a:lnTo>
                <a:cubicBezTo>
                  <a:pt x="57431" y="5250"/>
                  <a:pt x="109950" y="16125"/>
                  <a:pt x="142821" y="33000"/>
                </a:cubicBezTo>
                <a:lnTo>
                  <a:pt x="144333" y="2925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83" name="Freeform: Shape 582">
            <a:extLst>
              <a:ext uri="{FF2B5EF4-FFF2-40B4-BE49-F238E27FC236}">
                <a16:creationId xmlns:a16="http://schemas.microsoft.com/office/drawing/2014/main" id="{031B7F00-252F-40C7-AA95-7CA625129D25}"/>
              </a:ext>
            </a:extLst>
          </xdr:cNvPr>
          <xdr:cNvSpPr/>
        </xdr:nvSpPr>
        <xdr:spPr>
          <a:xfrm>
            <a:off x="11116923" y="10751689"/>
            <a:ext cx="136020" cy="33374"/>
          </a:xfrm>
          <a:custGeom>
            <a:avLst/>
            <a:gdLst>
              <a:gd name="connsiteX0" fmla="*/ 132998 w 136020"/>
              <a:gd name="connsiteY0" fmla="*/ 3750 h 33374"/>
              <a:gd name="connsiteX1" fmla="*/ 136020 w 136020"/>
              <a:gd name="connsiteY1" fmla="*/ 0 h 33374"/>
              <a:gd name="connsiteX2" fmla="*/ 0 w 136020"/>
              <a:gd name="connsiteY2" fmla="*/ 30000 h 33374"/>
              <a:gd name="connsiteX3" fmla="*/ 1889 w 136020"/>
              <a:gd name="connsiteY3" fmla="*/ 33375 h 33374"/>
              <a:gd name="connsiteX4" fmla="*/ 132998 w 136020"/>
              <a:gd name="connsiteY4" fmla="*/ 3750 h 3337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36020" h="33374">
                <a:moveTo>
                  <a:pt x="132998" y="3750"/>
                </a:moveTo>
                <a:cubicBezTo>
                  <a:pt x="133753" y="2250"/>
                  <a:pt x="134887" y="1125"/>
                  <a:pt x="136020" y="0"/>
                </a:cubicBezTo>
                <a:cubicBezTo>
                  <a:pt x="81234" y="2625"/>
                  <a:pt x="31738" y="13500"/>
                  <a:pt x="0" y="30000"/>
                </a:cubicBezTo>
                <a:lnTo>
                  <a:pt x="1889" y="33375"/>
                </a:lnTo>
                <a:cubicBezTo>
                  <a:pt x="32116" y="17250"/>
                  <a:pt x="80101" y="6750"/>
                  <a:pt x="132998" y="37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84" name="Freeform: Shape 583">
            <a:extLst>
              <a:ext uri="{FF2B5EF4-FFF2-40B4-BE49-F238E27FC236}">
                <a16:creationId xmlns:a16="http://schemas.microsoft.com/office/drawing/2014/main" id="{3BF69A67-563C-4660-95D3-700615F08CDE}"/>
              </a:ext>
            </a:extLst>
          </xdr:cNvPr>
          <xdr:cNvSpPr/>
        </xdr:nvSpPr>
        <xdr:spPr>
          <a:xfrm>
            <a:off x="11377628" y="10714939"/>
            <a:ext cx="65365" cy="24375"/>
          </a:xfrm>
          <a:custGeom>
            <a:avLst/>
            <a:gdLst>
              <a:gd name="connsiteX0" fmla="*/ 0 w 65365"/>
              <a:gd name="connsiteY0" fmla="*/ 0 h 24375"/>
              <a:gd name="connsiteX1" fmla="*/ 0 w 65365"/>
              <a:gd name="connsiteY1" fmla="*/ 3750 h 24375"/>
              <a:gd name="connsiteX2" fmla="*/ 63476 w 65365"/>
              <a:gd name="connsiteY2" fmla="*/ 24375 h 24375"/>
              <a:gd name="connsiteX3" fmla="*/ 65365 w 65365"/>
              <a:gd name="connsiteY3" fmla="*/ 21000 h 24375"/>
              <a:gd name="connsiteX4" fmla="*/ 0 w 65365"/>
              <a:gd name="connsiteY4" fmla="*/ 0 h 24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5365" h="24375">
                <a:moveTo>
                  <a:pt x="0" y="0"/>
                </a:moveTo>
                <a:lnTo>
                  <a:pt x="0" y="3750"/>
                </a:lnTo>
                <a:cubicBezTo>
                  <a:pt x="21914" y="7875"/>
                  <a:pt x="43451" y="14625"/>
                  <a:pt x="63476" y="24375"/>
                </a:cubicBezTo>
                <a:lnTo>
                  <a:pt x="65365" y="21000"/>
                </a:lnTo>
                <a:cubicBezTo>
                  <a:pt x="44584" y="11250"/>
                  <a:pt x="22670" y="4125"/>
                  <a:pt x="0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85" name="Freeform: Shape 584">
            <a:extLst>
              <a:ext uri="{FF2B5EF4-FFF2-40B4-BE49-F238E27FC236}">
                <a16:creationId xmlns:a16="http://schemas.microsoft.com/office/drawing/2014/main" id="{E5A0FE80-BDA3-475C-8883-D0CB58A22328}"/>
              </a:ext>
            </a:extLst>
          </xdr:cNvPr>
          <xdr:cNvSpPr/>
        </xdr:nvSpPr>
        <xdr:spPr>
          <a:xfrm>
            <a:off x="11377628" y="10692439"/>
            <a:ext cx="65365" cy="24375"/>
          </a:xfrm>
          <a:custGeom>
            <a:avLst/>
            <a:gdLst>
              <a:gd name="connsiteX0" fmla="*/ 0 w 65365"/>
              <a:gd name="connsiteY0" fmla="*/ 0 h 24375"/>
              <a:gd name="connsiteX1" fmla="*/ 0 w 65365"/>
              <a:gd name="connsiteY1" fmla="*/ 3750 h 24375"/>
              <a:gd name="connsiteX2" fmla="*/ 63476 w 65365"/>
              <a:gd name="connsiteY2" fmla="*/ 24375 h 24375"/>
              <a:gd name="connsiteX3" fmla="*/ 65365 w 65365"/>
              <a:gd name="connsiteY3" fmla="*/ 21000 h 24375"/>
              <a:gd name="connsiteX4" fmla="*/ 0 w 65365"/>
              <a:gd name="connsiteY4" fmla="*/ 0 h 24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5365" h="24375">
                <a:moveTo>
                  <a:pt x="0" y="0"/>
                </a:moveTo>
                <a:lnTo>
                  <a:pt x="0" y="3750"/>
                </a:lnTo>
                <a:cubicBezTo>
                  <a:pt x="21914" y="7875"/>
                  <a:pt x="43451" y="14625"/>
                  <a:pt x="63476" y="24375"/>
                </a:cubicBezTo>
                <a:lnTo>
                  <a:pt x="65365" y="21000"/>
                </a:lnTo>
                <a:cubicBezTo>
                  <a:pt x="44584" y="11250"/>
                  <a:pt x="22670" y="4125"/>
                  <a:pt x="0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86" name="Freeform: Shape 585">
            <a:extLst>
              <a:ext uri="{FF2B5EF4-FFF2-40B4-BE49-F238E27FC236}">
                <a16:creationId xmlns:a16="http://schemas.microsoft.com/office/drawing/2014/main" id="{6E3C8253-C2B3-42BA-B7A6-1FF97DD6BC68}"/>
              </a:ext>
            </a:extLst>
          </xdr:cNvPr>
          <xdr:cNvSpPr/>
        </xdr:nvSpPr>
        <xdr:spPr>
          <a:xfrm>
            <a:off x="11116923" y="10728439"/>
            <a:ext cx="158690" cy="33375"/>
          </a:xfrm>
          <a:custGeom>
            <a:avLst/>
            <a:gdLst>
              <a:gd name="connsiteX0" fmla="*/ 158690 w 158690"/>
              <a:gd name="connsiteY0" fmla="*/ 3750 h 33375"/>
              <a:gd name="connsiteX1" fmla="*/ 158690 w 158690"/>
              <a:gd name="connsiteY1" fmla="*/ 0 h 33375"/>
              <a:gd name="connsiteX2" fmla="*/ 120151 w 158690"/>
              <a:gd name="connsiteY2" fmla="*/ 1500 h 33375"/>
              <a:gd name="connsiteX3" fmla="*/ 115617 w 158690"/>
              <a:gd name="connsiteY3" fmla="*/ 3750 h 33375"/>
              <a:gd name="connsiteX4" fmla="*/ 103149 w 158690"/>
              <a:gd name="connsiteY4" fmla="*/ 6375 h 33375"/>
              <a:gd name="connsiteX5" fmla="*/ 92569 w 158690"/>
              <a:gd name="connsiteY5" fmla="*/ 4125 h 33375"/>
              <a:gd name="connsiteX6" fmla="*/ 58186 w 158690"/>
              <a:gd name="connsiteY6" fmla="*/ 10125 h 33375"/>
              <a:gd name="connsiteX7" fmla="*/ 50252 w 158690"/>
              <a:gd name="connsiteY7" fmla="*/ 14625 h 33375"/>
              <a:gd name="connsiteX8" fmla="*/ 37783 w 158690"/>
              <a:gd name="connsiteY8" fmla="*/ 17250 h 33375"/>
              <a:gd name="connsiteX9" fmla="*/ 32494 w 158690"/>
              <a:gd name="connsiteY9" fmla="*/ 16875 h 33375"/>
              <a:gd name="connsiteX10" fmla="*/ 32494 w 158690"/>
              <a:gd name="connsiteY10" fmla="*/ 16875 h 33375"/>
              <a:gd name="connsiteX11" fmla="*/ 0 w 158690"/>
              <a:gd name="connsiteY11" fmla="*/ 30000 h 33375"/>
              <a:gd name="connsiteX12" fmla="*/ 1889 w 158690"/>
              <a:gd name="connsiteY12" fmla="*/ 33375 h 33375"/>
              <a:gd name="connsiteX13" fmla="*/ 158690 w 158690"/>
              <a:gd name="connsiteY13" fmla="*/ 3750 h 33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158690" h="33375">
                <a:moveTo>
                  <a:pt x="158690" y="3750"/>
                </a:moveTo>
                <a:lnTo>
                  <a:pt x="158690" y="0"/>
                </a:lnTo>
                <a:cubicBezTo>
                  <a:pt x="145466" y="0"/>
                  <a:pt x="132620" y="750"/>
                  <a:pt x="120151" y="1500"/>
                </a:cubicBezTo>
                <a:cubicBezTo>
                  <a:pt x="118640" y="2250"/>
                  <a:pt x="117129" y="3375"/>
                  <a:pt x="115617" y="3750"/>
                </a:cubicBezTo>
                <a:cubicBezTo>
                  <a:pt x="111839" y="5625"/>
                  <a:pt x="107305" y="6375"/>
                  <a:pt x="103149" y="6375"/>
                </a:cubicBezTo>
                <a:cubicBezTo>
                  <a:pt x="99748" y="6375"/>
                  <a:pt x="95970" y="5625"/>
                  <a:pt x="92569" y="4125"/>
                </a:cubicBezTo>
                <a:cubicBezTo>
                  <a:pt x="80479" y="5625"/>
                  <a:pt x="69144" y="7875"/>
                  <a:pt x="58186" y="10125"/>
                </a:cubicBezTo>
                <a:cubicBezTo>
                  <a:pt x="55919" y="12000"/>
                  <a:pt x="53275" y="13500"/>
                  <a:pt x="50252" y="14625"/>
                </a:cubicBezTo>
                <a:cubicBezTo>
                  <a:pt x="46096" y="16500"/>
                  <a:pt x="41940" y="17250"/>
                  <a:pt x="37783" y="17250"/>
                </a:cubicBezTo>
                <a:cubicBezTo>
                  <a:pt x="35894" y="17250"/>
                  <a:pt x="34383" y="17250"/>
                  <a:pt x="32494" y="16875"/>
                </a:cubicBezTo>
                <a:lnTo>
                  <a:pt x="32494" y="16875"/>
                </a:lnTo>
                <a:cubicBezTo>
                  <a:pt x="21159" y="20250"/>
                  <a:pt x="10202" y="24750"/>
                  <a:pt x="0" y="30000"/>
                </a:cubicBezTo>
                <a:lnTo>
                  <a:pt x="1889" y="33375"/>
                </a:lnTo>
                <a:cubicBezTo>
                  <a:pt x="37028" y="15375"/>
                  <a:pt x="95592" y="4500"/>
                  <a:pt x="158690" y="37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87" name="Freeform: Shape 586">
            <a:extLst>
              <a:ext uri="{FF2B5EF4-FFF2-40B4-BE49-F238E27FC236}">
                <a16:creationId xmlns:a16="http://schemas.microsoft.com/office/drawing/2014/main" id="{F15E0490-2B88-4B60-9211-07DF9A4635A2}"/>
              </a:ext>
            </a:extLst>
          </xdr:cNvPr>
          <xdr:cNvSpPr/>
        </xdr:nvSpPr>
        <xdr:spPr>
          <a:xfrm>
            <a:off x="11298283" y="10683813"/>
            <a:ext cx="56675" cy="8625"/>
          </a:xfrm>
          <a:custGeom>
            <a:avLst/>
            <a:gdLst>
              <a:gd name="connsiteX0" fmla="*/ 56675 w 56675"/>
              <a:gd name="connsiteY0" fmla="*/ 8625 h 8625"/>
              <a:gd name="connsiteX1" fmla="*/ 56675 w 56675"/>
              <a:gd name="connsiteY1" fmla="*/ 4875 h 8625"/>
              <a:gd name="connsiteX2" fmla="*/ 0 w 56675"/>
              <a:gd name="connsiteY2" fmla="*/ 0 h 8625"/>
              <a:gd name="connsiteX3" fmla="*/ 0 w 56675"/>
              <a:gd name="connsiteY3" fmla="*/ 3375 h 8625"/>
              <a:gd name="connsiteX4" fmla="*/ 0 w 56675"/>
              <a:gd name="connsiteY4" fmla="*/ 3750 h 8625"/>
              <a:gd name="connsiteX5" fmla="*/ 56675 w 56675"/>
              <a:gd name="connsiteY5" fmla="*/ 8625 h 86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56675" h="8625">
                <a:moveTo>
                  <a:pt x="56675" y="8625"/>
                </a:moveTo>
                <a:lnTo>
                  <a:pt x="56675" y="4875"/>
                </a:lnTo>
                <a:cubicBezTo>
                  <a:pt x="37783" y="2250"/>
                  <a:pt x="18892" y="375"/>
                  <a:pt x="0" y="0"/>
                </a:cubicBezTo>
                <a:lnTo>
                  <a:pt x="0" y="3375"/>
                </a:lnTo>
                <a:cubicBezTo>
                  <a:pt x="0" y="3375"/>
                  <a:pt x="0" y="3750"/>
                  <a:pt x="0" y="3750"/>
                </a:cubicBezTo>
                <a:cubicBezTo>
                  <a:pt x="18892" y="4125"/>
                  <a:pt x="37783" y="6000"/>
                  <a:pt x="56675" y="86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88" name="Freeform: Shape 587">
            <a:extLst>
              <a:ext uri="{FF2B5EF4-FFF2-40B4-BE49-F238E27FC236}">
                <a16:creationId xmlns:a16="http://schemas.microsoft.com/office/drawing/2014/main" id="{D7F9C11F-FE1A-4BF3-A282-5B43E00020D4}"/>
              </a:ext>
            </a:extLst>
          </xdr:cNvPr>
          <xdr:cNvSpPr/>
        </xdr:nvSpPr>
        <xdr:spPr>
          <a:xfrm>
            <a:off x="11116923" y="10697314"/>
            <a:ext cx="45340" cy="20249"/>
          </a:xfrm>
          <a:custGeom>
            <a:avLst/>
            <a:gdLst>
              <a:gd name="connsiteX0" fmla="*/ 30605 w 45340"/>
              <a:gd name="connsiteY0" fmla="*/ 8250 h 20249"/>
              <a:gd name="connsiteX1" fmla="*/ 33627 w 45340"/>
              <a:gd name="connsiteY1" fmla="*/ 6750 h 20249"/>
              <a:gd name="connsiteX2" fmla="*/ 43829 w 45340"/>
              <a:gd name="connsiteY2" fmla="*/ 4125 h 20249"/>
              <a:gd name="connsiteX3" fmla="*/ 45340 w 45340"/>
              <a:gd name="connsiteY3" fmla="*/ 3750 h 20249"/>
              <a:gd name="connsiteX4" fmla="*/ 45340 w 45340"/>
              <a:gd name="connsiteY4" fmla="*/ 0 h 20249"/>
              <a:gd name="connsiteX5" fmla="*/ 0 w 45340"/>
              <a:gd name="connsiteY5" fmla="*/ 16875 h 20249"/>
              <a:gd name="connsiteX6" fmla="*/ 1889 w 45340"/>
              <a:gd name="connsiteY6" fmla="*/ 20250 h 20249"/>
              <a:gd name="connsiteX7" fmla="*/ 30605 w 45340"/>
              <a:gd name="connsiteY7" fmla="*/ 8250 h 2024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45340" h="20249">
                <a:moveTo>
                  <a:pt x="30605" y="8250"/>
                </a:moveTo>
                <a:cubicBezTo>
                  <a:pt x="31360" y="7875"/>
                  <a:pt x="32494" y="7125"/>
                  <a:pt x="33627" y="6750"/>
                </a:cubicBezTo>
                <a:cubicBezTo>
                  <a:pt x="37028" y="5250"/>
                  <a:pt x="40428" y="4500"/>
                  <a:pt x="43829" y="4125"/>
                </a:cubicBezTo>
                <a:cubicBezTo>
                  <a:pt x="44207" y="4125"/>
                  <a:pt x="44962" y="3750"/>
                  <a:pt x="45340" y="3750"/>
                </a:cubicBezTo>
                <a:lnTo>
                  <a:pt x="45340" y="0"/>
                </a:lnTo>
                <a:cubicBezTo>
                  <a:pt x="29471" y="3750"/>
                  <a:pt x="14358" y="9375"/>
                  <a:pt x="0" y="16875"/>
                </a:cubicBezTo>
                <a:lnTo>
                  <a:pt x="1889" y="20250"/>
                </a:lnTo>
                <a:cubicBezTo>
                  <a:pt x="10957" y="15375"/>
                  <a:pt x="20403" y="11250"/>
                  <a:pt x="30605" y="82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89" name="Freeform: Shape 588">
            <a:extLst>
              <a:ext uri="{FF2B5EF4-FFF2-40B4-BE49-F238E27FC236}">
                <a16:creationId xmlns:a16="http://schemas.microsoft.com/office/drawing/2014/main" id="{BB539A2D-F274-43D2-B111-AAA4E70D3EAC}"/>
              </a:ext>
            </a:extLst>
          </xdr:cNvPr>
          <xdr:cNvSpPr/>
        </xdr:nvSpPr>
        <xdr:spPr>
          <a:xfrm>
            <a:off x="11116923" y="10674814"/>
            <a:ext cx="45340" cy="20249"/>
          </a:xfrm>
          <a:custGeom>
            <a:avLst/>
            <a:gdLst>
              <a:gd name="connsiteX0" fmla="*/ 45340 w 45340"/>
              <a:gd name="connsiteY0" fmla="*/ 3750 h 20249"/>
              <a:gd name="connsiteX1" fmla="*/ 45340 w 45340"/>
              <a:gd name="connsiteY1" fmla="*/ 0 h 20249"/>
              <a:gd name="connsiteX2" fmla="*/ 0 w 45340"/>
              <a:gd name="connsiteY2" fmla="*/ 16875 h 20249"/>
              <a:gd name="connsiteX3" fmla="*/ 1889 w 45340"/>
              <a:gd name="connsiteY3" fmla="*/ 20250 h 20249"/>
              <a:gd name="connsiteX4" fmla="*/ 45340 w 45340"/>
              <a:gd name="connsiteY4" fmla="*/ 3750 h 2024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45340" h="20249">
                <a:moveTo>
                  <a:pt x="45340" y="3750"/>
                </a:moveTo>
                <a:lnTo>
                  <a:pt x="45340" y="0"/>
                </a:lnTo>
                <a:cubicBezTo>
                  <a:pt x="29471" y="3750"/>
                  <a:pt x="14358" y="9375"/>
                  <a:pt x="0" y="16875"/>
                </a:cubicBezTo>
                <a:lnTo>
                  <a:pt x="1889" y="20250"/>
                </a:lnTo>
                <a:cubicBezTo>
                  <a:pt x="15491" y="13125"/>
                  <a:pt x="30227" y="7500"/>
                  <a:pt x="45340" y="37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90" name="Freeform: Shape 589">
            <a:extLst>
              <a:ext uri="{FF2B5EF4-FFF2-40B4-BE49-F238E27FC236}">
                <a16:creationId xmlns:a16="http://schemas.microsoft.com/office/drawing/2014/main" id="{B8C683F7-CD42-4645-AA6A-373BBCEDA615}"/>
              </a:ext>
            </a:extLst>
          </xdr:cNvPr>
          <xdr:cNvSpPr/>
        </xdr:nvSpPr>
        <xdr:spPr>
          <a:xfrm>
            <a:off x="11116923" y="10729189"/>
            <a:ext cx="17002" cy="10499"/>
          </a:xfrm>
          <a:custGeom>
            <a:avLst/>
            <a:gdLst>
              <a:gd name="connsiteX0" fmla="*/ 17003 w 17002"/>
              <a:gd name="connsiteY0" fmla="*/ 3750 h 10499"/>
              <a:gd name="connsiteX1" fmla="*/ 16247 w 17002"/>
              <a:gd name="connsiteY1" fmla="*/ 0 h 10499"/>
              <a:gd name="connsiteX2" fmla="*/ 0 w 17002"/>
              <a:gd name="connsiteY2" fmla="*/ 7125 h 10499"/>
              <a:gd name="connsiteX3" fmla="*/ 1889 w 17002"/>
              <a:gd name="connsiteY3" fmla="*/ 10500 h 10499"/>
              <a:gd name="connsiteX4" fmla="*/ 17003 w 17002"/>
              <a:gd name="connsiteY4" fmla="*/ 3750 h 104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7002" h="10499">
                <a:moveTo>
                  <a:pt x="17003" y="3750"/>
                </a:moveTo>
                <a:cubicBezTo>
                  <a:pt x="16625" y="2625"/>
                  <a:pt x="16247" y="1125"/>
                  <a:pt x="16247" y="0"/>
                </a:cubicBezTo>
                <a:cubicBezTo>
                  <a:pt x="10579" y="2250"/>
                  <a:pt x="5290" y="4500"/>
                  <a:pt x="0" y="7125"/>
                </a:cubicBezTo>
                <a:lnTo>
                  <a:pt x="1889" y="10500"/>
                </a:lnTo>
                <a:cubicBezTo>
                  <a:pt x="6423" y="8250"/>
                  <a:pt x="11335" y="6000"/>
                  <a:pt x="17003" y="37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91" name="Freeform: Shape 590">
            <a:extLst>
              <a:ext uri="{FF2B5EF4-FFF2-40B4-BE49-F238E27FC236}">
                <a16:creationId xmlns:a16="http://schemas.microsoft.com/office/drawing/2014/main" id="{736E4C81-151D-41BB-A978-1D569F05AA1F}"/>
              </a:ext>
            </a:extLst>
          </xdr:cNvPr>
          <xdr:cNvSpPr/>
        </xdr:nvSpPr>
        <xdr:spPr>
          <a:xfrm>
            <a:off x="11253606" y="10677814"/>
            <a:ext cx="56616" cy="101281"/>
          </a:xfrm>
          <a:custGeom>
            <a:avLst/>
            <a:gdLst>
              <a:gd name="connsiteX0" fmla="*/ 12939 w 56616"/>
              <a:gd name="connsiteY0" fmla="*/ 73500 h 101281"/>
              <a:gd name="connsiteX1" fmla="*/ 849 w 56616"/>
              <a:gd name="connsiteY1" fmla="*/ 93750 h 101281"/>
              <a:gd name="connsiteX2" fmla="*/ 14451 w 56616"/>
              <a:gd name="connsiteY2" fmla="*/ 101250 h 101281"/>
              <a:gd name="connsiteX3" fmla="*/ 23897 w 56616"/>
              <a:gd name="connsiteY3" fmla="*/ 99375 h 101281"/>
              <a:gd name="connsiteX4" fmla="*/ 36743 w 56616"/>
              <a:gd name="connsiteY4" fmla="*/ 83625 h 101281"/>
              <a:gd name="connsiteX5" fmla="*/ 36743 w 56616"/>
              <a:gd name="connsiteY5" fmla="*/ 83250 h 101281"/>
              <a:gd name="connsiteX6" fmla="*/ 36743 w 56616"/>
              <a:gd name="connsiteY6" fmla="*/ 28875 h 101281"/>
              <a:gd name="connsiteX7" fmla="*/ 40143 w 56616"/>
              <a:gd name="connsiteY7" fmla="*/ 33000 h 101281"/>
              <a:gd name="connsiteX8" fmla="*/ 48834 w 56616"/>
              <a:gd name="connsiteY8" fmla="*/ 49875 h 101281"/>
              <a:gd name="connsiteX9" fmla="*/ 46567 w 56616"/>
              <a:gd name="connsiteY9" fmla="*/ 63000 h 101281"/>
              <a:gd name="connsiteX10" fmla="*/ 47700 w 56616"/>
              <a:gd name="connsiteY10" fmla="*/ 68250 h 101281"/>
              <a:gd name="connsiteX11" fmla="*/ 52990 w 56616"/>
              <a:gd name="connsiteY11" fmla="*/ 67125 h 101281"/>
              <a:gd name="connsiteX12" fmla="*/ 56390 w 56616"/>
              <a:gd name="connsiteY12" fmla="*/ 49125 h 101281"/>
              <a:gd name="connsiteX13" fmla="*/ 45811 w 56616"/>
              <a:gd name="connsiteY13" fmla="*/ 28125 h 101281"/>
              <a:gd name="connsiteX14" fmla="*/ 36743 w 56616"/>
              <a:gd name="connsiteY14" fmla="*/ 10125 h 101281"/>
              <a:gd name="connsiteX15" fmla="*/ 36743 w 56616"/>
              <a:gd name="connsiteY15" fmla="*/ 3750 h 101281"/>
              <a:gd name="connsiteX16" fmla="*/ 32965 w 56616"/>
              <a:gd name="connsiteY16" fmla="*/ 0 h 101281"/>
              <a:gd name="connsiteX17" fmla="*/ 32965 w 56616"/>
              <a:gd name="connsiteY17" fmla="*/ 0 h 101281"/>
              <a:gd name="connsiteX18" fmla="*/ 29186 w 56616"/>
              <a:gd name="connsiteY18" fmla="*/ 3750 h 101281"/>
              <a:gd name="connsiteX19" fmla="*/ 29186 w 56616"/>
              <a:gd name="connsiteY19" fmla="*/ 72750 h 101281"/>
              <a:gd name="connsiteX20" fmla="*/ 12939 w 56616"/>
              <a:gd name="connsiteY20" fmla="*/ 73500 h 101281"/>
              <a:gd name="connsiteX21" fmla="*/ 29186 w 56616"/>
              <a:gd name="connsiteY21" fmla="*/ 81750 h 101281"/>
              <a:gd name="connsiteX22" fmla="*/ 21252 w 56616"/>
              <a:gd name="connsiteY22" fmla="*/ 92250 h 101281"/>
              <a:gd name="connsiteX23" fmla="*/ 8027 w 56616"/>
              <a:gd name="connsiteY23" fmla="*/ 90750 h 101281"/>
              <a:gd name="connsiteX24" fmla="*/ 15962 w 56616"/>
              <a:gd name="connsiteY24" fmla="*/ 80250 h 101281"/>
              <a:gd name="connsiteX25" fmla="*/ 22763 w 56616"/>
              <a:gd name="connsiteY25" fmla="*/ 78750 h 101281"/>
              <a:gd name="connsiteX26" fmla="*/ 29186 w 56616"/>
              <a:gd name="connsiteY26" fmla="*/ 81750 h 101281"/>
              <a:gd name="connsiteX27" fmla="*/ 29186 w 56616"/>
              <a:gd name="connsiteY27" fmla="*/ 81750 h 10128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</a:cxnLst>
            <a:rect l="l" t="t" r="r" b="b"/>
            <a:pathLst>
              <a:path w="56616" h="101281">
                <a:moveTo>
                  <a:pt x="12939" y="73500"/>
                </a:moveTo>
                <a:cubicBezTo>
                  <a:pt x="3116" y="77625"/>
                  <a:pt x="-2174" y="86625"/>
                  <a:pt x="849" y="93750"/>
                </a:cubicBezTo>
                <a:cubicBezTo>
                  <a:pt x="3493" y="98625"/>
                  <a:pt x="8783" y="101625"/>
                  <a:pt x="14451" y="101250"/>
                </a:cubicBezTo>
                <a:cubicBezTo>
                  <a:pt x="17851" y="101250"/>
                  <a:pt x="20874" y="100500"/>
                  <a:pt x="23897" y="99375"/>
                </a:cubicBezTo>
                <a:cubicBezTo>
                  <a:pt x="30698" y="97125"/>
                  <a:pt x="35987" y="90750"/>
                  <a:pt x="36743" y="83625"/>
                </a:cubicBezTo>
                <a:cubicBezTo>
                  <a:pt x="36743" y="83625"/>
                  <a:pt x="36743" y="83250"/>
                  <a:pt x="36743" y="83250"/>
                </a:cubicBezTo>
                <a:lnTo>
                  <a:pt x="36743" y="28875"/>
                </a:lnTo>
                <a:cubicBezTo>
                  <a:pt x="37876" y="30375"/>
                  <a:pt x="39010" y="31500"/>
                  <a:pt x="40143" y="33000"/>
                </a:cubicBezTo>
                <a:cubicBezTo>
                  <a:pt x="45055" y="37500"/>
                  <a:pt x="48078" y="43500"/>
                  <a:pt x="48834" y="49875"/>
                </a:cubicBezTo>
                <a:cubicBezTo>
                  <a:pt x="49211" y="54375"/>
                  <a:pt x="48456" y="58875"/>
                  <a:pt x="46567" y="63000"/>
                </a:cubicBezTo>
                <a:cubicBezTo>
                  <a:pt x="45433" y="64875"/>
                  <a:pt x="46189" y="67125"/>
                  <a:pt x="47700" y="68250"/>
                </a:cubicBezTo>
                <a:cubicBezTo>
                  <a:pt x="49211" y="69375"/>
                  <a:pt x="51856" y="68625"/>
                  <a:pt x="52990" y="67125"/>
                </a:cubicBezTo>
                <a:cubicBezTo>
                  <a:pt x="56012" y="61500"/>
                  <a:pt x="57146" y="55500"/>
                  <a:pt x="56390" y="49125"/>
                </a:cubicBezTo>
                <a:cubicBezTo>
                  <a:pt x="55257" y="41250"/>
                  <a:pt x="51856" y="33750"/>
                  <a:pt x="45811" y="28125"/>
                </a:cubicBezTo>
                <a:cubicBezTo>
                  <a:pt x="40899" y="23250"/>
                  <a:pt x="37499" y="16875"/>
                  <a:pt x="36743" y="10125"/>
                </a:cubicBezTo>
                <a:lnTo>
                  <a:pt x="36743" y="3750"/>
                </a:lnTo>
                <a:cubicBezTo>
                  <a:pt x="36743" y="1500"/>
                  <a:pt x="35232" y="0"/>
                  <a:pt x="32965" y="0"/>
                </a:cubicBezTo>
                <a:lnTo>
                  <a:pt x="32965" y="0"/>
                </a:lnTo>
                <a:cubicBezTo>
                  <a:pt x="30698" y="0"/>
                  <a:pt x="29186" y="1500"/>
                  <a:pt x="29186" y="3750"/>
                </a:cubicBezTo>
                <a:lnTo>
                  <a:pt x="29186" y="72750"/>
                </a:lnTo>
                <a:cubicBezTo>
                  <a:pt x="24274" y="70500"/>
                  <a:pt x="18229" y="70875"/>
                  <a:pt x="12939" y="73500"/>
                </a:cubicBezTo>
                <a:close/>
                <a:moveTo>
                  <a:pt x="29186" y="81750"/>
                </a:moveTo>
                <a:cubicBezTo>
                  <a:pt x="30320" y="84750"/>
                  <a:pt x="27297" y="89625"/>
                  <a:pt x="21252" y="92250"/>
                </a:cubicBezTo>
                <a:cubicBezTo>
                  <a:pt x="14828" y="94875"/>
                  <a:pt x="9161" y="93750"/>
                  <a:pt x="8027" y="90750"/>
                </a:cubicBezTo>
                <a:cubicBezTo>
                  <a:pt x="6894" y="87750"/>
                  <a:pt x="9917" y="82875"/>
                  <a:pt x="15962" y="80250"/>
                </a:cubicBezTo>
                <a:cubicBezTo>
                  <a:pt x="18229" y="79500"/>
                  <a:pt x="20496" y="78750"/>
                  <a:pt x="22763" y="78750"/>
                </a:cubicBezTo>
                <a:cubicBezTo>
                  <a:pt x="25408" y="78750"/>
                  <a:pt x="27675" y="79500"/>
                  <a:pt x="29186" y="81750"/>
                </a:cubicBezTo>
                <a:cubicBezTo>
                  <a:pt x="29186" y="81750"/>
                  <a:pt x="29186" y="81750"/>
                  <a:pt x="29186" y="817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92" name="Freeform: Shape 591">
            <a:extLst>
              <a:ext uri="{FF2B5EF4-FFF2-40B4-BE49-F238E27FC236}">
                <a16:creationId xmlns:a16="http://schemas.microsoft.com/office/drawing/2014/main" id="{A2A7B1B6-6EE9-45D4-A08A-D6F3FB3F64D7}"/>
              </a:ext>
            </a:extLst>
          </xdr:cNvPr>
          <xdr:cNvSpPr/>
        </xdr:nvSpPr>
        <xdr:spPr>
          <a:xfrm>
            <a:off x="11332573" y="10636564"/>
            <a:ext cx="37120" cy="101281"/>
          </a:xfrm>
          <a:custGeom>
            <a:avLst/>
            <a:gdLst>
              <a:gd name="connsiteX0" fmla="*/ 14828 w 37120"/>
              <a:gd name="connsiteY0" fmla="*/ 101250 h 101281"/>
              <a:gd name="connsiteX1" fmla="*/ 24274 w 37120"/>
              <a:gd name="connsiteY1" fmla="*/ 99375 h 101281"/>
              <a:gd name="connsiteX2" fmla="*/ 37121 w 37120"/>
              <a:gd name="connsiteY2" fmla="*/ 83625 h 101281"/>
              <a:gd name="connsiteX3" fmla="*/ 37121 w 37120"/>
              <a:gd name="connsiteY3" fmla="*/ 83250 h 101281"/>
              <a:gd name="connsiteX4" fmla="*/ 37121 w 37120"/>
              <a:gd name="connsiteY4" fmla="*/ 3750 h 101281"/>
              <a:gd name="connsiteX5" fmla="*/ 33342 w 37120"/>
              <a:gd name="connsiteY5" fmla="*/ 0 h 101281"/>
              <a:gd name="connsiteX6" fmla="*/ 33342 w 37120"/>
              <a:gd name="connsiteY6" fmla="*/ 0 h 101281"/>
              <a:gd name="connsiteX7" fmla="*/ 29564 w 37120"/>
              <a:gd name="connsiteY7" fmla="*/ 3750 h 101281"/>
              <a:gd name="connsiteX8" fmla="*/ 29564 w 37120"/>
              <a:gd name="connsiteY8" fmla="*/ 72750 h 101281"/>
              <a:gd name="connsiteX9" fmla="*/ 12939 w 37120"/>
              <a:gd name="connsiteY9" fmla="*/ 73500 h 101281"/>
              <a:gd name="connsiteX10" fmla="*/ 849 w 37120"/>
              <a:gd name="connsiteY10" fmla="*/ 93750 h 101281"/>
              <a:gd name="connsiteX11" fmla="*/ 14828 w 37120"/>
              <a:gd name="connsiteY11" fmla="*/ 101250 h 101281"/>
              <a:gd name="connsiteX12" fmla="*/ 16340 w 37120"/>
              <a:gd name="connsiteY12" fmla="*/ 80250 h 101281"/>
              <a:gd name="connsiteX13" fmla="*/ 23141 w 37120"/>
              <a:gd name="connsiteY13" fmla="*/ 78750 h 101281"/>
              <a:gd name="connsiteX14" fmla="*/ 29564 w 37120"/>
              <a:gd name="connsiteY14" fmla="*/ 81750 h 101281"/>
              <a:gd name="connsiteX15" fmla="*/ 21630 w 37120"/>
              <a:gd name="connsiteY15" fmla="*/ 92250 h 101281"/>
              <a:gd name="connsiteX16" fmla="*/ 8405 w 37120"/>
              <a:gd name="connsiteY16" fmla="*/ 90750 h 101281"/>
              <a:gd name="connsiteX17" fmla="*/ 16340 w 37120"/>
              <a:gd name="connsiteY17" fmla="*/ 80250 h 10128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37120" h="101281">
                <a:moveTo>
                  <a:pt x="14828" y="101250"/>
                </a:moveTo>
                <a:cubicBezTo>
                  <a:pt x="18229" y="101250"/>
                  <a:pt x="21252" y="100500"/>
                  <a:pt x="24274" y="99375"/>
                </a:cubicBezTo>
                <a:cubicBezTo>
                  <a:pt x="31075" y="97125"/>
                  <a:pt x="36365" y="90750"/>
                  <a:pt x="37121" y="83625"/>
                </a:cubicBezTo>
                <a:cubicBezTo>
                  <a:pt x="37121" y="83625"/>
                  <a:pt x="37121" y="83250"/>
                  <a:pt x="37121" y="83250"/>
                </a:cubicBezTo>
                <a:lnTo>
                  <a:pt x="37121" y="3750"/>
                </a:lnTo>
                <a:cubicBezTo>
                  <a:pt x="37121" y="1500"/>
                  <a:pt x="35609" y="0"/>
                  <a:pt x="33342" y="0"/>
                </a:cubicBezTo>
                <a:lnTo>
                  <a:pt x="33342" y="0"/>
                </a:lnTo>
                <a:cubicBezTo>
                  <a:pt x="31075" y="0"/>
                  <a:pt x="29564" y="1500"/>
                  <a:pt x="29564" y="3750"/>
                </a:cubicBezTo>
                <a:lnTo>
                  <a:pt x="29564" y="72750"/>
                </a:lnTo>
                <a:cubicBezTo>
                  <a:pt x="24274" y="70875"/>
                  <a:pt x="18229" y="71250"/>
                  <a:pt x="12939" y="73500"/>
                </a:cubicBezTo>
                <a:cubicBezTo>
                  <a:pt x="3116" y="77625"/>
                  <a:pt x="-2174" y="86625"/>
                  <a:pt x="849" y="93750"/>
                </a:cubicBezTo>
                <a:cubicBezTo>
                  <a:pt x="3871" y="98625"/>
                  <a:pt x="9161" y="101625"/>
                  <a:pt x="14828" y="101250"/>
                </a:cubicBezTo>
                <a:close/>
                <a:moveTo>
                  <a:pt x="16340" y="80250"/>
                </a:moveTo>
                <a:cubicBezTo>
                  <a:pt x="18607" y="79500"/>
                  <a:pt x="20874" y="78750"/>
                  <a:pt x="23141" y="78750"/>
                </a:cubicBezTo>
                <a:cubicBezTo>
                  <a:pt x="25786" y="78375"/>
                  <a:pt x="28431" y="79500"/>
                  <a:pt x="29564" y="81750"/>
                </a:cubicBezTo>
                <a:cubicBezTo>
                  <a:pt x="30698" y="84750"/>
                  <a:pt x="27675" y="89625"/>
                  <a:pt x="21630" y="92250"/>
                </a:cubicBezTo>
                <a:cubicBezTo>
                  <a:pt x="15584" y="94875"/>
                  <a:pt x="9539" y="93750"/>
                  <a:pt x="8405" y="90750"/>
                </a:cubicBezTo>
                <a:cubicBezTo>
                  <a:pt x="7272" y="87750"/>
                  <a:pt x="9917" y="82875"/>
                  <a:pt x="16340" y="802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93" name="Freeform: Shape 592">
            <a:extLst>
              <a:ext uri="{FF2B5EF4-FFF2-40B4-BE49-F238E27FC236}">
                <a16:creationId xmlns:a16="http://schemas.microsoft.com/office/drawing/2014/main" id="{14971561-3614-4F4F-90AC-79C688AC312D}"/>
              </a:ext>
            </a:extLst>
          </xdr:cNvPr>
          <xdr:cNvSpPr/>
        </xdr:nvSpPr>
        <xdr:spPr>
          <a:xfrm>
            <a:off x="11139878" y="10639189"/>
            <a:ext cx="102128" cy="99749"/>
          </a:xfrm>
          <a:custGeom>
            <a:avLst/>
            <a:gdLst>
              <a:gd name="connsiteX0" fmla="*/ 79816 w 102128"/>
              <a:gd name="connsiteY0" fmla="*/ 88500 h 99749"/>
              <a:gd name="connsiteX1" fmla="*/ 89262 w 102128"/>
              <a:gd name="connsiteY1" fmla="*/ 86625 h 99749"/>
              <a:gd name="connsiteX2" fmla="*/ 102108 w 102128"/>
              <a:gd name="connsiteY2" fmla="*/ 69750 h 99749"/>
              <a:gd name="connsiteX3" fmla="*/ 102108 w 102128"/>
              <a:gd name="connsiteY3" fmla="*/ 69000 h 99749"/>
              <a:gd name="connsiteX4" fmla="*/ 102108 w 102128"/>
              <a:gd name="connsiteY4" fmla="*/ 0 h 99749"/>
              <a:gd name="connsiteX5" fmla="*/ 29564 w 102128"/>
              <a:gd name="connsiteY5" fmla="*/ 16875 h 99749"/>
              <a:gd name="connsiteX6" fmla="*/ 29564 w 102128"/>
              <a:gd name="connsiteY6" fmla="*/ 71250 h 99749"/>
              <a:gd name="connsiteX7" fmla="*/ 12939 w 102128"/>
              <a:gd name="connsiteY7" fmla="*/ 72000 h 99749"/>
              <a:gd name="connsiteX8" fmla="*/ 849 w 102128"/>
              <a:gd name="connsiteY8" fmla="*/ 92250 h 99749"/>
              <a:gd name="connsiteX9" fmla="*/ 10672 w 102128"/>
              <a:gd name="connsiteY9" fmla="*/ 99375 h 99749"/>
              <a:gd name="connsiteX10" fmla="*/ 14451 w 102128"/>
              <a:gd name="connsiteY10" fmla="*/ 99750 h 99749"/>
              <a:gd name="connsiteX11" fmla="*/ 23897 w 102128"/>
              <a:gd name="connsiteY11" fmla="*/ 97875 h 99749"/>
              <a:gd name="connsiteX12" fmla="*/ 36743 w 102128"/>
              <a:gd name="connsiteY12" fmla="*/ 82125 h 99749"/>
              <a:gd name="connsiteX13" fmla="*/ 36743 w 102128"/>
              <a:gd name="connsiteY13" fmla="*/ 81750 h 99749"/>
              <a:gd name="connsiteX14" fmla="*/ 36743 w 102128"/>
              <a:gd name="connsiteY14" fmla="*/ 22875 h 99749"/>
              <a:gd name="connsiteX15" fmla="*/ 94929 w 102128"/>
              <a:gd name="connsiteY15" fmla="*/ 9750 h 99749"/>
              <a:gd name="connsiteX16" fmla="*/ 94929 w 102128"/>
              <a:gd name="connsiteY16" fmla="*/ 60000 h 99749"/>
              <a:gd name="connsiteX17" fmla="*/ 78305 w 102128"/>
              <a:gd name="connsiteY17" fmla="*/ 60750 h 99749"/>
              <a:gd name="connsiteX18" fmla="*/ 67725 w 102128"/>
              <a:gd name="connsiteY18" fmla="*/ 69000 h 99749"/>
              <a:gd name="connsiteX19" fmla="*/ 66214 w 102128"/>
              <a:gd name="connsiteY19" fmla="*/ 81000 h 99749"/>
              <a:gd name="connsiteX20" fmla="*/ 79816 w 102128"/>
              <a:gd name="connsiteY20" fmla="*/ 88500 h 99749"/>
              <a:gd name="connsiteX21" fmla="*/ 21630 w 102128"/>
              <a:gd name="connsiteY21" fmla="*/ 90750 h 99749"/>
              <a:gd name="connsiteX22" fmla="*/ 12561 w 102128"/>
              <a:gd name="connsiteY22" fmla="*/ 91875 h 99749"/>
              <a:gd name="connsiteX23" fmla="*/ 8405 w 102128"/>
              <a:gd name="connsiteY23" fmla="*/ 89250 h 99749"/>
              <a:gd name="connsiteX24" fmla="*/ 16340 w 102128"/>
              <a:gd name="connsiteY24" fmla="*/ 78750 h 99749"/>
              <a:gd name="connsiteX25" fmla="*/ 23141 w 102128"/>
              <a:gd name="connsiteY25" fmla="*/ 77250 h 99749"/>
              <a:gd name="connsiteX26" fmla="*/ 29564 w 102128"/>
              <a:gd name="connsiteY26" fmla="*/ 80250 h 99749"/>
              <a:gd name="connsiteX27" fmla="*/ 21630 w 102128"/>
              <a:gd name="connsiteY27" fmla="*/ 90750 h 99749"/>
              <a:gd name="connsiteX28" fmla="*/ 74148 w 102128"/>
              <a:gd name="connsiteY28" fmla="*/ 73125 h 99749"/>
              <a:gd name="connsiteX29" fmla="*/ 81327 w 102128"/>
              <a:gd name="connsiteY29" fmla="*/ 67500 h 99749"/>
              <a:gd name="connsiteX30" fmla="*/ 88128 w 102128"/>
              <a:gd name="connsiteY30" fmla="*/ 66000 h 99749"/>
              <a:gd name="connsiteX31" fmla="*/ 94552 w 102128"/>
              <a:gd name="connsiteY31" fmla="*/ 69000 h 99749"/>
              <a:gd name="connsiteX32" fmla="*/ 86617 w 102128"/>
              <a:gd name="connsiteY32" fmla="*/ 79500 h 99749"/>
              <a:gd name="connsiteX33" fmla="*/ 73393 w 102128"/>
              <a:gd name="connsiteY33" fmla="*/ 78000 h 99749"/>
              <a:gd name="connsiteX34" fmla="*/ 74148 w 102128"/>
              <a:gd name="connsiteY34" fmla="*/ 73125 h 9974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</a:cxnLst>
            <a:rect l="l" t="t" r="r" b="b"/>
            <a:pathLst>
              <a:path w="102128" h="99749">
                <a:moveTo>
                  <a:pt x="79816" y="88500"/>
                </a:moveTo>
                <a:cubicBezTo>
                  <a:pt x="83217" y="88500"/>
                  <a:pt x="86239" y="87750"/>
                  <a:pt x="89262" y="86625"/>
                </a:cubicBezTo>
                <a:cubicBezTo>
                  <a:pt x="97574" y="83250"/>
                  <a:pt x="102486" y="76125"/>
                  <a:pt x="102108" y="69750"/>
                </a:cubicBezTo>
                <a:cubicBezTo>
                  <a:pt x="102108" y="69375"/>
                  <a:pt x="102108" y="69375"/>
                  <a:pt x="102108" y="69000"/>
                </a:cubicBezTo>
                <a:lnTo>
                  <a:pt x="102108" y="0"/>
                </a:lnTo>
                <a:lnTo>
                  <a:pt x="29564" y="16875"/>
                </a:lnTo>
                <a:lnTo>
                  <a:pt x="29564" y="71250"/>
                </a:lnTo>
                <a:cubicBezTo>
                  <a:pt x="24274" y="69375"/>
                  <a:pt x="18229" y="69750"/>
                  <a:pt x="12939" y="72000"/>
                </a:cubicBezTo>
                <a:cubicBezTo>
                  <a:pt x="3116" y="76125"/>
                  <a:pt x="-2174" y="85125"/>
                  <a:pt x="849" y="92250"/>
                </a:cubicBezTo>
                <a:cubicBezTo>
                  <a:pt x="2738" y="96000"/>
                  <a:pt x="6516" y="98625"/>
                  <a:pt x="10672" y="99375"/>
                </a:cubicBezTo>
                <a:cubicBezTo>
                  <a:pt x="11806" y="99750"/>
                  <a:pt x="13317" y="99750"/>
                  <a:pt x="14451" y="99750"/>
                </a:cubicBezTo>
                <a:cubicBezTo>
                  <a:pt x="17851" y="99750"/>
                  <a:pt x="20874" y="99000"/>
                  <a:pt x="23897" y="97875"/>
                </a:cubicBezTo>
                <a:cubicBezTo>
                  <a:pt x="30698" y="95625"/>
                  <a:pt x="35987" y="89250"/>
                  <a:pt x="36743" y="82125"/>
                </a:cubicBezTo>
                <a:cubicBezTo>
                  <a:pt x="36743" y="82125"/>
                  <a:pt x="36743" y="81750"/>
                  <a:pt x="36743" y="81750"/>
                </a:cubicBezTo>
                <a:lnTo>
                  <a:pt x="36743" y="22875"/>
                </a:lnTo>
                <a:lnTo>
                  <a:pt x="94929" y="9750"/>
                </a:lnTo>
                <a:lnTo>
                  <a:pt x="94929" y="60000"/>
                </a:lnTo>
                <a:cubicBezTo>
                  <a:pt x="89640" y="58125"/>
                  <a:pt x="83594" y="58125"/>
                  <a:pt x="78305" y="60750"/>
                </a:cubicBezTo>
                <a:cubicBezTo>
                  <a:pt x="74148" y="62625"/>
                  <a:pt x="70370" y="65250"/>
                  <a:pt x="67725" y="69000"/>
                </a:cubicBezTo>
                <a:cubicBezTo>
                  <a:pt x="65080" y="72375"/>
                  <a:pt x="64703" y="76875"/>
                  <a:pt x="66214" y="81000"/>
                </a:cubicBezTo>
                <a:cubicBezTo>
                  <a:pt x="68859" y="85875"/>
                  <a:pt x="74148" y="88875"/>
                  <a:pt x="79816" y="88500"/>
                </a:cubicBezTo>
                <a:close/>
                <a:moveTo>
                  <a:pt x="21630" y="90750"/>
                </a:moveTo>
                <a:cubicBezTo>
                  <a:pt x="18985" y="91875"/>
                  <a:pt x="15584" y="92250"/>
                  <a:pt x="12561" y="91875"/>
                </a:cubicBezTo>
                <a:cubicBezTo>
                  <a:pt x="10672" y="91500"/>
                  <a:pt x="9161" y="90750"/>
                  <a:pt x="8405" y="89250"/>
                </a:cubicBezTo>
                <a:cubicBezTo>
                  <a:pt x="7272" y="86250"/>
                  <a:pt x="10294" y="81375"/>
                  <a:pt x="16340" y="78750"/>
                </a:cubicBezTo>
                <a:cubicBezTo>
                  <a:pt x="18607" y="78000"/>
                  <a:pt x="20874" y="77250"/>
                  <a:pt x="23141" y="77250"/>
                </a:cubicBezTo>
                <a:cubicBezTo>
                  <a:pt x="25786" y="76875"/>
                  <a:pt x="28431" y="78000"/>
                  <a:pt x="29564" y="80250"/>
                </a:cubicBezTo>
                <a:cubicBezTo>
                  <a:pt x="30698" y="83250"/>
                  <a:pt x="27675" y="88125"/>
                  <a:pt x="21630" y="90750"/>
                </a:cubicBezTo>
                <a:close/>
                <a:moveTo>
                  <a:pt x="74148" y="73125"/>
                </a:moveTo>
                <a:cubicBezTo>
                  <a:pt x="76038" y="70500"/>
                  <a:pt x="78305" y="68625"/>
                  <a:pt x="81327" y="67500"/>
                </a:cubicBezTo>
                <a:cubicBezTo>
                  <a:pt x="83594" y="66750"/>
                  <a:pt x="85861" y="66000"/>
                  <a:pt x="88128" y="66000"/>
                </a:cubicBezTo>
                <a:cubicBezTo>
                  <a:pt x="90773" y="65625"/>
                  <a:pt x="93418" y="66750"/>
                  <a:pt x="94552" y="69000"/>
                </a:cubicBezTo>
                <a:cubicBezTo>
                  <a:pt x="95685" y="72000"/>
                  <a:pt x="92662" y="76875"/>
                  <a:pt x="86617" y="79500"/>
                </a:cubicBezTo>
                <a:cubicBezTo>
                  <a:pt x="80572" y="82125"/>
                  <a:pt x="74526" y="81000"/>
                  <a:pt x="73393" y="78000"/>
                </a:cubicBezTo>
                <a:cubicBezTo>
                  <a:pt x="73015" y="76500"/>
                  <a:pt x="73015" y="74625"/>
                  <a:pt x="74148" y="731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136003</xdr:colOff>
      <xdr:row>10</xdr:row>
      <xdr:rowOff>185267</xdr:rowOff>
    </xdr:from>
    <xdr:to>
      <xdr:col>4</xdr:col>
      <xdr:colOff>443318</xdr:colOff>
      <xdr:row>10</xdr:row>
      <xdr:rowOff>380426</xdr:rowOff>
    </xdr:to>
    <xdr:grpSp>
      <xdr:nvGrpSpPr>
        <xdr:cNvPr id="595" name="diploma" descr="Diploma roll outline">
          <a:extLst>
            <a:ext uri="{FF2B5EF4-FFF2-40B4-BE49-F238E27FC236}">
              <a16:creationId xmlns:a16="http://schemas.microsoft.com/office/drawing/2014/main" id="{AB556A77-76C2-454F-97D7-93CB61F541E2}"/>
            </a:ext>
          </a:extLst>
        </xdr:cNvPr>
        <xdr:cNvGrpSpPr>
          <a:grpSpLocks noChangeAspect="1"/>
        </xdr:cNvGrpSpPr>
      </xdr:nvGrpSpPr>
      <xdr:grpSpPr>
        <a:xfrm>
          <a:off x="3460228" y="4338167"/>
          <a:ext cx="307315" cy="195159"/>
          <a:chOff x="14955671" y="11408088"/>
          <a:chExt cx="307315" cy="195159"/>
        </a:xfrm>
        <a:solidFill>
          <a:srgbClr val="1F4E78"/>
        </a:solidFill>
      </xdr:grpSpPr>
      <xdr:sp macro="" textlink="">
        <xdr:nvSpPr>
          <xdr:cNvPr id="596" name="Freeform: Shape 595">
            <a:extLst>
              <a:ext uri="{FF2B5EF4-FFF2-40B4-BE49-F238E27FC236}">
                <a16:creationId xmlns:a16="http://schemas.microsoft.com/office/drawing/2014/main" id="{633ABF78-3AF8-4817-B8B8-0DFEFD463C25}"/>
              </a:ext>
            </a:extLst>
          </xdr:cNvPr>
          <xdr:cNvSpPr/>
        </xdr:nvSpPr>
        <xdr:spPr>
          <a:xfrm>
            <a:off x="14955671" y="11408088"/>
            <a:ext cx="307315" cy="195159"/>
          </a:xfrm>
          <a:custGeom>
            <a:avLst/>
            <a:gdLst>
              <a:gd name="connsiteX0" fmla="*/ 292822 w 307315"/>
              <a:gd name="connsiteY0" fmla="*/ 101409 h 195159"/>
              <a:gd name="connsiteX1" fmla="*/ 307316 w 307315"/>
              <a:gd name="connsiteY1" fmla="*/ 76141 h 195159"/>
              <a:gd name="connsiteX2" fmla="*/ 264485 w 307315"/>
              <a:gd name="connsiteY2" fmla="*/ 15159 h 195159"/>
              <a:gd name="connsiteX3" fmla="*/ 206287 w 307315"/>
              <a:gd name="connsiteY3" fmla="*/ 15159 h 195159"/>
              <a:gd name="connsiteX4" fmla="*/ 197919 w 307315"/>
              <a:gd name="connsiteY4" fmla="*/ 12230 h 195159"/>
              <a:gd name="connsiteX5" fmla="*/ 188475 w 307315"/>
              <a:gd name="connsiteY5" fmla="*/ 4120 h 195159"/>
              <a:gd name="connsiteX6" fmla="*/ 177118 w 307315"/>
              <a:gd name="connsiteY6" fmla="*/ 3430 h 195159"/>
              <a:gd name="connsiteX7" fmla="*/ 166459 w 307315"/>
              <a:gd name="connsiteY7" fmla="*/ 0 h 195159"/>
              <a:gd name="connsiteX8" fmla="*/ 154655 w 307315"/>
              <a:gd name="connsiteY8" fmla="*/ 4111 h 195159"/>
              <a:gd name="connsiteX9" fmla="*/ 133607 w 307315"/>
              <a:gd name="connsiteY9" fmla="*/ 12440 h 195159"/>
              <a:gd name="connsiteX10" fmla="*/ 126708 w 307315"/>
              <a:gd name="connsiteY10" fmla="*/ 15159 h 195159"/>
              <a:gd name="connsiteX11" fmla="*/ 37784 w 307315"/>
              <a:gd name="connsiteY11" fmla="*/ 15159 h 195159"/>
              <a:gd name="connsiteX12" fmla="*/ 0 w 307315"/>
              <a:gd name="connsiteY12" fmla="*/ 75159 h 195159"/>
              <a:gd name="connsiteX13" fmla="*/ 37525 w 307315"/>
              <a:gd name="connsiteY13" fmla="*/ 135139 h 195159"/>
              <a:gd name="connsiteX14" fmla="*/ 126575 w 307315"/>
              <a:gd name="connsiteY14" fmla="*/ 135159 h 195159"/>
              <a:gd name="connsiteX15" fmla="*/ 126575 w 307315"/>
              <a:gd name="connsiteY15" fmla="*/ 195159 h 195159"/>
              <a:gd name="connsiteX16" fmla="*/ 164358 w 307315"/>
              <a:gd name="connsiteY16" fmla="*/ 166097 h 195159"/>
              <a:gd name="connsiteX17" fmla="*/ 202142 w 307315"/>
              <a:gd name="connsiteY17" fmla="*/ 195159 h 195159"/>
              <a:gd name="connsiteX18" fmla="*/ 202142 w 307315"/>
              <a:gd name="connsiteY18" fmla="*/ 135159 h 195159"/>
              <a:gd name="connsiteX19" fmla="*/ 290933 w 307315"/>
              <a:gd name="connsiteY19" fmla="*/ 135159 h 195159"/>
              <a:gd name="connsiteX20" fmla="*/ 294712 w 307315"/>
              <a:gd name="connsiteY20" fmla="*/ 131409 h 195159"/>
              <a:gd name="connsiteX21" fmla="*/ 290933 w 307315"/>
              <a:gd name="connsiteY21" fmla="*/ 127659 h 195159"/>
              <a:gd name="connsiteX22" fmla="*/ 266374 w 307315"/>
              <a:gd name="connsiteY22" fmla="*/ 105159 h 195159"/>
              <a:gd name="connsiteX23" fmla="*/ 266374 w 307315"/>
              <a:gd name="connsiteY23" fmla="*/ 101409 h 195159"/>
              <a:gd name="connsiteX24" fmla="*/ 138666 w 307315"/>
              <a:gd name="connsiteY24" fmla="*/ 19543 h 195159"/>
              <a:gd name="connsiteX25" fmla="*/ 139572 w 307315"/>
              <a:gd name="connsiteY25" fmla="*/ 17357 h 195159"/>
              <a:gd name="connsiteX26" fmla="*/ 145224 w 307315"/>
              <a:gd name="connsiteY26" fmla="*/ 11810 h 195159"/>
              <a:gd name="connsiteX27" fmla="*/ 154089 w 307315"/>
              <a:gd name="connsiteY27" fmla="*/ 11845 h 195159"/>
              <a:gd name="connsiteX28" fmla="*/ 156519 w 307315"/>
              <a:gd name="connsiteY28" fmla="*/ 12861 h 195159"/>
              <a:gd name="connsiteX29" fmla="*/ 158318 w 307315"/>
              <a:gd name="connsiteY29" fmla="*/ 10949 h 195159"/>
              <a:gd name="connsiteX30" fmla="*/ 173937 w 307315"/>
              <a:gd name="connsiteY30" fmla="*/ 10464 h 195159"/>
              <a:gd name="connsiteX31" fmla="*/ 175693 w 307315"/>
              <a:gd name="connsiteY31" fmla="*/ 11958 h 195159"/>
              <a:gd name="connsiteX32" fmla="*/ 177833 w 307315"/>
              <a:gd name="connsiteY32" fmla="*/ 11085 h 195159"/>
              <a:gd name="connsiteX33" fmla="*/ 185761 w 307315"/>
              <a:gd name="connsiteY33" fmla="*/ 11122 h 195159"/>
              <a:gd name="connsiteX34" fmla="*/ 191935 w 307315"/>
              <a:gd name="connsiteY34" fmla="*/ 17227 h 195159"/>
              <a:gd name="connsiteX35" fmla="*/ 192893 w 307315"/>
              <a:gd name="connsiteY35" fmla="*/ 19807 h 195159"/>
              <a:gd name="connsiteX36" fmla="*/ 195662 w 307315"/>
              <a:gd name="connsiteY36" fmla="*/ 19677 h 195159"/>
              <a:gd name="connsiteX37" fmla="*/ 203911 w 307315"/>
              <a:gd name="connsiteY37" fmla="*/ 22834 h 195159"/>
              <a:gd name="connsiteX38" fmla="*/ 207095 w 307315"/>
              <a:gd name="connsiteY38" fmla="*/ 30057 h 195159"/>
              <a:gd name="connsiteX39" fmla="*/ 207228 w 307315"/>
              <a:gd name="connsiteY39" fmla="*/ 32416 h 195159"/>
              <a:gd name="connsiteX40" fmla="*/ 209429 w 307315"/>
              <a:gd name="connsiteY40" fmla="*/ 33316 h 195159"/>
              <a:gd name="connsiteX41" fmla="*/ 215017 w 307315"/>
              <a:gd name="connsiteY41" fmla="*/ 38924 h 195159"/>
              <a:gd name="connsiteX42" fmla="*/ 214979 w 307315"/>
              <a:gd name="connsiteY42" fmla="*/ 47723 h 195159"/>
              <a:gd name="connsiteX43" fmla="*/ 213959 w 307315"/>
              <a:gd name="connsiteY43" fmla="*/ 50132 h 195159"/>
              <a:gd name="connsiteX44" fmla="*/ 215886 w 307315"/>
              <a:gd name="connsiteY44" fmla="*/ 51917 h 195159"/>
              <a:gd name="connsiteX45" fmla="*/ 219356 w 307315"/>
              <a:gd name="connsiteY45" fmla="*/ 60000 h 195159"/>
              <a:gd name="connsiteX46" fmla="*/ 216463 w 307315"/>
              <a:gd name="connsiteY46" fmla="*/ 67315 h 195159"/>
              <a:gd name="connsiteX47" fmla="*/ 214829 w 307315"/>
              <a:gd name="connsiteY47" fmla="*/ 69073 h 195159"/>
              <a:gd name="connsiteX48" fmla="*/ 215745 w 307315"/>
              <a:gd name="connsiteY48" fmla="*/ 71285 h 195159"/>
              <a:gd name="connsiteX49" fmla="*/ 215707 w 307315"/>
              <a:gd name="connsiteY49" fmla="*/ 79153 h 195159"/>
              <a:gd name="connsiteX50" fmla="*/ 209560 w 307315"/>
              <a:gd name="connsiteY50" fmla="*/ 85280 h 195159"/>
              <a:gd name="connsiteX51" fmla="*/ 206959 w 307315"/>
              <a:gd name="connsiteY51" fmla="*/ 86230 h 195159"/>
              <a:gd name="connsiteX52" fmla="*/ 207090 w 307315"/>
              <a:gd name="connsiteY52" fmla="*/ 88977 h 195159"/>
              <a:gd name="connsiteX53" fmla="*/ 203907 w 307315"/>
              <a:gd name="connsiteY53" fmla="*/ 97167 h 195159"/>
              <a:gd name="connsiteX54" fmla="*/ 196633 w 307315"/>
              <a:gd name="connsiteY54" fmla="*/ 100326 h 195159"/>
              <a:gd name="connsiteX55" fmla="*/ 194255 w 307315"/>
              <a:gd name="connsiteY55" fmla="*/ 100456 h 195159"/>
              <a:gd name="connsiteX56" fmla="*/ 193348 w 307315"/>
              <a:gd name="connsiteY56" fmla="*/ 102642 h 195159"/>
              <a:gd name="connsiteX57" fmla="*/ 187697 w 307315"/>
              <a:gd name="connsiteY57" fmla="*/ 108188 h 195159"/>
              <a:gd name="connsiteX58" fmla="*/ 178832 w 307315"/>
              <a:gd name="connsiteY58" fmla="*/ 108153 h 195159"/>
              <a:gd name="connsiteX59" fmla="*/ 176403 w 307315"/>
              <a:gd name="connsiteY59" fmla="*/ 107137 h 195159"/>
              <a:gd name="connsiteX60" fmla="*/ 174604 w 307315"/>
              <a:gd name="connsiteY60" fmla="*/ 109050 h 195159"/>
              <a:gd name="connsiteX61" fmla="*/ 158983 w 307315"/>
              <a:gd name="connsiteY61" fmla="*/ 109535 h 195159"/>
              <a:gd name="connsiteX62" fmla="*/ 157227 w 307315"/>
              <a:gd name="connsiteY62" fmla="*/ 108041 h 195159"/>
              <a:gd name="connsiteX63" fmla="*/ 155086 w 307315"/>
              <a:gd name="connsiteY63" fmla="*/ 108914 h 195159"/>
              <a:gd name="connsiteX64" fmla="*/ 147159 w 307315"/>
              <a:gd name="connsiteY64" fmla="*/ 108876 h 195159"/>
              <a:gd name="connsiteX65" fmla="*/ 140986 w 307315"/>
              <a:gd name="connsiteY65" fmla="*/ 102771 h 195159"/>
              <a:gd name="connsiteX66" fmla="*/ 140028 w 307315"/>
              <a:gd name="connsiteY66" fmla="*/ 100192 h 195159"/>
              <a:gd name="connsiteX67" fmla="*/ 137259 w 307315"/>
              <a:gd name="connsiteY67" fmla="*/ 100322 h 195159"/>
              <a:gd name="connsiteX68" fmla="*/ 129011 w 307315"/>
              <a:gd name="connsiteY68" fmla="*/ 97165 h 195159"/>
              <a:gd name="connsiteX69" fmla="*/ 125826 w 307315"/>
              <a:gd name="connsiteY69" fmla="*/ 89942 h 195159"/>
              <a:gd name="connsiteX70" fmla="*/ 125694 w 307315"/>
              <a:gd name="connsiteY70" fmla="*/ 87581 h 195159"/>
              <a:gd name="connsiteX71" fmla="*/ 123492 w 307315"/>
              <a:gd name="connsiteY71" fmla="*/ 86681 h 195159"/>
              <a:gd name="connsiteX72" fmla="*/ 117904 w 307315"/>
              <a:gd name="connsiteY72" fmla="*/ 81073 h 195159"/>
              <a:gd name="connsiteX73" fmla="*/ 117939 w 307315"/>
              <a:gd name="connsiteY73" fmla="*/ 72276 h 195159"/>
              <a:gd name="connsiteX74" fmla="*/ 118963 w 307315"/>
              <a:gd name="connsiteY74" fmla="*/ 69865 h 195159"/>
              <a:gd name="connsiteX75" fmla="*/ 117036 w 307315"/>
              <a:gd name="connsiteY75" fmla="*/ 68080 h 195159"/>
              <a:gd name="connsiteX76" fmla="*/ 113562 w 307315"/>
              <a:gd name="connsiteY76" fmla="*/ 60000 h 195159"/>
              <a:gd name="connsiteX77" fmla="*/ 116549 w 307315"/>
              <a:gd name="connsiteY77" fmla="*/ 52583 h 195159"/>
              <a:gd name="connsiteX78" fmla="*/ 118054 w 307315"/>
              <a:gd name="connsiteY78" fmla="*/ 50837 h 195159"/>
              <a:gd name="connsiteX79" fmla="*/ 117174 w 307315"/>
              <a:gd name="connsiteY79" fmla="*/ 48713 h 195159"/>
              <a:gd name="connsiteX80" fmla="*/ 117212 w 307315"/>
              <a:gd name="connsiteY80" fmla="*/ 40845 h 195159"/>
              <a:gd name="connsiteX81" fmla="*/ 123359 w 307315"/>
              <a:gd name="connsiteY81" fmla="*/ 34719 h 195159"/>
              <a:gd name="connsiteX82" fmla="*/ 125961 w 307315"/>
              <a:gd name="connsiteY82" fmla="*/ 33768 h 195159"/>
              <a:gd name="connsiteX83" fmla="*/ 125830 w 307315"/>
              <a:gd name="connsiteY83" fmla="*/ 31022 h 195159"/>
              <a:gd name="connsiteX84" fmla="*/ 129012 w 307315"/>
              <a:gd name="connsiteY84" fmla="*/ 22832 h 195159"/>
              <a:gd name="connsiteX85" fmla="*/ 136287 w 307315"/>
              <a:gd name="connsiteY85" fmla="*/ 19673 h 195159"/>
              <a:gd name="connsiteX86" fmla="*/ 119995 w 307315"/>
              <a:gd name="connsiteY86" fmla="*/ 22659 h 195159"/>
              <a:gd name="connsiteX87" fmla="*/ 118329 w 307315"/>
              <a:gd name="connsiteY87" fmla="*/ 28777 h 195159"/>
              <a:gd name="connsiteX88" fmla="*/ 110160 w 307315"/>
              <a:gd name="connsiteY88" fmla="*/ 38152 h 195159"/>
              <a:gd name="connsiteX89" fmla="*/ 109465 w 307315"/>
              <a:gd name="connsiteY89" fmla="*/ 49420 h 195159"/>
              <a:gd name="connsiteX90" fmla="*/ 106005 w 307315"/>
              <a:gd name="connsiteY90" fmla="*/ 60000 h 195159"/>
              <a:gd name="connsiteX91" fmla="*/ 110147 w 307315"/>
              <a:gd name="connsiteY91" fmla="*/ 71717 h 195159"/>
              <a:gd name="connsiteX92" fmla="*/ 111007 w 307315"/>
              <a:gd name="connsiteY92" fmla="*/ 84139 h 195159"/>
              <a:gd name="connsiteX93" fmla="*/ 118541 w 307315"/>
              <a:gd name="connsiteY93" fmla="*/ 92606 h 195159"/>
              <a:gd name="connsiteX94" fmla="*/ 118874 w 307315"/>
              <a:gd name="connsiteY94" fmla="*/ 93909 h 195159"/>
              <a:gd name="connsiteX95" fmla="*/ 66635 w 307315"/>
              <a:gd name="connsiteY95" fmla="*/ 93909 h 195159"/>
              <a:gd name="connsiteX96" fmla="*/ 73678 w 307315"/>
              <a:gd name="connsiteY96" fmla="*/ 71409 h 195159"/>
              <a:gd name="connsiteX97" fmla="*/ 56708 w 307315"/>
              <a:gd name="connsiteY97" fmla="*/ 22659 h 195159"/>
              <a:gd name="connsiteX98" fmla="*/ 37785 w 307315"/>
              <a:gd name="connsiteY98" fmla="*/ 127659 h 195159"/>
              <a:gd name="connsiteX99" fmla="*/ 7558 w 307315"/>
              <a:gd name="connsiteY99" fmla="*/ 75159 h 195159"/>
              <a:gd name="connsiteX100" fmla="*/ 37785 w 307315"/>
              <a:gd name="connsiteY100" fmla="*/ 22659 h 195159"/>
              <a:gd name="connsiteX101" fmla="*/ 66122 w 307315"/>
              <a:gd name="connsiteY101" fmla="*/ 71404 h 195159"/>
              <a:gd name="connsiteX102" fmla="*/ 51009 w 307315"/>
              <a:gd name="connsiteY102" fmla="*/ 93909 h 195159"/>
              <a:gd name="connsiteX103" fmla="*/ 35895 w 307315"/>
              <a:gd name="connsiteY103" fmla="*/ 69534 h 195159"/>
              <a:gd name="connsiteX104" fmla="*/ 36777 w 307315"/>
              <a:gd name="connsiteY104" fmla="*/ 61423 h 195159"/>
              <a:gd name="connsiteX105" fmla="*/ 33912 w 307315"/>
              <a:gd name="connsiteY105" fmla="*/ 56946 h 195159"/>
              <a:gd name="connsiteX106" fmla="*/ 29401 w 307315"/>
              <a:gd name="connsiteY106" fmla="*/ 59789 h 195159"/>
              <a:gd name="connsiteX107" fmla="*/ 28339 w 307315"/>
              <a:gd name="connsiteY107" fmla="*/ 69534 h 195159"/>
              <a:gd name="connsiteX108" fmla="*/ 51009 w 307315"/>
              <a:gd name="connsiteY108" fmla="*/ 101409 h 195159"/>
              <a:gd name="connsiteX109" fmla="*/ 122754 w 307315"/>
              <a:gd name="connsiteY109" fmla="*/ 101409 h 195159"/>
              <a:gd name="connsiteX110" fmla="*/ 123669 w 307315"/>
              <a:gd name="connsiteY110" fmla="*/ 102471 h 195159"/>
              <a:gd name="connsiteX111" fmla="*/ 126575 w 307315"/>
              <a:gd name="connsiteY111" fmla="*/ 104806 h 195159"/>
              <a:gd name="connsiteX112" fmla="*/ 126575 w 307315"/>
              <a:gd name="connsiteY112" fmla="*/ 127659 h 195159"/>
              <a:gd name="connsiteX113" fmla="*/ 168988 w 307315"/>
              <a:gd name="connsiteY113" fmla="*/ 160170 h 195159"/>
              <a:gd name="connsiteX114" fmla="*/ 164360 w 307315"/>
              <a:gd name="connsiteY114" fmla="*/ 156607 h 195159"/>
              <a:gd name="connsiteX115" fmla="*/ 159731 w 307315"/>
              <a:gd name="connsiteY115" fmla="*/ 160170 h 195159"/>
              <a:gd name="connsiteX116" fmla="*/ 134133 w 307315"/>
              <a:gd name="connsiteY116" fmla="*/ 179857 h 195159"/>
              <a:gd name="connsiteX117" fmla="*/ 134133 w 307315"/>
              <a:gd name="connsiteY117" fmla="*/ 107620 h 195159"/>
              <a:gd name="connsiteX118" fmla="*/ 135002 w 307315"/>
              <a:gd name="connsiteY118" fmla="*/ 107770 h 195159"/>
              <a:gd name="connsiteX119" fmla="*/ 144446 w 307315"/>
              <a:gd name="connsiteY119" fmla="*/ 115880 h 195159"/>
              <a:gd name="connsiteX120" fmla="*/ 155801 w 307315"/>
              <a:gd name="connsiteY120" fmla="*/ 116570 h 195159"/>
              <a:gd name="connsiteX121" fmla="*/ 166459 w 307315"/>
              <a:gd name="connsiteY121" fmla="*/ 120000 h 195159"/>
              <a:gd name="connsiteX122" fmla="*/ 178264 w 307315"/>
              <a:gd name="connsiteY122" fmla="*/ 115889 h 195159"/>
              <a:gd name="connsiteX123" fmla="*/ 190780 w 307315"/>
              <a:gd name="connsiteY123" fmla="*/ 115038 h 195159"/>
              <a:gd name="connsiteX124" fmla="*/ 194584 w 307315"/>
              <a:gd name="connsiteY124" fmla="*/ 112754 h 195159"/>
              <a:gd name="connsiteX125" fmla="*/ 194584 w 307315"/>
              <a:gd name="connsiteY125" fmla="*/ 179859 h 195159"/>
              <a:gd name="connsiteX126" fmla="*/ 269762 w 307315"/>
              <a:gd name="connsiteY126" fmla="*/ 127659 h 195159"/>
              <a:gd name="connsiteX127" fmla="*/ 202142 w 307315"/>
              <a:gd name="connsiteY127" fmla="*/ 127659 h 195159"/>
              <a:gd name="connsiteX128" fmla="*/ 202142 w 307315"/>
              <a:gd name="connsiteY128" fmla="*/ 106838 h 195159"/>
              <a:gd name="connsiteX129" fmla="*/ 209252 w 307315"/>
              <a:gd name="connsiteY129" fmla="*/ 102470 h 195159"/>
              <a:gd name="connsiteX130" fmla="*/ 210159 w 307315"/>
              <a:gd name="connsiteY130" fmla="*/ 101408 h 195159"/>
              <a:gd name="connsiteX131" fmla="*/ 258817 w 307315"/>
              <a:gd name="connsiteY131" fmla="*/ 101408 h 195159"/>
              <a:gd name="connsiteX132" fmla="*/ 258817 w 307315"/>
              <a:gd name="connsiteY132" fmla="*/ 105158 h 195159"/>
              <a:gd name="connsiteX133" fmla="*/ 269761 w 307315"/>
              <a:gd name="connsiteY133" fmla="*/ 127659 h 195159"/>
              <a:gd name="connsiteX134" fmla="*/ 214122 w 307315"/>
              <a:gd name="connsiteY134" fmla="*/ 93909 h 195159"/>
              <a:gd name="connsiteX135" fmla="*/ 214594 w 307315"/>
              <a:gd name="connsiteY135" fmla="*/ 91223 h 195159"/>
              <a:gd name="connsiteX136" fmla="*/ 222763 w 307315"/>
              <a:gd name="connsiteY136" fmla="*/ 81848 h 195159"/>
              <a:gd name="connsiteX137" fmla="*/ 223472 w 307315"/>
              <a:gd name="connsiteY137" fmla="*/ 70631 h 195159"/>
              <a:gd name="connsiteX138" fmla="*/ 226912 w 307315"/>
              <a:gd name="connsiteY138" fmla="*/ 60000 h 195159"/>
              <a:gd name="connsiteX139" fmla="*/ 222773 w 307315"/>
              <a:gd name="connsiteY139" fmla="*/ 48283 h 195159"/>
              <a:gd name="connsiteX140" fmla="*/ 214378 w 307315"/>
              <a:gd name="connsiteY140" fmla="*/ 27396 h 195159"/>
              <a:gd name="connsiteX141" fmla="*/ 212832 w 307315"/>
              <a:gd name="connsiteY141" fmla="*/ 22661 h 195159"/>
              <a:gd name="connsiteX142" fmla="*/ 264483 w 307315"/>
              <a:gd name="connsiteY142" fmla="*/ 22661 h 195159"/>
              <a:gd name="connsiteX143" fmla="*/ 299759 w 307315"/>
              <a:gd name="connsiteY143" fmla="*/ 76141 h 195159"/>
              <a:gd name="connsiteX144" fmla="*/ 292822 w 307315"/>
              <a:gd name="connsiteY144" fmla="*/ 93909 h 19515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307315" h="195159">
                <a:moveTo>
                  <a:pt x="292822" y="101409"/>
                </a:moveTo>
                <a:cubicBezTo>
                  <a:pt x="301897" y="101409"/>
                  <a:pt x="307316" y="91963"/>
                  <a:pt x="307316" y="76141"/>
                </a:cubicBezTo>
                <a:cubicBezTo>
                  <a:pt x="307316" y="51548"/>
                  <a:pt x="293702" y="15159"/>
                  <a:pt x="264485" y="15159"/>
                </a:cubicBezTo>
                <a:lnTo>
                  <a:pt x="206287" y="15159"/>
                </a:lnTo>
                <a:cubicBezTo>
                  <a:pt x="203793" y="13494"/>
                  <a:pt x="200913" y="12486"/>
                  <a:pt x="197919" y="12230"/>
                </a:cubicBezTo>
                <a:cubicBezTo>
                  <a:pt x="195837" y="8503"/>
                  <a:pt x="192491" y="5629"/>
                  <a:pt x="188475" y="4120"/>
                </a:cubicBezTo>
                <a:cubicBezTo>
                  <a:pt x="184855" y="2717"/>
                  <a:pt x="180883" y="2475"/>
                  <a:pt x="177118" y="3430"/>
                </a:cubicBezTo>
                <a:cubicBezTo>
                  <a:pt x="174016" y="1204"/>
                  <a:pt x="170286" y="4"/>
                  <a:pt x="166459" y="0"/>
                </a:cubicBezTo>
                <a:cubicBezTo>
                  <a:pt x="162167" y="-5"/>
                  <a:pt x="158003" y="1446"/>
                  <a:pt x="154655" y="4111"/>
                </a:cubicBezTo>
                <a:cubicBezTo>
                  <a:pt x="146548" y="1836"/>
                  <a:pt x="137913" y="5253"/>
                  <a:pt x="133607" y="12440"/>
                </a:cubicBezTo>
                <a:cubicBezTo>
                  <a:pt x="131147" y="12879"/>
                  <a:pt x="128801" y="13804"/>
                  <a:pt x="126708" y="15159"/>
                </a:cubicBezTo>
                <a:lnTo>
                  <a:pt x="37784" y="15159"/>
                </a:lnTo>
                <a:cubicBezTo>
                  <a:pt x="16596" y="15159"/>
                  <a:pt x="0" y="41514"/>
                  <a:pt x="0" y="75159"/>
                </a:cubicBezTo>
                <a:cubicBezTo>
                  <a:pt x="0" y="108666"/>
                  <a:pt x="16464" y="134924"/>
                  <a:pt x="37525" y="135139"/>
                </a:cubicBezTo>
                <a:lnTo>
                  <a:pt x="126575" y="135159"/>
                </a:lnTo>
                <a:lnTo>
                  <a:pt x="126575" y="195159"/>
                </a:lnTo>
                <a:lnTo>
                  <a:pt x="164358" y="166097"/>
                </a:lnTo>
                <a:lnTo>
                  <a:pt x="202142" y="195159"/>
                </a:lnTo>
                <a:lnTo>
                  <a:pt x="202142" y="135159"/>
                </a:lnTo>
                <a:lnTo>
                  <a:pt x="290933" y="135159"/>
                </a:lnTo>
                <a:cubicBezTo>
                  <a:pt x="293020" y="135159"/>
                  <a:pt x="294712" y="133481"/>
                  <a:pt x="294712" y="131409"/>
                </a:cubicBezTo>
                <a:cubicBezTo>
                  <a:pt x="294712" y="129338"/>
                  <a:pt x="293020" y="127659"/>
                  <a:pt x="290933" y="127659"/>
                </a:cubicBezTo>
                <a:cubicBezTo>
                  <a:pt x="277904" y="128141"/>
                  <a:pt x="266931" y="118088"/>
                  <a:pt x="266374" y="105159"/>
                </a:cubicBezTo>
                <a:lnTo>
                  <a:pt x="266374" y="101409"/>
                </a:lnTo>
                <a:close/>
                <a:moveTo>
                  <a:pt x="138666" y="19543"/>
                </a:moveTo>
                <a:lnTo>
                  <a:pt x="139572" y="17357"/>
                </a:lnTo>
                <a:cubicBezTo>
                  <a:pt x="140664" y="14853"/>
                  <a:pt x="142690" y="12866"/>
                  <a:pt x="145224" y="11810"/>
                </a:cubicBezTo>
                <a:cubicBezTo>
                  <a:pt x="148054" y="10588"/>
                  <a:pt x="151270" y="10601"/>
                  <a:pt x="154089" y="11845"/>
                </a:cubicBezTo>
                <a:lnTo>
                  <a:pt x="156519" y="12861"/>
                </a:lnTo>
                <a:lnTo>
                  <a:pt x="158318" y="10949"/>
                </a:lnTo>
                <a:cubicBezTo>
                  <a:pt x="162523" y="6594"/>
                  <a:pt x="169465" y="6378"/>
                  <a:pt x="173937" y="10464"/>
                </a:cubicBezTo>
                <a:lnTo>
                  <a:pt x="175693" y="11958"/>
                </a:lnTo>
                <a:lnTo>
                  <a:pt x="177833" y="11085"/>
                </a:lnTo>
                <a:cubicBezTo>
                  <a:pt x="180384" y="10093"/>
                  <a:pt x="183220" y="10107"/>
                  <a:pt x="185761" y="11122"/>
                </a:cubicBezTo>
                <a:cubicBezTo>
                  <a:pt x="188621" y="12160"/>
                  <a:pt x="190879" y="14392"/>
                  <a:pt x="191935" y="17227"/>
                </a:cubicBezTo>
                <a:lnTo>
                  <a:pt x="192893" y="19807"/>
                </a:lnTo>
                <a:lnTo>
                  <a:pt x="195662" y="19677"/>
                </a:lnTo>
                <a:cubicBezTo>
                  <a:pt x="198748" y="19459"/>
                  <a:pt x="201771" y="20616"/>
                  <a:pt x="203911" y="22834"/>
                </a:cubicBezTo>
                <a:cubicBezTo>
                  <a:pt x="205840" y="24765"/>
                  <a:pt x="206975" y="27340"/>
                  <a:pt x="207095" y="30057"/>
                </a:cubicBezTo>
                <a:lnTo>
                  <a:pt x="207228" y="32416"/>
                </a:lnTo>
                <a:lnTo>
                  <a:pt x="209429" y="33316"/>
                </a:lnTo>
                <a:cubicBezTo>
                  <a:pt x="211951" y="34400"/>
                  <a:pt x="213953" y="36409"/>
                  <a:pt x="215017" y="38924"/>
                </a:cubicBezTo>
                <a:cubicBezTo>
                  <a:pt x="216248" y="41733"/>
                  <a:pt x="216234" y="44925"/>
                  <a:pt x="214979" y="47723"/>
                </a:cubicBezTo>
                <a:lnTo>
                  <a:pt x="213959" y="50132"/>
                </a:lnTo>
                <a:lnTo>
                  <a:pt x="215886" y="51917"/>
                </a:lnTo>
                <a:cubicBezTo>
                  <a:pt x="218132" y="54011"/>
                  <a:pt x="219391" y="56942"/>
                  <a:pt x="219356" y="60000"/>
                </a:cubicBezTo>
                <a:cubicBezTo>
                  <a:pt x="219355" y="62713"/>
                  <a:pt x="218322" y="65326"/>
                  <a:pt x="216463" y="67315"/>
                </a:cubicBezTo>
                <a:lnTo>
                  <a:pt x="214829" y="69073"/>
                </a:lnTo>
                <a:lnTo>
                  <a:pt x="215745" y="71285"/>
                </a:lnTo>
                <a:cubicBezTo>
                  <a:pt x="216742" y="73817"/>
                  <a:pt x="216729" y="76631"/>
                  <a:pt x="215707" y="79153"/>
                </a:cubicBezTo>
                <a:cubicBezTo>
                  <a:pt x="214664" y="81992"/>
                  <a:pt x="212416" y="84233"/>
                  <a:pt x="209560" y="85280"/>
                </a:cubicBezTo>
                <a:lnTo>
                  <a:pt x="206959" y="86230"/>
                </a:lnTo>
                <a:lnTo>
                  <a:pt x="207090" y="88977"/>
                </a:lnTo>
                <a:cubicBezTo>
                  <a:pt x="207291" y="92038"/>
                  <a:pt x="206128" y="95033"/>
                  <a:pt x="203907" y="97167"/>
                </a:cubicBezTo>
                <a:cubicBezTo>
                  <a:pt x="201957" y="99074"/>
                  <a:pt x="199367" y="100198"/>
                  <a:pt x="196633" y="100326"/>
                </a:cubicBezTo>
                <a:lnTo>
                  <a:pt x="194255" y="100456"/>
                </a:lnTo>
                <a:lnTo>
                  <a:pt x="193348" y="102642"/>
                </a:lnTo>
                <a:cubicBezTo>
                  <a:pt x="192256" y="105146"/>
                  <a:pt x="190231" y="107133"/>
                  <a:pt x="187697" y="108188"/>
                </a:cubicBezTo>
                <a:cubicBezTo>
                  <a:pt x="184868" y="109411"/>
                  <a:pt x="181651" y="109399"/>
                  <a:pt x="178832" y="108153"/>
                </a:cubicBezTo>
                <a:lnTo>
                  <a:pt x="176403" y="107137"/>
                </a:lnTo>
                <a:lnTo>
                  <a:pt x="174604" y="109050"/>
                </a:lnTo>
                <a:cubicBezTo>
                  <a:pt x="170398" y="113406"/>
                  <a:pt x="163455" y="113621"/>
                  <a:pt x="158983" y="109535"/>
                </a:cubicBezTo>
                <a:lnTo>
                  <a:pt x="157227" y="108041"/>
                </a:lnTo>
                <a:lnTo>
                  <a:pt x="155086" y="108914"/>
                </a:lnTo>
                <a:cubicBezTo>
                  <a:pt x="152536" y="109905"/>
                  <a:pt x="149700" y="109892"/>
                  <a:pt x="147159" y="108876"/>
                </a:cubicBezTo>
                <a:cubicBezTo>
                  <a:pt x="144299" y="107838"/>
                  <a:pt x="142042" y="105606"/>
                  <a:pt x="140986" y="102771"/>
                </a:cubicBezTo>
                <a:lnTo>
                  <a:pt x="140028" y="100192"/>
                </a:lnTo>
                <a:lnTo>
                  <a:pt x="137259" y="100322"/>
                </a:lnTo>
                <a:cubicBezTo>
                  <a:pt x="134175" y="100526"/>
                  <a:pt x="131158" y="99371"/>
                  <a:pt x="129011" y="97165"/>
                </a:cubicBezTo>
                <a:cubicBezTo>
                  <a:pt x="127082" y="95234"/>
                  <a:pt x="125947" y="92658"/>
                  <a:pt x="125826" y="89942"/>
                </a:cubicBezTo>
                <a:lnTo>
                  <a:pt x="125694" y="87581"/>
                </a:lnTo>
                <a:lnTo>
                  <a:pt x="123492" y="86681"/>
                </a:lnTo>
                <a:cubicBezTo>
                  <a:pt x="120970" y="85597"/>
                  <a:pt x="118968" y="83588"/>
                  <a:pt x="117904" y="81073"/>
                </a:cubicBezTo>
                <a:cubicBezTo>
                  <a:pt x="116672" y="78266"/>
                  <a:pt x="116685" y="75074"/>
                  <a:pt x="117939" y="72276"/>
                </a:cubicBezTo>
                <a:lnTo>
                  <a:pt x="118963" y="69865"/>
                </a:lnTo>
                <a:lnTo>
                  <a:pt x="117036" y="68080"/>
                </a:lnTo>
                <a:cubicBezTo>
                  <a:pt x="114790" y="65988"/>
                  <a:pt x="113530" y="63057"/>
                  <a:pt x="113562" y="60000"/>
                </a:cubicBezTo>
                <a:cubicBezTo>
                  <a:pt x="113611" y="57248"/>
                  <a:pt x="114673" y="54609"/>
                  <a:pt x="116549" y="52583"/>
                </a:cubicBezTo>
                <a:lnTo>
                  <a:pt x="118054" y="50837"/>
                </a:lnTo>
                <a:lnTo>
                  <a:pt x="117174" y="48713"/>
                </a:lnTo>
                <a:cubicBezTo>
                  <a:pt x="116177" y="46182"/>
                  <a:pt x="116191" y="43368"/>
                  <a:pt x="117212" y="40845"/>
                </a:cubicBezTo>
                <a:cubicBezTo>
                  <a:pt x="118255" y="38006"/>
                  <a:pt x="120503" y="35766"/>
                  <a:pt x="123359" y="34719"/>
                </a:cubicBezTo>
                <a:lnTo>
                  <a:pt x="125961" y="33768"/>
                </a:lnTo>
                <a:lnTo>
                  <a:pt x="125830" y="31022"/>
                </a:lnTo>
                <a:cubicBezTo>
                  <a:pt x="125628" y="27960"/>
                  <a:pt x="126792" y="24966"/>
                  <a:pt x="129012" y="22832"/>
                </a:cubicBezTo>
                <a:cubicBezTo>
                  <a:pt x="130962" y="20925"/>
                  <a:pt x="133553" y="19800"/>
                  <a:pt x="136287" y="19673"/>
                </a:cubicBezTo>
                <a:close/>
                <a:moveTo>
                  <a:pt x="119995" y="22659"/>
                </a:moveTo>
                <a:cubicBezTo>
                  <a:pt x="119073" y="24582"/>
                  <a:pt x="118509" y="26655"/>
                  <a:pt x="118329" y="28777"/>
                </a:cubicBezTo>
                <a:cubicBezTo>
                  <a:pt x="114574" y="30843"/>
                  <a:pt x="111679" y="34166"/>
                  <a:pt x="110160" y="38152"/>
                </a:cubicBezTo>
                <a:cubicBezTo>
                  <a:pt x="108747" y="41744"/>
                  <a:pt x="108504" y="45684"/>
                  <a:pt x="109465" y="49420"/>
                </a:cubicBezTo>
                <a:cubicBezTo>
                  <a:pt x="107221" y="52499"/>
                  <a:pt x="106011" y="56201"/>
                  <a:pt x="106005" y="60000"/>
                </a:cubicBezTo>
                <a:cubicBezTo>
                  <a:pt x="106000" y="64260"/>
                  <a:pt x="107462" y="68394"/>
                  <a:pt x="110147" y="71717"/>
                </a:cubicBezTo>
                <a:cubicBezTo>
                  <a:pt x="108942" y="75828"/>
                  <a:pt x="109247" y="80230"/>
                  <a:pt x="111007" y="84139"/>
                </a:cubicBezTo>
                <a:cubicBezTo>
                  <a:pt x="112554" y="87680"/>
                  <a:pt x="115191" y="90644"/>
                  <a:pt x="118541" y="92606"/>
                </a:cubicBezTo>
                <a:cubicBezTo>
                  <a:pt x="118620" y="93051"/>
                  <a:pt x="118765" y="93474"/>
                  <a:pt x="118874" y="93909"/>
                </a:cubicBezTo>
                <a:lnTo>
                  <a:pt x="66635" y="93909"/>
                </a:lnTo>
                <a:cubicBezTo>
                  <a:pt x="71292" y="87323"/>
                  <a:pt x="73755" y="79455"/>
                  <a:pt x="73678" y="71409"/>
                </a:cubicBezTo>
                <a:cubicBezTo>
                  <a:pt x="73678" y="49506"/>
                  <a:pt x="67195" y="32024"/>
                  <a:pt x="56708" y="22659"/>
                </a:cubicBezTo>
                <a:close/>
                <a:moveTo>
                  <a:pt x="37785" y="127659"/>
                </a:moveTo>
                <a:cubicBezTo>
                  <a:pt x="21400" y="127659"/>
                  <a:pt x="7558" y="103617"/>
                  <a:pt x="7558" y="75159"/>
                </a:cubicBezTo>
                <a:cubicBezTo>
                  <a:pt x="7558" y="46701"/>
                  <a:pt x="21400" y="22659"/>
                  <a:pt x="37785" y="22659"/>
                </a:cubicBezTo>
                <a:cubicBezTo>
                  <a:pt x="54470" y="22659"/>
                  <a:pt x="66122" y="42706"/>
                  <a:pt x="66122" y="71404"/>
                </a:cubicBezTo>
                <a:cubicBezTo>
                  <a:pt x="66119" y="72323"/>
                  <a:pt x="65881" y="93909"/>
                  <a:pt x="51009" y="93909"/>
                </a:cubicBezTo>
                <a:cubicBezTo>
                  <a:pt x="42816" y="93909"/>
                  <a:pt x="35895" y="82747"/>
                  <a:pt x="35895" y="69534"/>
                </a:cubicBezTo>
                <a:cubicBezTo>
                  <a:pt x="35890" y="66807"/>
                  <a:pt x="36185" y="64086"/>
                  <a:pt x="36777" y="61423"/>
                </a:cubicBezTo>
                <a:cubicBezTo>
                  <a:pt x="37232" y="59401"/>
                  <a:pt x="35949" y="57397"/>
                  <a:pt x="33912" y="56946"/>
                </a:cubicBezTo>
                <a:cubicBezTo>
                  <a:pt x="31875" y="56495"/>
                  <a:pt x="29856" y="57768"/>
                  <a:pt x="29401" y="59789"/>
                </a:cubicBezTo>
                <a:cubicBezTo>
                  <a:pt x="28689" y="62990"/>
                  <a:pt x="28333" y="66257"/>
                  <a:pt x="28339" y="69534"/>
                </a:cubicBezTo>
                <a:cubicBezTo>
                  <a:pt x="28339" y="87409"/>
                  <a:pt x="38297" y="101409"/>
                  <a:pt x="51009" y="101409"/>
                </a:cubicBezTo>
                <a:lnTo>
                  <a:pt x="122754" y="101409"/>
                </a:lnTo>
                <a:cubicBezTo>
                  <a:pt x="123059" y="101763"/>
                  <a:pt x="123335" y="102140"/>
                  <a:pt x="123669" y="102471"/>
                </a:cubicBezTo>
                <a:cubicBezTo>
                  <a:pt x="124558" y="103342"/>
                  <a:pt x="125532" y="104124"/>
                  <a:pt x="126575" y="104806"/>
                </a:cubicBezTo>
                <a:lnTo>
                  <a:pt x="126575" y="127659"/>
                </a:lnTo>
                <a:close/>
                <a:moveTo>
                  <a:pt x="168988" y="160170"/>
                </a:moveTo>
                <a:lnTo>
                  <a:pt x="164360" y="156607"/>
                </a:lnTo>
                <a:lnTo>
                  <a:pt x="159731" y="160170"/>
                </a:lnTo>
                <a:lnTo>
                  <a:pt x="134133" y="179857"/>
                </a:lnTo>
                <a:lnTo>
                  <a:pt x="134133" y="107620"/>
                </a:lnTo>
                <a:cubicBezTo>
                  <a:pt x="134426" y="107658"/>
                  <a:pt x="134705" y="107745"/>
                  <a:pt x="135002" y="107770"/>
                </a:cubicBezTo>
                <a:cubicBezTo>
                  <a:pt x="137084" y="111498"/>
                  <a:pt x="140430" y="114371"/>
                  <a:pt x="144446" y="115880"/>
                </a:cubicBezTo>
                <a:cubicBezTo>
                  <a:pt x="148065" y="117282"/>
                  <a:pt x="152036" y="117524"/>
                  <a:pt x="155801" y="116570"/>
                </a:cubicBezTo>
                <a:cubicBezTo>
                  <a:pt x="158903" y="118796"/>
                  <a:pt x="162632" y="119996"/>
                  <a:pt x="166459" y="120000"/>
                </a:cubicBezTo>
                <a:cubicBezTo>
                  <a:pt x="170751" y="120005"/>
                  <a:pt x="174916" y="118554"/>
                  <a:pt x="178264" y="115889"/>
                </a:cubicBezTo>
                <a:cubicBezTo>
                  <a:pt x="182406" y="117087"/>
                  <a:pt x="186842" y="116785"/>
                  <a:pt x="190780" y="115038"/>
                </a:cubicBezTo>
                <a:cubicBezTo>
                  <a:pt x="192133" y="114425"/>
                  <a:pt x="193409" y="113658"/>
                  <a:pt x="194584" y="112754"/>
                </a:cubicBezTo>
                <a:lnTo>
                  <a:pt x="194584" y="179859"/>
                </a:lnTo>
                <a:close/>
                <a:moveTo>
                  <a:pt x="269762" y="127659"/>
                </a:moveTo>
                <a:lnTo>
                  <a:pt x="202142" y="127659"/>
                </a:lnTo>
                <a:lnTo>
                  <a:pt x="202142" y="106838"/>
                </a:lnTo>
                <a:cubicBezTo>
                  <a:pt x="204819" y="105943"/>
                  <a:pt x="207251" y="104448"/>
                  <a:pt x="209252" y="102470"/>
                </a:cubicBezTo>
                <a:cubicBezTo>
                  <a:pt x="209590" y="102135"/>
                  <a:pt x="209851" y="101759"/>
                  <a:pt x="210159" y="101408"/>
                </a:cubicBezTo>
                <a:lnTo>
                  <a:pt x="258817" y="101408"/>
                </a:lnTo>
                <a:lnTo>
                  <a:pt x="258817" y="105158"/>
                </a:lnTo>
                <a:cubicBezTo>
                  <a:pt x="258884" y="113907"/>
                  <a:pt x="262901" y="122165"/>
                  <a:pt x="269761" y="127659"/>
                </a:cubicBezTo>
                <a:close/>
                <a:moveTo>
                  <a:pt x="214122" y="93909"/>
                </a:moveTo>
                <a:cubicBezTo>
                  <a:pt x="214348" y="93027"/>
                  <a:pt x="214505" y="92129"/>
                  <a:pt x="214594" y="91223"/>
                </a:cubicBezTo>
                <a:cubicBezTo>
                  <a:pt x="218350" y="89156"/>
                  <a:pt x="221244" y="85834"/>
                  <a:pt x="222763" y="81848"/>
                </a:cubicBezTo>
                <a:cubicBezTo>
                  <a:pt x="224171" y="78274"/>
                  <a:pt x="224418" y="74352"/>
                  <a:pt x="223472" y="70631"/>
                </a:cubicBezTo>
                <a:cubicBezTo>
                  <a:pt x="225712" y="67533"/>
                  <a:pt x="226916" y="63814"/>
                  <a:pt x="226912" y="60000"/>
                </a:cubicBezTo>
                <a:cubicBezTo>
                  <a:pt x="226918" y="55740"/>
                  <a:pt x="225457" y="51606"/>
                  <a:pt x="222773" y="48283"/>
                </a:cubicBezTo>
                <a:cubicBezTo>
                  <a:pt x="225063" y="40237"/>
                  <a:pt x="221619" y="31668"/>
                  <a:pt x="214378" y="27396"/>
                </a:cubicBezTo>
                <a:cubicBezTo>
                  <a:pt x="214078" y="25756"/>
                  <a:pt x="213558" y="24164"/>
                  <a:pt x="212832" y="22661"/>
                </a:cubicBezTo>
                <a:lnTo>
                  <a:pt x="264483" y="22661"/>
                </a:lnTo>
                <a:cubicBezTo>
                  <a:pt x="287502" y="22659"/>
                  <a:pt x="299759" y="53720"/>
                  <a:pt x="299759" y="76141"/>
                </a:cubicBezTo>
                <a:cubicBezTo>
                  <a:pt x="299759" y="86603"/>
                  <a:pt x="296907" y="93909"/>
                  <a:pt x="292822" y="9390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97" name="Freeform: Shape 596">
            <a:extLst>
              <a:ext uri="{FF2B5EF4-FFF2-40B4-BE49-F238E27FC236}">
                <a16:creationId xmlns:a16="http://schemas.microsoft.com/office/drawing/2014/main" id="{28E329F7-B08B-489D-A549-C81AFEC5DBE2}"/>
              </a:ext>
            </a:extLst>
          </xdr:cNvPr>
          <xdr:cNvSpPr/>
        </xdr:nvSpPr>
        <xdr:spPr>
          <a:xfrm>
            <a:off x="15084369" y="11431434"/>
            <a:ext cx="73862" cy="73307"/>
          </a:xfrm>
          <a:custGeom>
            <a:avLst/>
            <a:gdLst>
              <a:gd name="connsiteX0" fmla="*/ 36931 w 73862"/>
              <a:gd name="connsiteY0" fmla="*/ 73308 h 73307"/>
              <a:gd name="connsiteX1" fmla="*/ 73862 w 73862"/>
              <a:gd name="connsiteY1" fmla="*/ 36654 h 73307"/>
              <a:gd name="connsiteX2" fmla="*/ 36931 w 73862"/>
              <a:gd name="connsiteY2" fmla="*/ 0 h 73307"/>
              <a:gd name="connsiteX3" fmla="*/ 0 w 73862"/>
              <a:gd name="connsiteY3" fmla="*/ 36654 h 73307"/>
              <a:gd name="connsiteX4" fmla="*/ 36931 w 73862"/>
              <a:gd name="connsiteY4" fmla="*/ 73308 h 73307"/>
              <a:gd name="connsiteX5" fmla="*/ 36931 w 73862"/>
              <a:gd name="connsiteY5" fmla="*/ 7500 h 73307"/>
              <a:gd name="connsiteX6" fmla="*/ 66306 w 73862"/>
              <a:gd name="connsiteY6" fmla="*/ 36654 h 73307"/>
              <a:gd name="connsiteX7" fmla="*/ 36931 w 73862"/>
              <a:gd name="connsiteY7" fmla="*/ 65808 h 73307"/>
              <a:gd name="connsiteX8" fmla="*/ 7557 w 73862"/>
              <a:gd name="connsiteY8" fmla="*/ 36654 h 73307"/>
              <a:gd name="connsiteX9" fmla="*/ 36931 w 73862"/>
              <a:gd name="connsiteY9" fmla="*/ 7500 h 733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73862" h="73307">
                <a:moveTo>
                  <a:pt x="36931" y="73308"/>
                </a:moveTo>
                <a:cubicBezTo>
                  <a:pt x="57328" y="73308"/>
                  <a:pt x="73862" y="56898"/>
                  <a:pt x="73862" y="36654"/>
                </a:cubicBezTo>
                <a:cubicBezTo>
                  <a:pt x="73862" y="16410"/>
                  <a:pt x="57328" y="0"/>
                  <a:pt x="36931" y="0"/>
                </a:cubicBezTo>
                <a:cubicBezTo>
                  <a:pt x="16534" y="0"/>
                  <a:pt x="0" y="16410"/>
                  <a:pt x="0" y="36654"/>
                </a:cubicBezTo>
                <a:cubicBezTo>
                  <a:pt x="23" y="56888"/>
                  <a:pt x="16544" y="73285"/>
                  <a:pt x="36931" y="73308"/>
                </a:cubicBezTo>
                <a:close/>
                <a:moveTo>
                  <a:pt x="36931" y="7500"/>
                </a:moveTo>
                <a:cubicBezTo>
                  <a:pt x="53154" y="7500"/>
                  <a:pt x="66306" y="20553"/>
                  <a:pt x="66306" y="36654"/>
                </a:cubicBezTo>
                <a:cubicBezTo>
                  <a:pt x="66306" y="52755"/>
                  <a:pt x="53154" y="65808"/>
                  <a:pt x="36931" y="65808"/>
                </a:cubicBezTo>
                <a:cubicBezTo>
                  <a:pt x="20708" y="65808"/>
                  <a:pt x="7557" y="52755"/>
                  <a:pt x="7557" y="36654"/>
                </a:cubicBezTo>
                <a:cubicBezTo>
                  <a:pt x="7576" y="20561"/>
                  <a:pt x="20716" y="7519"/>
                  <a:pt x="36931" y="75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6</xdr:col>
      <xdr:colOff>127264</xdr:colOff>
      <xdr:row>10</xdr:row>
      <xdr:rowOff>194722</xdr:rowOff>
    </xdr:from>
    <xdr:to>
      <xdr:col>6</xdr:col>
      <xdr:colOff>456780</xdr:colOff>
      <xdr:row>10</xdr:row>
      <xdr:rowOff>370971</xdr:rowOff>
    </xdr:to>
    <xdr:sp macro="" textlink="">
      <xdr:nvSpPr>
        <xdr:cNvPr id="598" name="graduation" descr="Graduation cap outline">
          <a:extLst>
            <a:ext uri="{FF2B5EF4-FFF2-40B4-BE49-F238E27FC236}">
              <a16:creationId xmlns:a16="http://schemas.microsoft.com/office/drawing/2014/main" id="{9FAB1101-DF49-4A91-BF4D-83227F9D5CC6}"/>
            </a:ext>
          </a:extLst>
        </xdr:cNvPr>
        <xdr:cNvSpPr>
          <a:spLocks noChangeAspect="1"/>
        </xdr:cNvSpPr>
      </xdr:nvSpPr>
      <xdr:spPr>
        <a:xfrm>
          <a:off x="4880239" y="4061872"/>
          <a:ext cx="329516" cy="176249"/>
        </a:xfrm>
        <a:custGeom>
          <a:avLst/>
          <a:gdLst>
            <a:gd name="connsiteX0" fmla="*/ 329517 w 329516"/>
            <a:gd name="connsiteY0" fmla="*/ 58500 h 176249"/>
            <a:gd name="connsiteX1" fmla="*/ 164758 w 329516"/>
            <a:gd name="connsiteY1" fmla="*/ 0 h 176249"/>
            <a:gd name="connsiteX2" fmla="*/ 0 w 329516"/>
            <a:gd name="connsiteY2" fmla="*/ 58500 h 176249"/>
            <a:gd name="connsiteX3" fmla="*/ 32494 w 329516"/>
            <a:gd name="connsiteY3" fmla="*/ 69821 h 176249"/>
            <a:gd name="connsiteX4" fmla="*/ 32494 w 329516"/>
            <a:gd name="connsiteY4" fmla="*/ 135000 h 176249"/>
            <a:gd name="connsiteX5" fmla="*/ 36272 w 329516"/>
            <a:gd name="connsiteY5" fmla="*/ 138750 h 176249"/>
            <a:gd name="connsiteX6" fmla="*/ 40050 w 329516"/>
            <a:gd name="connsiteY6" fmla="*/ 135000 h 176249"/>
            <a:gd name="connsiteX7" fmla="*/ 40050 w 329516"/>
            <a:gd name="connsiteY7" fmla="*/ 72450 h 176249"/>
            <a:gd name="connsiteX8" fmla="*/ 66642 w 329516"/>
            <a:gd name="connsiteY8" fmla="*/ 81713 h 176249"/>
            <a:gd name="connsiteX9" fmla="*/ 66642 w 329516"/>
            <a:gd name="connsiteY9" fmla="*/ 135713 h 176249"/>
            <a:gd name="connsiteX10" fmla="*/ 164758 w 329516"/>
            <a:gd name="connsiteY10" fmla="*/ 176250 h 176249"/>
            <a:gd name="connsiteX11" fmla="*/ 262878 w 329516"/>
            <a:gd name="connsiteY11" fmla="*/ 135720 h 176249"/>
            <a:gd name="connsiteX12" fmla="*/ 262878 w 329516"/>
            <a:gd name="connsiteY12" fmla="*/ 81713 h 176249"/>
            <a:gd name="connsiteX13" fmla="*/ 164758 w 329516"/>
            <a:gd name="connsiteY13" fmla="*/ 7969 h 176249"/>
            <a:gd name="connsiteX14" fmla="*/ 306802 w 329516"/>
            <a:gd name="connsiteY14" fmla="*/ 58402 h 176249"/>
            <a:gd name="connsiteX15" fmla="*/ 306802 w 329516"/>
            <a:gd name="connsiteY15" fmla="*/ 58470 h 176249"/>
            <a:gd name="connsiteX16" fmla="*/ 164758 w 329516"/>
            <a:gd name="connsiteY16" fmla="*/ 107933 h 176249"/>
            <a:gd name="connsiteX17" fmla="*/ 22731 w 329516"/>
            <a:gd name="connsiteY17" fmla="*/ 58470 h 176249"/>
            <a:gd name="connsiteX18" fmla="*/ 22731 w 329516"/>
            <a:gd name="connsiteY18" fmla="*/ 58402 h 176249"/>
            <a:gd name="connsiteX19" fmla="*/ 255322 w 329516"/>
            <a:gd name="connsiteY19" fmla="*/ 135720 h 176249"/>
            <a:gd name="connsiteX20" fmla="*/ 164758 w 329516"/>
            <a:gd name="connsiteY20" fmla="*/ 168750 h 176249"/>
            <a:gd name="connsiteX21" fmla="*/ 74199 w 329516"/>
            <a:gd name="connsiteY21" fmla="*/ 135720 h 176249"/>
            <a:gd name="connsiteX22" fmla="*/ 74199 w 329516"/>
            <a:gd name="connsiteY22" fmla="*/ 84345 h 176249"/>
            <a:gd name="connsiteX23" fmla="*/ 164758 w 329516"/>
            <a:gd name="connsiteY23" fmla="*/ 115875 h 176249"/>
            <a:gd name="connsiteX24" fmla="*/ 255322 w 329516"/>
            <a:gd name="connsiteY24" fmla="*/ 84338 h 17624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</a:cxnLst>
          <a:rect l="l" t="t" r="r" b="b"/>
          <a:pathLst>
            <a:path w="329516" h="176249">
              <a:moveTo>
                <a:pt x="329517" y="58500"/>
              </a:moveTo>
              <a:lnTo>
                <a:pt x="164758" y="0"/>
              </a:lnTo>
              <a:lnTo>
                <a:pt x="0" y="58500"/>
              </a:lnTo>
              <a:lnTo>
                <a:pt x="32494" y="69821"/>
              </a:lnTo>
              <a:lnTo>
                <a:pt x="32494" y="135000"/>
              </a:lnTo>
              <a:cubicBezTo>
                <a:pt x="32494" y="137071"/>
                <a:pt x="34185" y="138750"/>
                <a:pt x="36272" y="138750"/>
              </a:cubicBezTo>
              <a:cubicBezTo>
                <a:pt x="38359" y="138750"/>
                <a:pt x="40050" y="137071"/>
                <a:pt x="40050" y="135000"/>
              </a:cubicBezTo>
              <a:lnTo>
                <a:pt x="40050" y="72450"/>
              </a:lnTo>
              <a:lnTo>
                <a:pt x="66642" y="81713"/>
              </a:lnTo>
              <a:lnTo>
                <a:pt x="66642" y="135713"/>
              </a:lnTo>
              <a:cubicBezTo>
                <a:pt x="66642" y="157688"/>
                <a:pt x="111574" y="176250"/>
                <a:pt x="164758" y="176250"/>
              </a:cubicBezTo>
              <a:cubicBezTo>
                <a:pt x="217942" y="176250"/>
                <a:pt x="262878" y="157688"/>
                <a:pt x="262878" y="135720"/>
              </a:cubicBezTo>
              <a:lnTo>
                <a:pt x="262878" y="81713"/>
              </a:lnTo>
              <a:close/>
              <a:moveTo>
                <a:pt x="164758" y="7969"/>
              </a:moveTo>
              <a:lnTo>
                <a:pt x="306802" y="58402"/>
              </a:lnTo>
              <a:cubicBezTo>
                <a:pt x="306858" y="58421"/>
                <a:pt x="306858" y="58451"/>
                <a:pt x="306802" y="58470"/>
              </a:cubicBezTo>
              <a:lnTo>
                <a:pt x="164758" y="107933"/>
              </a:lnTo>
              <a:lnTo>
                <a:pt x="22731" y="58470"/>
              </a:lnTo>
              <a:cubicBezTo>
                <a:pt x="22674" y="58451"/>
                <a:pt x="22674" y="58421"/>
                <a:pt x="22731" y="58402"/>
              </a:cubicBezTo>
              <a:close/>
              <a:moveTo>
                <a:pt x="255322" y="135720"/>
              </a:moveTo>
              <a:cubicBezTo>
                <a:pt x="255322" y="150994"/>
                <a:pt x="215762" y="168750"/>
                <a:pt x="164758" y="168750"/>
              </a:cubicBezTo>
              <a:cubicBezTo>
                <a:pt x="113755" y="168750"/>
                <a:pt x="74199" y="150994"/>
                <a:pt x="74199" y="135720"/>
              </a:cubicBezTo>
              <a:lnTo>
                <a:pt x="74199" y="84345"/>
              </a:lnTo>
              <a:lnTo>
                <a:pt x="164758" y="115875"/>
              </a:lnTo>
              <a:lnTo>
                <a:pt x="255322" y="84338"/>
              </a:ln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twoCellAnchor>
  <xdr:twoCellAnchor editAs="oneCell">
    <xdr:from>
      <xdr:col>10</xdr:col>
      <xdr:colOff>198253</xdr:colOff>
      <xdr:row>17</xdr:row>
      <xdr:rowOff>162440</xdr:rowOff>
    </xdr:from>
    <xdr:to>
      <xdr:col>10</xdr:col>
      <xdr:colOff>394727</xdr:colOff>
      <xdr:row>17</xdr:row>
      <xdr:rowOff>425238</xdr:rowOff>
    </xdr:to>
    <xdr:grpSp>
      <xdr:nvGrpSpPr>
        <xdr:cNvPr id="599" name="schoolboy" descr="School boy outline">
          <a:extLst>
            <a:ext uri="{FF2B5EF4-FFF2-40B4-BE49-F238E27FC236}">
              <a16:creationId xmlns:a16="http://schemas.microsoft.com/office/drawing/2014/main" id="{8FA8BA04-149B-4D61-B65C-F18104042FD2}"/>
            </a:ext>
          </a:extLst>
        </xdr:cNvPr>
        <xdr:cNvGrpSpPr>
          <a:grpSpLocks noChangeAspect="1"/>
        </xdr:cNvGrpSpPr>
      </xdr:nvGrpSpPr>
      <xdr:grpSpPr>
        <a:xfrm>
          <a:off x="9208903" y="8715890"/>
          <a:ext cx="196474" cy="262798"/>
          <a:chOff x="13733864" y="11370290"/>
          <a:chExt cx="196474" cy="262798"/>
        </a:xfrm>
        <a:solidFill>
          <a:srgbClr val="1F4E78"/>
        </a:solidFill>
      </xdr:grpSpPr>
      <xdr:sp macro="" textlink="">
        <xdr:nvSpPr>
          <xdr:cNvPr id="600" name="Freeform: Shape 599">
            <a:extLst>
              <a:ext uri="{FF2B5EF4-FFF2-40B4-BE49-F238E27FC236}">
                <a16:creationId xmlns:a16="http://schemas.microsoft.com/office/drawing/2014/main" id="{CB9FF2F2-DF9D-4215-A23C-000AA846431E}"/>
              </a:ext>
            </a:extLst>
          </xdr:cNvPr>
          <xdr:cNvSpPr/>
        </xdr:nvSpPr>
        <xdr:spPr>
          <a:xfrm>
            <a:off x="13764087" y="11370290"/>
            <a:ext cx="136026" cy="146563"/>
          </a:xfrm>
          <a:custGeom>
            <a:avLst/>
            <a:gdLst>
              <a:gd name="connsiteX0" fmla="*/ 5573 w 136026"/>
              <a:gd name="connsiteY0" fmla="*/ 101548 h 146563"/>
              <a:gd name="connsiteX1" fmla="*/ 9483 w 136026"/>
              <a:gd name="connsiteY1" fmla="*/ 101548 h 146563"/>
              <a:gd name="connsiteX2" fmla="*/ 83076 w 136026"/>
              <a:gd name="connsiteY2" fmla="*/ 144651 h 146563"/>
              <a:gd name="connsiteX3" fmla="*/ 126756 w 136026"/>
              <a:gd name="connsiteY3" fmla="*/ 100547 h 146563"/>
              <a:gd name="connsiteX4" fmla="*/ 129287 w 136026"/>
              <a:gd name="connsiteY4" fmla="*/ 101364 h 146563"/>
              <a:gd name="connsiteX5" fmla="*/ 130455 w 136026"/>
              <a:gd name="connsiteY5" fmla="*/ 101548 h 146563"/>
              <a:gd name="connsiteX6" fmla="*/ 132302 w 136026"/>
              <a:gd name="connsiteY6" fmla="*/ 101072 h 146563"/>
              <a:gd name="connsiteX7" fmla="*/ 134127 w 136026"/>
              <a:gd name="connsiteY7" fmla="*/ 98676 h 146563"/>
              <a:gd name="connsiteX8" fmla="*/ 110883 w 136026"/>
              <a:gd name="connsiteY8" fmla="*/ 30459 h 146563"/>
              <a:gd name="connsiteX9" fmla="*/ 122720 w 136026"/>
              <a:gd name="connsiteY9" fmla="*/ 28307 h 146563"/>
              <a:gd name="connsiteX10" fmla="*/ 125701 w 136026"/>
              <a:gd name="connsiteY10" fmla="*/ 23905 h 146563"/>
              <a:gd name="connsiteX11" fmla="*/ 121356 w 136026"/>
              <a:gd name="connsiteY11" fmla="*/ 20931 h 146563"/>
              <a:gd name="connsiteX12" fmla="*/ 102038 w 136026"/>
              <a:gd name="connsiteY12" fmla="*/ 24444 h 146563"/>
              <a:gd name="connsiteX13" fmla="*/ 101690 w 136026"/>
              <a:gd name="connsiteY13" fmla="*/ 24234 h 146563"/>
              <a:gd name="connsiteX14" fmla="*/ 106931 w 136026"/>
              <a:gd name="connsiteY14" fmla="*/ 18917 h 146563"/>
              <a:gd name="connsiteX15" fmla="*/ 106874 w 136026"/>
              <a:gd name="connsiteY15" fmla="*/ 13611 h 146563"/>
              <a:gd name="connsiteX16" fmla="*/ 101528 w 136026"/>
              <a:gd name="connsiteY16" fmla="*/ 13667 h 146563"/>
              <a:gd name="connsiteX17" fmla="*/ 94617 w 136026"/>
              <a:gd name="connsiteY17" fmla="*/ 20679 h 146563"/>
              <a:gd name="connsiteX18" fmla="*/ 94028 w 136026"/>
              <a:gd name="connsiteY18" fmla="*/ 20447 h 146563"/>
              <a:gd name="connsiteX19" fmla="*/ 87582 w 136026"/>
              <a:gd name="connsiteY19" fmla="*/ 2623 h 146563"/>
              <a:gd name="connsiteX20" fmla="*/ 82842 w 136026"/>
              <a:gd name="connsiteY20" fmla="*/ 175 h 146563"/>
              <a:gd name="connsiteX21" fmla="*/ 80375 w 136026"/>
              <a:gd name="connsiteY21" fmla="*/ 4879 h 146563"/>
              <a:gd name="connsiteX22" fmla="*/ 80482 w 136026"/>
              <a:gd name="connsiteY22" fmla="*/ 5173 h 146563"/>
              <a:gd name="connsiteX23" fmla="*/ 84945 w 136026"/>
              <a:gd name="connsiteY23" fmla="*/ 17514 h 146563"/>
              <a:gd name="connsiteX24" fmla="*/ 2147 w 136026"/>
              <a:gd name="connsiteY24" fmla="*/ 66038 h 146563"/>
              <a:gd name="connsiteX25" fmla="*/ 1893 w 136026"/>
              <a:gd name="connsiteY25" fmla="*/ 98676 h 146563"/>
              <a:gd name="connsiteX26" fmla="*/ 5573 w 136026"/>
              <a:gd name="connsiteY26" fmla="*/ 101548 h 146563"/>
              <a:gd name="connsiteX27" fmla="*/ 68014 w 136026"/>
              <a:gd name="connsiteY27" fmla="*/ 139048 h 146563"/>
              <a:gd name="connsiteX28" fmla="*/ 16137 w 136026"/>
              <a:gd name="connsiteY28" fmla="*/ 96673 h 146563"/>
              <a:gd name="connsiteX29" fmla="*/ 21468 w 136026"/>
              <a:gd name="connsiteY29" fmla="*/ 86091 h 146563"/>
              <a:gd name="connsiteX30" fmla="*/ 35622 w 136026"/>
              <a:gd name="connsiteY30" fmla="*/ 80207 h 146563"/>
              <a:gd name="connsiteX31" fmla="*/ 46322 w 136026"/>
              <a:gd name="connsiteY31" fmla="*/ 71923 h 146563"/>
              <a:gd name="connsiteX32" fmla="*/ 46370 w 136026"/>
              <a:gd name="connsiteY32" fmla="*/ 71910 h 146563"/>
              <a:gd name="connsiteX33" fmla="*/ 46383 w 136026"/>
              <a:gd name="connsiteY33" fmla="*/ 71957 h 146563"/>
              <a:gd name="connsiteX34" fmla="*/ 46118 w 136026"/>
              <a:gd name="connsiteY34" fmla="*/ 72643 h 146563"/>
              <a:gd name="connsiteX35" fmla="*/ 45937 w 136026"/>
              <a:gd name="connsiteY35" fmla="*/ 73089 h 146563"/>
              <a:gd name="connsiteX36" fmla="*/ 38584 w 136026"/>
              <a:gd name="connsiteY36" fmla="*/ 83428 h 146563"/>
              <a:gd name="connsiteX37" fmla="*/ 37519 w 136026"/>
              <a:gd name="connsiteY37" fmla="*/ 88625 h 146563"/>
              <a:gd name="connsiteX38" fmla="*/ 41645 w 136026"/>
              <a:gd name="connsiteY38" fmla="*/ 90178 h 146563"/>
              <a:gd name="connsiteX39" fmla="*/ 80214 w 136026"/>
              <a:gd name="connsiteY39" fmla="*/ 73836 h 146563"/>
              <a:gd name="connsiteX40" fmla="*/ 100617 w 136026"/>
              <a:gd name="connsiteY40" fmla="*/ 56923 h 146563"/>
              <a:gd name="connsiteX41" fmla="*/ 113875 w 136026"/>
              <a:gd name="connsiteY41" fmla="*/ 75081 h 146563"/>
              <a:gd name="connsiteX42" fmla="*/ 120072 w 136026"/>
              <a:gd name="connsiteY42" fmla="*/ 95601 h 146563"/>
              <a:gd name="connsiteX43" fmla="*/ 68014 w 136026"/>
              <a:gd name="connsiteY43" fmla="*/ 139048 h 146563"/>
              <a:gd name="connsiteX44" fmla="*/ 68014 w 136026"/>
              <a:gd name="connsiteY44" fmla="*/ 22798 h 146563"/>
              <a:gd name="connsiteX45" fmla="*/ 128466 w 136026"/>
              <a:gd name="connsiteY45" fmla="*/ 82153 h 146563"/>
              <a:gd name="connsiteX46" fmla="*/ 127897 w 136026"/>
              <a:gd name="connsiteY46" fmla="*/ 90673 h 146563"/>
              <a:gd name="connsiteX47" fmla="*/ 127863 w 136026"/>
              <a:gd name="connsiteY47" fmla="*/ 90707 h 146563"/>
              <a:gd name="connsiteX48" fmla="*/ 127829 w 136026"/>
              <a:gd name="connsiteY48" fmla="*/ 90673 h 146563"/>
              <a:gd name="connsiteX49" fmla="*/ 126397 w 136026"/>
              <a:gd name="connsiteY49" fmla="*/ 89016 h 146563"/>
              <a:gd name="connsiteX50" fmla="*/ 120854 w 136026"/>
              <a:gd name="connsiteY50" fmla="*/ 72141 h 146563"/>
              <a:gd name="connsiteX51" fmla="*/ 102986 w 136026"/>
              <a:gd name="connsiteY51" fmla="*/ 48756 h 146563"/>
              <a:gd name="connsiteX52" fmla="*/ 100243 w 136026"/>
              <a:gd name="connsiteY52" fmla="*/ 47829 h 146563"/>
              <a:gd name="connsiteX53" fmla="*/ 97647 w 136026"/>
              <a:gd name="connsiteY53" fmla="*/ 49101 h 146563"/>
              <a:gd name="connsiteX54" fmla="*/ 75911 w 136026"/>
              <a:gd name="connsiteY54" fmla="*/ 67637 h 146563"/>
              <a:gd name="connsiteX55" fmla="*/ 51457 w 136026"/>
              <a:gd name="connsiteY55" fmla="*/ 79198 h 146563"/>
              <a:gd name="connsiteX56" fmla="*/ 51416 w 136026"/>
              <a:gd name="connsiteY56" fmla="*/ 79149 h 146563"/>
              <a:gd name="connsiteX57" fmla="*/ 53305 w 136026"/>
              <a:gd name="connsiteY57" fmla="*/ 74968 h 146563"/>
              <a:gd name="connsiteX58" fmla="*/ 57253 w 136026"/>
              <a:gd name="connsiteY58" fmla="*/ 59008 h 146563"/>
              <a:gd name="connsiteX59" fmla="*/ 54142 w 136026"/>
              <a:gd name="connsiteY59" fmla="*/ 54696 h 146563"/>
              <a:gd name="connsiteX60" fmla="*/ 50505 w 136026"/>
              <a:gd name="connsiteY60" fmla="*/ 56143 h 146563"/>
              <a:gd name="connsiteX61" fmla="*/ 31742 w 136026"/>
              <a:gd name="connsiteY61" fmla="*/ 73749 h 146563"/>
              <a:gd name="connsiteX62" fmla="*/ 18283 w 136026"/>
              <a:gd name="connsiteY62" fmla="*/ 79097 h 146563"/>
              <a:gd name="connsiteX63" fmla="*/ 15502 w 136026"/>
              <a:gd name="connsiteY63" fmla="*/ 81122 h 146563"/>
              <a:gd name="connsiteX64" fmla="*/ 9004 w 136026"/>
              <a:gd name="connsiteY64" fmla="*/ 94048 h 146563"/>
              <a:gd name="connsiteX65" fmla="*/ 8626 w 136026"/>
              <a:gd name="connsiteY65" fmla="*/ 94048 h 146563"/>
              <a:gd name="connsiteX66" fmla="*/ 56780 w 136026"/>
              <a:gd name="connsiteY66" fmla="*/ 23852 h 146563"/>
              <a:gd name="connsiteX67" fmla="*/ 68014 w 136026"/>
              <a:gd name="connsiteY67" fmla="*/ 22798 h 14656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</a:cxnLst>
            <a:rect l="l" t="t" r="r" b="b"/>
            <a:pathLst>
              <a:path w="136026" h="146563">
                <a:moveTo>
                  <a:pt x="5573" y="101548"/>
                </a:moveTo>
                <a:lnTo>
                  <a:pt x="9483" y="101548"/>
                </a:lnTo>
                <a:cubicBezTo>
                  <a:pt x="17813" y="133620"/>
                  <a:pt x="50761" y="152918"/>
                  <a:pt x="83076" y="144651"/>
                </a:cubicBezTo>
                <a:cubicBezTo>
                  <a:pt x="104740" y="139109"/>
                  <a:pt x="121545" y="122140"/>
                  <a:pt x="126756" y="100547"/>
                </a:cubicBezTo>
                <a:lnTo>
                  <a:pt x="129287" y="101364"/>
                </a:lnTo>
                <a:cubicBezTo>
                  <a:pt x="129664" y="101487"/>
                  <a:pt x="130058" y="101549"/>
                  <a:pt x="130455" y="101548"/>
                </a:cubicBezTo>
                <a:cubicBezTo>
                  <a:pt x="131101" y="101547"/>
                  <a:pt x="131737" y="101383"/>
                  <a:pt x="132302" y="101072"/>
                </a:cubicBezTo>
                <a:cubicBezTo>
                  <a:pt x="133220" y="100560"/>
                  <a:pt x="133882" y="99692"/>
                  <a:pt x="134127" y="98676"/>
                </a:cubicBezTo>
                <a:cubicBezTo>
                  <a:pt x="140275" y="73391"/>
                  <a:pt x="131231" y="46851"/>
                  <a:pt x="110883" y="30459"/>
                </a:cubicBezTo>
                <a:lnTo>
                  <a:pt x="122720" y="28307"/>
                </a:lnTo>
                <a:cubicBezTo>
                  <a:pt x="124768" y="27908"/>
                  <a:pt x="126102" y="25938"/>
                  <a:pt x="125701" y="23905"/>
                </a:cubicBezTo>
                <a:cubicBezTo>
                  <a:pt x="125306" y="21908"/>
                  <a:pt x="123378" y="20587"/>
                  <a:pt x="121356" y="20931"/>
                </a:cubicBezTo>
                <a:lnTo>
                  <a:pt x="102038" y="24444"/>
                </a:lnTo>
                <a:lnTo>
                  <a:pt x="101690" y="24234"/>
                </a:lnTo>
                <a:lnTo>
                  <a:pt x="106931" y="18917"/>
                </a:lnTo>
                <a:cubicBezTo>
                  <a:pt x="108391" y="17436"/>
                  <a:pt x="108366" y="15060"/>
                  <a:pt x="106874" y="13611"/>
                </a:cubicBezTo>
                <a:cubicBezTo>
                  <a:pt x="105382" y="12161"/>
                  <a:pt x="102988" y="12186"/>
                  <a:pt x="101528" y="13667"/>
                </a:cubicBezTo>
                <a:lnTo>
                  <a:pt x="94617" y="20679"/>
                </a:lnTo>
                <a:cubicBezTo>
                  <a:pt x="94421" y="20597"/>
                  <a:pt x="94239" y="20526"/>
                  <a:pt x="94028" y="20447"/>
                </a:cubicBezTo>
                <a:lnTo>
                  <a:pt x="87582" y="2623"/>
                </a:lnTo>
                <a:cubicBezTo>
                  <a:pt x="86954" y="648"/>
                  <a:pt x="84832" y="-448"/>
                  <a:pt x="82842" y="175"/>
                </a:cubicBezTo>
                <a:cubicBezTo>
                  <a:pt x="80852" y="798"/>
                  <a:pt x="79747" y="2904"/>
                  <a:pt x="80375" y="4879"/>
                </a:cubicBezTo>
                <a:cubicBezTo>
                  <a:pt x="80407" y="4978"/>
                  <a:pt x="80442" y="5077"/>
                  <a:pt x="80482" y="5173"/>
                </a:cubicBezTo>
                <a:lnTo>
                  <a:pt x="84945" y="17514"/>
                </a:lnTo>
                <a:cubicBezTo>
                  <a:pt x="48580" y="8221"/>
                  <a:pt x="11511" y="29946"/>
                  <a:pt x="2147" y="66038"/>
                </a:cubicBezTo>
                <a:cubicBezTo>
                  <a:pt x="-627" y="76733"/>
                  <a:pt x="-714" y="87940"/>
                  <a:pt x="1893" y="98676"/>
                </a:cubicBezTo>
                <a:cubicBezTo>
                  <a:pt x="2302" y="100363"/>
                  <a:pt x="3824" y="101551"/>
                  <a:pt x="5573" y="101548"/>
                </a:cubicBezTo>
                <a:close/>
                <a:moveTo>
                  <a:pt x="68014" y="139048"/>
                </a:moveTo>
                <a:cubicBezTo>
                  <a:pt x="42719" y="139103"/>
                  <a:pt x="20948" y="121320"/>
                  <a:pt x="16137" y="96673"/>
                </a:cubicBezTo>
                <a:lnTo>
                  <a:pt x="21468" y="86091"/>
                </a:lnTo>
                <a:cubicBezTo>
                  <a:pt x="26446" y="84811"/>
                  <a:pt x="31212" y="82830"/>
                  <a:pt x="35622" y="80207"/>
                </a:cubicBezTo>
                <a:cubicBezTo>
                  <a:pt x="39480" y="77838"/>
                  <a:pt x="43068" y="75060"/>
                  <a:pt x="46322" y="71923"/>
                </a:cubicBezTo>
                <a:cubicBezTo>
                  <a:pt x="46332" y="71907"/>
                  <a:pt x="46353" y="71901"/>
                  <a:pt x="46370" y="71910"/>
                </a:cubicBezTo>
                <a:cubicBezTo>
                  <a:pt x="46386" y="71919"/>
                  <a:pt x="46392" y="71940"/>
                  <a:pt x="46383" y="71957"/>
                </a:cubicBezTo>
                <a:cubicBezTo>
                  <a:pt x="46232" y="72369"/>
                  <a:pt x="46156" y="72553"/>
                  <a:pt x="46118" y="72643"/>
                </a:cubicBezTo>
                <a:cubicBezTo>
                  <a:pt x="46058" y="72797"/>
                  <a:pt x="45997" y="72943"/>
                  <a:pt x="45937" y="73089"/>
                </a:cubicBezTo>
                <a:cubicBezTo>
                  <a:pt x="44442" y="77116"/>
                  <a:pt x="41906" y="80682"/>
                  <a:pt x="38584" y="83428"/>
                </a:cubicBezTo>
                <a:cubicBezTo>
                  <a:pt x="36844" y="84571"/>
                  <a:pt x="36368" y="86898"/>
                  <a:pt x="37519" y="88625"/>
                </a:cubicBezTo>
                <a:cubicBezTo>
                  <a:pt x="38415" y="89968"/>
                  <a:pt x="40076" y="90594"/>
                  <a:pt x="41645" y="90178"/>
                </a:cubicBezTo>
                <a:cubicBezTo>
                  <a:pt x="42620" y="89919"/>
                  <a:pt x="65728" y="83803"/>
                  <a:pt x="80214" y="73836"/>
                </a:cubicBezTo>
                <a:cubicBezTo>
                  <a:pt x="87520" y="68827"/>
                  <a:pt x="94350" y="63166"/>
                  <a:pt x="100617" y="56923"/>
                </a:cubicBezTo>
                <a:cubicBezTo>
                  <a:pt x="106082" y="62151"/>
                  <a:pt x="110571" y="68298"/>
                  <a:pt x="113875" y="75081"/>
                </a:cubicBezTo>
                <a:cubicBezTo>
                  <a:pt x="116641" y="81693"/>
                  <a:pt x="118718" y="88569"/>
                  <a:pt x="120072" y="95601"/>
                </a:cubicBezTo>
                <a:cubicBezTo>
                  <a:pt x="115737" y="120757"/>
                  <a:pt x="93728" y="139126"/>
                  <a:pt x="68014" y="139048"/>
                </a:cubicBezTo>
                <a:close/>
                <a:moveTo>
                  <a:pt x="68014" y="22798"/>
                </a:moveTo>
                <a:cubicBezTo>
                  <a:pt x="101221" y="22620"/>
                  <a:pt x="128287" y="49194"/>
                  <a:pt x="128466" y="82153"/>
                </a:cubicBezTo>
                <a:cubicBezTo>
                  <a:pt x="128482" y="85003"/>
                  <a:pt x="128291" y="87850"/>
                  <a:pt x="127897" y="90673"/>
                </a:cubicBezTo>
                <a:cubicBezTo>
                  <a:pt x="127897" y="90692"/>
                  <a:pt x="127882" y="90707"/>
                  <a:pt x="127863" y="90707"/>
                </a:cubicBezTo>
                <a:cubicBezTo>
                  <a:pt x="127844" y="90707"/>
                  <a:pt x="127829" y="90692"/>
                  <a:pt x="127829" y="90673"/>
                </a:cubicBezTo>
                <a:cubicBezTo>
                  <a:pt x="127529" y="89991"/>
                  <a:pt x="127030" y="89414"/>
                  <a:pt x="126397" y="89016"/>
                </a:cubicBezTo>
                <a:cubicBezTo>
                  <a:pt x="125004" y="83253"/>
                  <a:pt x="123150" y="77611"/>
                  <a:pt x="120854" y="72141"/>
                </a:cubicBezTo>
                <a:cubicBezTo>
                  <a:pt x="116476" y="63273"/>
                  <a:pt x="110408" y="55332"/>
                  <a:pt x="102986" y="48756"/>
                </a:cubicBezTo>
                <a:cubicBezTo>
                  <a:pt x="102236" y="48091"/>
                  <a:pt x="101246" y="47757"/>
                  <a:pt x="100243" y="47829"/>
                </a:cubicBezTo>
                <a:cubicBezTo>
                  <a:pt x="99242" y="47894"/>
                  <a:pt x="98308" y="48352"/>
                  <a:pt x="97647" y="49101"/>
                </a:cubicBezTo>
                <a:cubicBezTo>
                  <a:pt x="91111" y="56054"/>
                  <a:pt x="83821" y="62271"/>
                  <a:pt x="75911" y="67637"/>
                </a:cubicBezTo>
                <a:cubicBezTo>
                  <a:pt x="68268" y="72472"/>
                  <a:pt x="60055" y="76355"/>
                  <a:pt x="51457" y="79198"/>
                </a:cubicBezTo>
                <a:cubicBezTo>
                  <a:pt x="51412" y="79198"/>
                  <a:pt x="51393" y="79198"/>
                  <a:pt x="51416" y="79149"/>
                </a:cubicBezTo>
                <a:cubicBezTo>
                  <a:pt x="52128" y="77794"/>
                  <a:pt x="52759" y="76398"/>
                  <a:pt x="53305" y="74968"/>
                </a:cubicBezTo>
                <a:cubicBezTo>
                  <a:pt x="55040" y="69759"/>
                  <a:pt x="56360" y="64423"/>
                  <a:pt x="57253" y="59008"/>
                </a:cubicBezTo>
                <a:cubicBezTo>
                  <a:pt x="57593" y="56965"/>
                  <a:pt x="56201" y="55034"/>
                  <a:pt x="54142" y="54696"/>
                </a:cubicBezTo>
                <a:cubicBezTo>
                  <a:pt x="52753" y="54468"/>
                  <a:pt x="51351" y="55026"/>
                  <a:pt x="50505" y="56143"/>
                </a:cubicBezTo>
                <a:cubicBezTo>
                  <a:pt x="45249" y="62978"/>
                  <a:pt x="38912" y="68924"/>
                  <a:pt x="31742" y="73749"/>
                </a:cubicBezTo>
                <a:cubicBezTo>
                  <a:pt x="27587" y="76264"/>
                  <a:pt x="23039" y="78072"/>
                  <a:pt x="18283" y="79097"/>
                </a:cubicBezTo>
                <a:cubicBezTo>
                  <a:pt x="17082" y="79288"/>
                  <a:pt x="16047" y="80042"/>
                  <a:pt x="15502" y="81122"/>
                </a:cubicBezTo>
                <a:lnTo>
                  <a:pt x="9004" y="94048"/>
                </a:lnTo>
                <a:lnTo>
                  <a:pt x="8626" y="94048"/>
                </a:lnTo>
                <a:cubicBezTo>
                  <a:pt x="2393" y="61466"/>
                  <a:pt x="23952" y="30038"/>
                  <a:pt x="56780" y="23852"/>
                </a:cubicBezTo>
                <a:cubicBezTo>
                  <a:pt x="60484" y="23154"/>
                  <a:pt x="64245" y="22801"/>
                  <a:pt x="68014" y="2279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601" name="Freeform: Shape 600">
            <a:extLst>
              <a:ext uri="{FF2B5EF4-FFF2-40B4-BE49-F238E27FC236}">
                <a16:creationId xmlns:a16="http://schemas.microsoft.com/office/drawing/2014/main" id="{B9EE8ED4-9C44-4B7B-82D9-3EB1FC0372F0}"/>
              </a:ext>
            </a:extLst>
          </xdr:cNvPr>
          <xdr:cNvSpPr/>
        </xdr:nvSpPr>
        <xdr:spPr>
          <a:xfrm>
            <a:off x="13733864" y="11529779"/>
            <a:ext cx="196474" cy="103309"/>
          </a:xfrm>
          <a:custGeom>
            <a:avLst/>
            <a:gdLst>
              <a:gd name="connsiteX0" fmla="*/ 180439 w 196474"/>
              <a:gd name="connsiteY0" fmla="*/ 27481 h 103309"/>
              <a:gd name="connsiteX1" fmla="*/ 117718 w 196474"/>
              <a:gd name="connsiteY1" fmla="*/ 61 h 103309"/>
              <a:gd name="connsiteX2" fmla="*/ 113326 w 196474"/>
              <a:gd name="connsiteY2" fmla="*/ 3081 h 103309"/>
              <a:gd name="connsiteX3" fmla="*/ 113279 w 196474"/>
              <a:gd name="connsiteY3" fmla="*/ 3436 h 103309"/>
              <a:gd name="connsiteX4" fmla="*/ 98237 w 196474"/>
              <a:gd name="connsiteY4" fmla="*/ 17060 h 103309"/>
              <a:gd name="connsiteX5" fmla="*/ 98237 w 196474"/>
              <a:gd name="connsiteY5" fmla="*/ 17060 h 103309"/>
              <a:gd name="connsiteX6" fmla="*/ 83124 w 196474"/>
              <a:gd name="connsiteY6" fmla="*/ 3372 h 103309"/>
              <a:gd name="connsiteX7" fmla="*/ 78984 w 196474"/>
              <a:gd name="connsiteY7" fmla="*/ 20 h 103309"/>
              <a:gd name="connsiteX8" fmla="*/ 78711 w 196474"/>
              <a:gd name="connsiteY8" fmla="*/ 57 h 103309"/>
              <a:gd name="connsiteX9" fmla="*/ 16058 w 196474"/>
              <a:gd name="connsiteY9" fmla="*/ 27481 h 103309"/>
              <a:gd name="connsiteX10" fmla="*/ 0 w 196474"/>
              <a:gd name="connsiteY10" fmla="*/ 60113 h 103309"/>
              <a:gd name="connsiteX11" fmla="*/ 0 w 196474"/>
              <a:gd name="connsiteY11" fmla="*/ 103310 h 103309"/>
              <a:gd name="connsiteX12" fmla="*/ 7557 w 196474"/>
              <a:gd name="connsiteY12" fmla="*/ 103310 h 103309"/>
              <a:gd name="connsiteX13" fmla="*/ 7557 w 196474"/>
              <a:gd name="connsiteY13" fmla="*/ 60113 h 103309"/>
              <a:gd name="connsiteX14" fmla="*/ 20604 w 196474"/>
              <a:gd name="connsiteY14" fmla="*/ 33458 h 103309"/>
              <a:gd name="connsiteX15" fmla="*/ 58912 w 196474"/>
              <a:gd name="connsiteY15" fmla="*/ 13085 h 103309"/>
              <a:gd name="connsiteX16" fmla="*/ 52973 w 196474"/>
              <a:gd name="connsiteY16" fmla="*/ 42560 h 103309"/>
              <a:gd name="connsiteX17" fmla="*/ 55938 w 196474"/>
              <a:gd name="connsiteY17" fmla="*/ 46972 h 103309"/>
              <a:gd name="connsiteX18" fmla="*/ 58485 w 196474"/>
              <a:gd name="connsiteY18" fmla="*/ 46587 h 103309"/>
              <a:gd name="connsiteX19" fmla="*/ 94459 w 196474"/>
              <a:gd name="connsiteY19" fmla="*/ 27128 h 103309"/>
              <a:gd name="connsiteX20" fmla="*/ 94459 w 196474"/>
              <a:gd name="connsiteY20" fmla="*/ 103310 h 103309"/>
              <a:gd name="connsiteX21" fmla="*/ 102016 w 196474"/>
              <a:gd name="connsiteY21" fmla="*/ 103310 h 103309"/>
              <a:gd name="connsiteX22" fmla="*/ 102016 w 196474"/>
              <a:gd name="connsiteY22" fmla="*/ 27128 h 103309"/>
              <a:gd name="connsiteX23" fmla="*/ 137989 w 196474"/>
              <a:gd name="connsiteY23" fmla="*/ 46602 h 103309"/>
              <a:gd name="connsiteX24" fmla="*/ 139799 w 196474"/>
              <a:gd name="connsiteY24" fmla="*/ 47060 h 103309"/>
              <a:gd name="connsiteX25" fmla="*/ 143578 w 196474"/>
              <a:gd name="connsiteY25" fmla="*/ 43310 h 103309"/>
              <a:gd name="connsiteX26" fmla="*/ 143502 w 196474"/>
              <a:gd name="connsiteY26" fmla="*/ 42560 h 103309"/>
              <a:gd name="connsiteX27" fmla="*/ 137589 w 196474"/>
              <a:gd name="connsiteY27" fmla="*/ 13208 h 103309"/>
              <a:gd name="connsiteX28" fmla="*/ 175875 w 196474"/>
              <a:gd name="connsiteY28" fmla="*/ 33458 h 103309"/>
              <a:gd name="connsiteX29" fmla="*/ 188918 w 196474"/>
              <a:gd name="connsiteY29" fmla="*/ 60113 h 103309"/>
              <a:gd name="connsiteX30" fmla="*/ 188918 w 196474"/>
              <a:gd name="connsiteY30" fmla="*/ 103310 h 103309"/>
              <a:gd name="connsiteX31" fmla="*/ 196474 w 196474"/>
              <a:gd name="connsiteY31" fmla="*/ 103310 h 103309"/>
              <a:gd name="connsiteX32" fmla="*/ 196474 w 196474"/>
              <a:gd name="connsiteY32" fmla="*/ 60113 h 103309"/>
              <a:gd name="connsiteX33" fmla="*/ 180439 w 196474"/>
              <a:gd name="connsiteY33" fmla="*/ 27481 h 103309"/>
              <a:gd name="connsiteX34" fmla="*/ 67149 w 196474"/>
              <a:gd name="connsiteY34" fmla="*/ 10445 h 103309"/>
              <a:gd name="connsiteX35" fmla="*/ 76376 w 196474"/>
              <a:gd name="connsiteY35" fmla="*/ 8135 h 103309"/>
              <a:gd name="connsiteX36" fmla="*/ 88036 w 196474"/>
              <a:gd name="connsiteY36" fmla="*/ 22058 h 103309"/>
              <a:gd name="connsiteX37" fmla="*/ 62029 w 196474"/>
              <a:gd name="connsiteY37" fmla="*/ 36136 h 103309"/>
              <a:gd name="connsiteX38" fmla="*/ 61979 w 196474"/>
              <a:gd name="connsiteY38" fmla="*/ 36118 h 103309"/>
              <a:gd name="connsiteX39" fmla="*/ 61977 w 196474"/>
              <a:gd name="connsiteY39" fmla="*/ 36095 h 103309"/>
              <a:gd name="connsiteX40" fmla="*/ 134438 w 196474"/>
              <a:gd name="connsiteY40" fmla="*/ 36136 h 103309"/>
              <a:gd name="connsiteX41" fmla="*/ 108526 w 196474"/>
              <a:gd name="connsiteY41" fmla="*/ 22107 h 103309"/>
              <a:gd name="connsiteX42" fmla="*/ 120069 w 196474"/>
              <a:gd name="connsiteY42" fmla="*/ 8168 h 103309"/>
              <a:gd name="connsiteX43" fmla="*/ 129344 w 196474"/>
              <a:gd name="connsiteY43" fmla="*/ 10550 h 103309"/>
              <a:gd name="connsiteX44" fmla="*/ 134509 w 196474"/>
              <a:gd name="connsiteY44" fmla="*/ 36095 h 103309"/>
              <a:gd name="connsiteX45" fmla="*/ 134494 w 196474"/>
              <a:gd name="connsiteY45" fmla="*/ 36151 h 103309"/>
              <a:gd name="connsiteX46" fmla="*/ 134438 w 196474"/>
              <a:gd name="connsiteY46" fmla="*/ 36136 h 1033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</a:cxnLst>
            <a:rect l="l" t="t" r="r" b="b"/>
            <a:pathLst>
              <a:path w="196474" h="103309">
                <a:moveTo>
                  <a:pt x="180439" y="27481"/>
                </a:moveTo>
                <a:cubicBezTo>
                  <a:pt x="161898" y="13738"/>
                  <a:pt x="140450" y="4361"/>
                  <a:pt x="117718" y="61"/>
                </a:cubicBezTo>
                <a:cubicBezTo>
                  <a:pt x="115665" y="-309"/>
                  <a:pt x="113699" y="1043"/>
                  <a:pt x="113326" y="3081"/>
                </a:cubicBezTo>
                <a:cubicBezTo>
                  <a:pt x="113305" y="3199"/>
                  <a:pt x="113289" y="3317"/>
                  <a:pt x="113279" y="3436"/>
                </a:cubicBezTo>
                <a:cubicBezTo>
                  <a:pt x="112607" y="11173"/>
                  <a:pt x="106062" y="17102"/>
                  <a:pt x="98237" y="17060"/>
                </a:cubicBezTo>
                <a:lnTo>
                  <a:pt x="98237" y="17060"/>
                </a:lnTo>
                <a:cubicBezTo>
                  <a:pt x="90435" y="16952"/>
                  <a:pt x="83944" y="11074"/>
                  <a:pt x="83124" y="3372"/>
                </a:cubicBezTo>
                <a:cubicBezTo>
                  <a:pt x="82913" y="1312"/>
                  <a:pt x="81060" y="-189"/>
                  <a:pt x="78984" y="20"/>
                </a:cubicBezTo>
                <a:cubicBezTo>
                  <a:pt x="78892" y="29"/>
                  <a:pt x="78801" y="41"/>
                  <a:pt x="78711" y="57"/>
                </a:cubicBezTo>
                <a:cubicBezTo>
                  <a:pt x="55980" y="4295"/>
                  <a:pt x="34540" y="13679"/>
                  <a:pt x="16058" y="27481"/>
                </a:cubicBezTo>
                <a:cubicBezTo>
                  <a:pt x="5882" y="35286"/>
                  <a:pt x="-54" y="47349"/>
                  <a:pt x="0" y="60113"/>
                </a:cubicBezTo>
                <a:lnTo>
                  <a:pt x="0" y="103310"/>
                </a:lnTo>
                <a:lnTo>
                  <a:pt x="7557" y="103310"/>
                </a:lnTo>
                <a:lnTo>
                  <a:pt x="7557" y="60113"/>
                </a:lnTo>
                <a:cubicBezTo>
                  <a:pt x="7493" y="49698"/>
                  <a:pt x="12316" y="39847"/>
                  <a:pt x="20604" y="33458"/>
                </a:cubicBezTo>
                <a:cubicBezTo>
                  <a:pt x="32267" y="24792"/>
                  <a:pt x="45182" y="17923"/>
                  <a:pt x="58912" y="13085"/>
                </a:cubicBezTo>
                <a:lnTo>
                  <a:pt x="52973" y="42560"/>
                </a:lnTo>
                <a:cubicBezTo>
                  <a:pt x="52564" y="44591"/>
                  <a:pt x="53892" y="46566"/>
                  <a:pt x="55938" y="46972"/>
                </a:cubicBezTo>
                <a:cubicBezTo>
                  <a:pt x="56806" y="47144"/>
                  <a:pt x="57708" y="47008"/>
                  <a:pt x="58485" y="46587"/>
                </a:cubicBezTo>
                <a:lnTo>
                  <a:pt x="94459" y="27128"/>
                </a:lnTo>
                <a:lnTo>
                  <a:pt x="94459" y="103310"/>
                </a:lnTo>
                <a:lnTo>
                  <a:pt x="102016" y="103310"/>
                </a:lnTo>
                <a:lnTo>
                  <a:pt x="102016" y="27128"/>
                </a:lnTo>
                <a:lnTo>
                  <a:pt x="137989" y="46602"/>
                </a:lnTo>
                <a:cubicBezTo>
                  <a:pt x="138545" y="46901"/>
                  <a:pt x="139167" y="47059"/>
                  <a:pt x="139799" y="47060"/>
                </a:cubicBezTo>
                <a:cubicBezTo>
                  <a:pt x="141886" y="47060"/>
                  <a:pt x="143578" y="45382"/>
                  <a:pt x="143578" y="43310"/>
                </a:cubicBezTo>
                <a:cubicBezTo>
                  <a:pt x="143578" y="43058"/>
                  <a:pt x="143553" y="42807"/>
                  <a:pt x="143502" y="42560"/>
                </a:cubicBezTo>
                <a:lnTo>
                  <a:pt x="137589" y="13208"/>
                </a:lnTo>
                <a:cubicBezTo>
                  <a:pt x="151293" y="18034"/>
                  <a:pt x="164197" y="24859"/>
                  <a:pt x="175875" y="33458"/>
                </a:cubicBezTo>
                <a:cubicBezTo>
                  <a:pt x="184161" y="39848"/>
                  <a:pt x="188981" y="49699"/>
                  <a:pt x="188918" y="60113"/>
                </a:cubicBezTo>
                <a:lnTo>
                  <a:pt x="188918" y="103310"/>
                </a:lnTo>
                <a:lnTo>
                  <a:pt x="196474" y="103310"/>
                </a:lnTo>
                <a:lnTo>
                  <a:pt x="196474" y="60113"/>
                </a:lnTo>
                <a:cubicBezTo>
                  <a:pt x="196533" y="47353"/>
                  <a:pt x="190606" y="35292"/>
                  <a:pt x="180439" y="27481"/>
                </a:cubicBezTo>
                <a:close/>
                <a:moveTo>
                  <a:pt x="67149" y="10445"/>
                </a:moveTo>
                <a:cubicBezTo>
                  <a:pt x="70232" y="9567"/>
                  <a:pt x="73312" y="8765"/>
                  <a:pt x="76376" y="8135"/>
                </a:cubicBezTo>
                <a:cubicBezTo>
                  <a:pt x="78187" y="14159"/>
                  <a:pt x="82399" y="19189"/>
                  <a:pt x="88036" y="22058"/>
                </a:cubicBezTo>
                <a:lnTo>
                  <a:pt x="62029" y="36136"/>
                </a:lnTo>
                <a:cubicBezTo>
                  <a:pt x="62011" y="36145"/>
                  <a:pt x="61988" y="36136"/>
                  <a:pt x="61979" y="36118"/>
                </a:cubicBezTo>
                <a:cubicBezTo>
                  <a:pt x="61976" y="36110"/>
                  <a:pt x="61975" y="36103"/>
                  <a:pt x="61977" y="36095"/>
                </a:cubicBezTo>
                <a:close/>
                <a:moveTo>
                  <a:pt x="134438" y="36136"/>
                </a:moveTo>
                <a:lnTo>
                  <a:pt x="108526" y="22107"/>
                </a:lnTo>
                <a:cubicBezTo>
                  <a:pt x="114182" y="19285"/>
                  <a:pt x="118374" y="14223"/>
                  <a:pt x="120069" y="8168"/>
                </a:cubicBezTo>
                <a:cubicBezTo>
                  <a:pt x="123140" y="8825"/>
                  <a:pt x="126242" y="9668"/>
                  <a:pt x="129344" y="10550"/>
                </a:cubicBezTo>
                <a:lnTo>
                  <a:pt x="134509" y="36095"/>
                </a:lnTo>
                <a:cubicBezTo>
                  <a:pt x="134521" y="36114"/>
                  <a:pt x="134514" y="36140"/>
                  <a:pt x="134494" y="36151"/>
                </a:cubicBezTo>
                <a:cubicBezTo>
                  <a:pt x="134475" y="36162"/>
                  <a:pt x="134449" y="36155"/>
                  <a:pt x="134438" y="3613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10</xdr:col>
      <xdr:colOff>186917</xdr:colOff>
      <xdr:row>18</xdr:row>
      <xdr:rowOff>159213</xdr:rowOff>
    </xdr:from>
    <xdr:to>
      <xdr:col>10</xdr:col>
      <xdr:colOff>406064</xdr:colOff>
      <xdr:row>18</xdr:row>
      <xdr:rowOff>406713</xdr:rowOff>
    </xdr:to>
    <xdr:grpSp>
      <xdr:nvGrpSpPr>
        <xdr:cNvPr id="602" name="schoolgirl" descr="School girl outline">
          <a:extLst>
            <a:ext uri="{FF2B5EF4-FFF2-40B4-BE49-F238E27FC236}">
              <a16:creationId xmlns:a16="http://schemas.microsoft.com/office/drawing/2014/main" id="{902ED1DB-67F6-4AD9-9A49-D8EDF592CB21}"/>
            </a:ext>
          </a:extLst>
        </xdr:cNvPr>
        <xdr:cNvGrpSpPr>
          <a:grpSpLocks noChangeAspect="1"/>
        </xdr:cNvGrpSpPr>
      </xdr:nvGrpSpPr>
      <xdr:grpSpPr>
        <a:xfrm>
          <a:off x="9197567" y="9341313"/>
          <a:ext cx="219147" cy="247500"/>
          <a:chOff x="13084539" y="11385589"/>
          <a:chExt cx="219147" cy="247500"/>
        </a:xfrm>
        <a:solidFill>
          <a:srgbClr val="1F4E78"/>
        </a:solidFill>
      </xdr:grpSpPr>
      <xdr:sp macro="" textlink="">
        <xdr:nvSpPr>
          <xdr:cNvPr id="603" name="Freeform: Shape 602">
            <a:extLst>
              <a:ext uri="{FF2B5EF4-FFF2-40B4-BE49-F238E27FC236}">
                <a16:creationId xmlns:a16="http://schemas.microsoft.com/office/drawing/2014/main" id="{8491C993-FC23-4878-96F1-C7235B4B0955}"/>
              </a:ext>
            </a:extLst>
          </xdr:cNvPr>
          <xdr:cNvSpPr/>
        </xdr:nvSpPr>
        <xdr:spPr>
          <a:xfrm>
            <a:off x="13084539" y="11385589"/>
            <a:ext cx="219147" cy="131262"/>
          </a:xfrm>
          <a:custGeom>
            <a:avLst/>
            <a:gdLst>
              <a:gd name="connsiteX0" fmla="*/ 218568 w 219147"/>
              <a:gd name="connsiteY0" fmla="*/ 114255 h 131262"/>
              <a:gd name="connsiteX1" fmla="*/ 211242 w 219147"/>
              <a:gd name="connsiteY1" fmla="*/ 102675 h 131262"/>
              <a:gd name="connsiteX2" fmla="*/ 208536 w 219147"/>
              <a:gd name="connsiteY2" fmla="*/ 90105 h 131262"/>
              <a:gd name="connsiteX3" fmla="*/ 194315 w 219147"/>
              <a:gd name="connsiteY3" fmla="*/ 62393 h 131262"/>
              <a:gd name="connsiteX4" fmla="*/ 174769 w 219147"/>
              <a:gd name="connsiteY4" fmla="*/ 62445 h 131262"/>
              <a:gd name="connsiteX5" fmla="*/ 109574 w 219147"/>
              <a:gd name="connsiteY5" fmla="*/ 0 h 131262"/>
              <a:gd name="connsiteX6" fmla="*/ 44337 w 219147"/>
              <a:gd name="connsiteY6" fmla="*/ 62430 h 131262"/>
              <a:gd name="connsiteX7" fmla="*/ 24833 w 219147"/>
              <a:gd name="connsiteY7" fmla="*/ 62393 h 131262"/>
              <a:gd name="connsiteX8" fmla="*/ 10611 w 219147"/>
              <a:gd name="connsiteY8" fmla="*/ 90101 h 131262"/>
              <a:gd name="connsiteX9" fmla="*/ 7906 w 219147"/>
              <a:gd name="connsiteY9" fmla="*/ 102675 h 131262"/>
              <a:gd name="connsiteX10" fmla="*/ 580 w 219147"/>
              <a:gd name="connsiteY10" fmla="*/ 114255 h 131262"/>
              <a:gd name="connsiteX11" fmla="*/ 1769 w 219147"/>
              <a:gd name="connsiteY11" fmla="*/ 119425 h 131262"/>
              <a:gd name="connsiteX12" fmla="*/ 3780 w 219147"/>
              <a:gd name="connsiteY12" fmla="*/ 120000 h 131262"/>
              <a:gd name="connsiteX13" fmla="*/ 4301 w 219147"/>
              <a:gd name="connsiteY13" fmla="*/ 119966 h 131262"/>
              <a:gd name="connsiteX14" fmla="*/ 48130 w 219147"/>
              <a:gd name="connsiteY14" fmla="*/ 106894 h 131262"/>
              <a:gd name="connsiteX15" fmla="*/ 55921 w 219147"/>
              <a:gd name="connsiteY15" fmla="*/ 98685 h 131262"/>
              <a:gd name="connsiteX16" fmla="*/ 137005 w 219147"/>
              <a:gd name="connsiteY16" fmla="*/ 124687 h 131262"/>
              <a:gd name="connsiteX17" fmla="*/ 163204 w 219147"/>
              <a:gd name="connsiteY17" fmla="*/ 98685 h 131262"/>
              <a:gd name="connsiteX18" fmla="*/ 171006 w 219147"/>
              <a:gd name="connsiteY18" fmla="*/ 106890 h 131262"/>
              <a:gd name="connsiteX19" fmla="*/ 214835 w 219147"/>
              <a:gd name="connsiteY19" fmla="*/ 119963 h 131262"/>
              <a:gd name="connsiteX20" fmla="*/ 215368 w 219147"/>
              <a:gd name="connsiteY20" fmla="*/ 120000 h 131262"/>
              <a:gd name="connsiteX21" fmla="*/ 219147 w 219147"/>
              <a:gd name="connsiteY21" fmla="*/ 116251 h 131262"/>
              <a:gd name="connsiteX22" fmla="*/ 218568 w 219147"/>
              <a:gd name="connsiteY22" fmla="*/ 114255 h 131262"/>
              <a:gd name="connsiteX23" fmla="*/ 109574 w 219147"/>
              <a:gd name="connsiteY23" fmla="*/ 7500 h 131262"/>
              <a:gd name="connsiteX24" fmla="*/ 167522 w 219147"/>
              <a:gd name="connsiteY24" fmla="*/ 66251 h 131262"/>
              <a:gd name="connsiteX25" fmla="*/ 167522 w 219147"/>
              <a:gd name="connsiteY25" fmla="*/ 68655 h 131262"/>
              <a:gd name="connsiteX26" fmla="*/ 167205 w 219147"/>
              <a:gd name="connsiteY26" fmla="*/ 75079 h 131262"/>
              <a:gd name="connsiteX27" fmla="*/ 124366 w 219147"/>
              <a:gd name="connsiteY27" fmla="*/ 65659 h 131262"/>
              <a:gd name="connsiteX28" fmla="*/ 107409 w 219147"/>
              <a:gd name="connsiteY28" fmla="*/ 51716 h 131262"/>
              <a:gd name="connsiteX29" fmla="*/ 102554 w 219147"/>
              <a:gd name="connsiteY29" fmla="*/ 40466 h 131262"/>
              <a:gd name="connsiteX30" fmla="*/ 99081 w 219147"/>
              <a:gd name="connsiteY30" fmla="*/ 38194 h 131262"/>
              <a:gd name="connsiteX31" fmla="*/ 98923 w 219147"/>
              <a:gd name="connsiteY31" fmla="*/ 38194 h 131262"/>
              <a:gd name="connsiteX32" fmla="*/ 95496 w 219147"/>
              <a:gd name="connsiteY32" fmla="*/ 40755 h 131262"/>
              <a:gd name="connsiteX33" fmla="*/ 91060 w 219147"/>
              <a:gd name="connsiteY33" fmla="*/ 53951 h 131262"/>
              <a:gd name="connsiteX34" fmla="*/ 83171 w 219147"/>
              <a:gd name="connsiteY34" fmla="*/ 62272 h 131262"/>
              <a:gd name="connsiteX35" fmla="*/ 51837 w 219147"/>
              <a:gd name="connsiteY35" fmla="*/ 74385 h 131262"/>
              <a:gd name="connsiteX36" fmla="*/ 51584 w 219147"/>
              <a:gd name="connsiteY36" fmla="*/ 68655 h 131262"/>
              <a:gd name="connsiteX37" fmla="*/ 109574 w 219147"/>
              <a:gd name="connsiteY37" fmla="*/ 7500 h 131262"/>
              <a:gd name="connsiteX38" fmla="*/ 43657 w 219147"/>
              <a:gd name="connsiteY38" fmla="*/ 100853 h 131262"/>
              <a:gd name="connsiteX39" fmla="*/ 11541 w 219147"/>
              <a:gd name="connsiteY39" fmla="*/ 111165 h 131262"/>
              <a:gd name="connsiteX40" fmla="*/ 11503 w 219147"/>
              <a:gd name="connsiteY40" fmla="*/ 111113 h 131262"/>
              <a:gd name="connsiteX41" fmla="*/ 14314 w 219147"/>
              <a:gd name="connsiteY41" fmla="*/ 106661 h 131262"/>
              <a:gd name="connsiteX42" fmla="*/ 18092 w 219147"/>
              <a:gd name="connsiteY42" fmla="*/ 88924 h 131262"/>
              <a:gd name="connsiteX43" fmla="*/ 27659 w 219147"/>
              <a:gd name="connsiteY43" fmla="*/ 69356 h 131262"/>
              <a:gd name="connsiteX44" fmla="*/ 34524 w 219147"/>
              <a:gd name="connsiteY44" fmla="*/ 68055 h 131262"/>
              <a:gd name="connsiteX45" fmla="*/ 44144 w 219147"/>
              <a:gd name="connsiteY45" fmla="*/ 70785 h 131262"/>
              <a:gd name="connsiteX46" fmla="*/ 44983 w 219147"/>
              <a:gd name="connsiteY46" fmla="*/ 80224 h 131262"/>
              <a:gd name="connsiteX47" fmla="*/ 49312 w 219147"/>
              <a:gd name="connsiteY47" fmla="*/ 83332 h 131262"/>
              <a:gd name="connsiteX48" fmla="*/ 50087 w 219147"/>
              <a:gd name="connsiteY48" fmla="*/ 83123 h 131262"/>
              <a:gd name="connsiteX49" fmla="*/ 50427 w 219147"/>
              <a:gd name="connsiteY49" fmla="*/ 82991 h 131262"/>
              <a:gd name="connsiteX50" fmla="*/ 51999 w 219147"/>
              <a:gd name="connsiteY50" fmla="*/ 89186 h 131262"/>
              <a:gd name="connsiteX51" fmla="*/ 43657 w 219147"/>
              <a:gd name="connsiteY51" fmla="*/ 100853 h 131262"/>
              <a:gd name="connsiteX52" fmla="*/ 109574 w 219147"/>
              <a:gd name="connsiteY52" fmla="*/ 123750 h 131262"/>
              <a:gd name="connsiteX53" fmla="*/ 59813 w 219147"/>
              <a:gd name="connsiteY53" fmla="*/ 88875 h 131262"/>
              <a:gd name="connsiteX54" fmla="*/ 59375 w 219147"/>
              <a:gd name="connsiteY54" fmla="*/ 79500 h 131262"/>
              <a:gd name="connsiteX55" fmla="*/ 85951 w 219147"/>
              <a:gd name="connsiteY55" fmla="*/ 69229 h 131262"/>
              <a:gd name="connsiteX56" fmla="*/ 98239 w 219147"/>
              <a:gd name="connsiteY56" fmla="*/ 56325 h 131262"/>
              <a:gd name="connsiteX57" fmla="*/ 99501 w 219147"/>
              <a:gd name="connsiteY57" fmla="*/ 52575 h 131262"/>
              <a:gd name="connsiteX58" fmla="*/ 99569 w 219147"/>
              <a:gd name="connsiteY58" fmla="*/ 52575 h 131262"/>
              <a:gd name="connsiteX59" fmla="*/ 100472 w 219147"/>
              <a:gd name="connsiteY59" fmla="*/ 54667 h 131262"/>
              <a:gd name="connsiteX60" fmla="*/ 122741 w 219147"/>
              <a:gd name="connsiteY60" fmla="*/ 72983 h 131262"/>
              <a:gd name="connsiteX61" fmla="*/ 159414 w 219147"/>
              <a:gd name="connsiteY61" fmla="*/ 81045 h 131262"/>
              <a:gd name="connsiteX62" fmla="*/ 159327 w 219147"/>
              <a:gd name="connsiteY62" fmla="*/ 88834 h 131262"/>
              <a:gd name="connsiteX63" fmla="*/ 109574 w 219147"/>
              <a:gd name="connsiteY63" fmla="*/ 123750 h 131262"/>
              <a:gd name="connsiteX64" fmla="*/ 175491 w 219147"/>
              <a:gd name="connsiteY64" fmla="*/ 100853 h 131262"/>
              <a:gd name="connsiteX65" fmla="*/ 167179 w 219147"/>
              <a:gd name="connsiteY65" fmla="*/ 89186 h 131262"/>
              <a:gd name="connsiteX66" fmla="*/ 168731 w 219147"/>
              <a:gd name="connsiteY66" fmla="*/ 83093 h 131262"/>
              <a:gd name="connsiteX67" fmla="*/ 169623 w 219147"/>
              <a:gd name="connsiteY67" fmla="*/ 83288 h 131262"/>
              <a:gd name="connsiteX68" fmla="*/ 170435 w 219147"/>
              <a:gd name="connsiteY68" fmla="*/ 83378 h 131262"/>
              <a:gd name="connsiteX69" fmla="*/ 174168 w 219147"/>
              <a:gd name="connsiteY69" fmla="*/ 80220 h 131262"/>
              <a:gd name="connsiteX70" fmla="*/ 175011 w 219147"/>
              <a:gd name="connsiteY70" fmla="*/ 70744 h 131262"/>
              <a:gd name="connsiteX71" fmla="*/ 191526 w 219147"/>
              <a:gd name="connsiteY71" fmla="*/ 69356 h 131262"/>
              <a:gd name="connsiteX72" fmla="*/ 201093 w 219147"/>
              <a:gd name="connsiteY72" fmla="*/ 88928 h 131262"/>
              <a:gd name="connsiteX73" fmla="*/ 204871 w 219147"/>
              <a:gd name="connsiteY73" fmla="*/ 106661 h 131262"/>
              <a:gd name="connsiteX74" fmla="*/ 207686 w 219147"/>
              <a:gd name="connsiteY74" fmla="*/ 111113 h 131262"/>
              <a:gd name="connsiteX75" fmla="*/ 207648 w 219147"/>
              <a:gd name="connsiteY75" fmla="*/ 111169 h 131262"/>
              <a:gd name="connsiteX76" fmla="*/ 175491 w 219147"/>
              <a:gd name="connsiteY76" fmla="*/ 100853 h 1312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</a:cxnLst>
            <a:rect l="l" t="t" r="r" b="b"/>
            <a:pathLst>
              <a:path w="219147" h="131262">
                <a:moveTo>
                  <a:pt x="218568" y="114255"/>
                </a:moveTo>
                <a:lnTo>
                  <a:pt x="211242" y="102675"/>
                </a:lnTo>
                <a:cubicBezTo>
                  <a:pt x="208841" y="98946"/>
                  <a:pt x="207880" y="94482"/>
                  <a:pt x="208536" y="90105"/>
                </a:cubicBezTo>
                <a:cubicBezTo>
                  <a:pt x="210690" y="76725"/>
                  <a:pt x="205638" y="66885"/>
                  <a:pt x="194315" y="62393"/>
                </a:cubicBezTo>
                <a:cubicBezTo>
                  <a:pt x="188037" y="59905"/>
                  <a:pt x="181033" y="59924"/>
                  <a:pt x="174769" y="62445"/>
                </a:cubicBezTo>
                <a:cubicBezTo>
                  <a:pt x="171769" y="27154"/>
                  <a:pt x="143825" y="0"/>
                  <a:pt x="109574" y="0"/>
                </a:cubicBezTo>
                <a:cubicBezTo>
                  <a:pt x="75440" y="0"/>
                  <a:pt x="47352" y="27484"/>
                  <a:pt x="44337" y="62430"/>
                </a:cubicBezTo>
                <a:cubicBezTo>
                  <a:pt x="38082" y="59927"/>
                  <a:pt x="31097" y="59913"/>
                  <a:pt x="24833" y="62393"/>
                </a:cubicBezTo>
                <a:cubicBezTo>
                  <a:pt x="13498" y="66893"/>
                  <a:pt x="8457" y="76725"/>
                  <a:pt x="10611" y="90101"/>
                </a:cubicBezTo>
                <a:cubicBezTo>
                  <a:pt x="11267" y="94479"/>
                  <a:pt x="10306" y="98945"/>
                  <a:pt x="7906" y="102675"/>
                </a:cubicBezTo>
                <a:lnTo>
                  <a:pt x="580" y="114255"/>
                </a:lnTo>
                <a:cubicBezTo>
                  <a:pt x="-531" y="116009"/>
                  <a:pt x="2" y="118323"/>
                  <a:pt x="1769" y="119425"/>
                </a:cubicBezTo>
                <a:cubicBezTo>
                  <a:pt x="2371" y="119801"/>
                  <a:pt x="3068" y="120000"/>
                  <a:pt x="3780" y="120000"/>
                </a:cubicBezTo>
                <a:cubicBezTo>
                  <a:pt x="3954" y="120000"/>
                  <a:pt x="4128" y="119988"/>
                  <a:pt x="4301" y="119966"/>
                </a:cubicBezTo>
                <a:cubicBezTo>
                  <a:pt x="5601" y="119786"/>
                  <a:pt x="36372" y="115466"/>
                  <a:pt x="48130" y="106894"/>
                </a:cubicBezTo>
                <a:cubicBezTo>
                  <a:pt x="51209" y="104652"/>
                  <a:pt x="53850" y="101870"/>
                  <a:pt x="55921" y="98685"/>
                </a:cubicBezTo>
                <a:cubicBezTo>
                  <a:pt x="71077" y="128088"/>
                  <a:pt x="107380" y="139730"/>
                  <a:pt x="137005" y="124687"/>
                </a:cubicBezTo>
                <a:cubicBezTo>
                  <a:pt x="148273" y="118966"/>
                  <a:pt x="157439" y="109868"/>
                  <a:pt x="163204" y="98685"/>
                </a:cubicBezTo>
                <a:cubicBezTo>
                  <a:pt x="165280" y="101868"/>
                  <a:pt x="167924" y="104649"/>
                  <a:pt x="171006" y="106890"/>
                </a:cubicBezTo>
                <a:cubicBezTo>
                  <a:pt x="182768" y="115470"/>
                  <a:pt x="213539" y="119783"/>
                  <a:pt x="214835" y="119963"/>
                </a:cubicBezTo>
                <a:cubicBezTo>
                  <a:pt x="215011" y="119986"/>
                  <a:pt x="215189" y="119999"/>
                  <a:pt x="215368" y="120000"/>
                </a:cubicBezTo>
                <a:cubicBezTo>
                  <a:pt x="217454" y="120000"/>
                  <a:pt x="219146" y="118322"/>
                  <a:pt x="219147" y="116251"/>
                </a:cubicBezTo>
                <a:cubicBezTo>
                  <a:pt x="219147" y="115545"/>
                  <a:pt x="218946" y="114853"/>
                  <a:pt x="218568" y="114255"/>
                </a:cubicBezTo>
                <a:close/>
                <a:moveTo>
                  <a:pt x="109574" y="7500"/>
                </a:moveTo>
                <a:cubicBezTo>
                  <a:pt x="140934" y="7500"/>
                  <a:pt x="166374" y="33375"/>
                  <a:pt x="167522" y="66251"/>
                </a:cubicBezTo>
                <a:lnTo>
                  <a:pt x="167522" y="68655"/>
                </a:lnTo>
                <a:cubicBezTo>
                  <a:pt x="167522" y="70796"/>
                  <a:pt x="167417" y="72945"/>
                  <a:pt x="167205" y="75079"/>
                </a:cubicBezTo>
                <a:lnTo>
                  <a:pt x="124366" y="65659"/>
                </a:lnTo>
                <a:cubicBezTo>
                  <a:pt x="116786" y="63983"/>
                  <a:pt x="110478" y="58797"/>
                  <a:pt x="107409" y="51716"/>
                </a:cubicBezTo>
                <a:lnTo>
                  <a:pt x="102554" y="40466"/>
                </a:lnTo>
                <a:cubicBezTo>
                  <a:pt x="101958" y="39088"/>
                  <a:pt x="100593" y="38194"/>
                  <a:pt x="99081" y="38194"/>
                </a:cubicBezTo>
                <a:lnTo>
                  <a:pt x="98923" y="38194"/>
                </a:lnTo>
                <a:cubicBezTo>
                  <a:pt x="97355" y="38259"/>
                  <a:pt x="95991" y="39278"/>
                  <a:pt x="95496" y="40755"/>
                </a:cubicBezTo>
                <a:lnTo>
                  <a:pt x="91060" y="53951"/>
                </a:lnTo>
                <a:cubicBezTo>
                  <a:pt x="89791" y="57741"/>
                  <a:pt x="86905" y="60785"/>
                  <a:pt x="83171" y="62272"/>
                </a:cubicBezTo>
                <a:lnTo>
                  <a:pt x="51837" y="74385"/>
                </a:lnTo>
                <a:cubicBezTo>
                  <a:pt x="51670" y="72488"/>
                  <a:pt x="51584" y="70571"/>
                  <a:pt x="51584" y="68655"/>
                </a:cubicBezTo>
                <a:cubicBezTo>
                  <a:pt x="51591" y="34931"/>
                  <a:pt x="77601" y="7500"/>
                  <a:pt x="109574" y="7500"/>
                </a:cubicBezTo>
                <a:close/>
                <a:moveTo>
                  <a:pt x="43657" y="100853"/>
                </a:moveTo>
                <a:cubicBezTo>
                  <a:pt x="37233" y="105551"/>
                  <a:pt x="22097" y="109185"/>
                  <a:pt x="11541" y="111165"/>
                </a:cubicBezTo>
                <a:cubicBezTo>
                  <a:pt x="11495" y="111165"/>
                  <a:pt x="11480" y="111165"/>
                  <a:pt x="11503" y="111113"/>
                </a:cubicBezTo>
                <a:lnTo>
                  <a:pt x="14314" y="106661"/>
                </a:lnTo>
                <a:cubicBezTo>
                  <a:pt x="17695" y="101398"/>
                  <a:pt x="19038" y="95095"/>
                  <a:pt x="18092" y="88924"/>
                </a:cubicBezTo>
                <a:cubicBezTo>
                  <a:pt x="16513" y="79088"/>
                  <a:pt x="19732" y="72503"/>
                  <a:pt x="27659" y="69356"/>
                </a:cubicBezTo>
                <a:cubicBezTo>
                  <a:pt x="29843" y="68492"/>
                  <a:pt x="32173" y="68051"/>
                  <a:pt x="34524" y="68055"/>
                </a:cubicBezTo>
                <a:cubicBezTo>
                  <a:pt x="37921" y="68081"/>
                  <a:pt x="41247" y="69025"/>
                  <a:pt x="44144" y="70785"/>
                </a:cubicBezTo>
                <a:cubicBezTo>
                  <a:pt x="44215" y="73946"/>
                  <a:pt x="44495" y="77099"/>
                  <a:pt x="44983" y="80224"/>
                </a:cubicBezTo>
                <a:cubicBezTo>
                  <a:pt x="45314" y="82269"/>
                  <a:pt x="47252" y="83660"/>
                  <a:pt x="49312" y="83332"/>
                </a:cubicBezTo>
                <a:cubicBezTo>
                  <a:pt x="49577" y="83289"/>
                  <a:pt x="49837" y="83219"/>
                  <a:pt x="50087" y="83123"/>
                </a:cubicBezTo>
                <a:lnTo>
                  <a:pt x="50427" y="82991"/>
                </a:lnTo>
                <a:cubicBezTo>
                  <a:pt x="50839" y="85083"/>
                  <a:pt x="51364" y="87151"/>
                  <a:pt x="51999" y="89186"/>
                </a:cubicBezTo>
                <a:cubicBezTo>
                  <a:pt x="50696" y="93932"/>
                  <a:pt x="47740" y="98066"/>
                  <a:pt x="43657" y="100853"/>
                </a:cubicBezTo>
                <a:close/>
                <a:moveTo>
                  <a:pt x="109574" y="123750"/>
                </a:moveTo>
                <a:cubicBezTo>
                  <a:pt x="87233" y="123712"/>
                  <a:pt x="67322" y="109758"/>
                  <a:pt x="59813" y="88875"/>
                </a:cubicBezTo>
                <a:cubicBezTo>
                  <a:pt x="60302" y="85752"/>
                  <a:pt x="60154" y="82564"/>
                  <a:pt x="59375" y="79500"/>
                </a:cubicBezTo>
                <a:lnTo>
                  <a:pt x="85951" y="69229"/>
                </a:lnTo>
                <a:cubicBezTo>
                  <a:pt x="91762" y="66934"/>
                  <a:pt x="96258" y="62213"/>
                  <a:pt x="98239" y="56325"/>
                </a:cubicBezTo>
                <a:lnTo>
                  <a:pt x="99501" y="52575"/>
                </a:lnTo>
                <a:cubicBezTo>
                  <a:pt x="99501" y="52526"/>
                  <a:pt x="99546" y="52526"/>
                  <a:pt x="99569" y="52575"/>
                </a:cubicBezTo>
                <a:lnTo>
                  <a:pt x="100472" y="54667"/>
                </a:lnTo>
                <a:cubicBezTo>
                  <a:pt x="104498" y="63970"/>
                  <a:pt x="112784" y="70784"/>
                  <a:pt x="122741" y="72983"/>
                </a:cubicBezTo>
                <a:lnTo>
                  <a:pt x="159414" y="81045"/>
                </a:lnTo>
                <a:cubicBezTo>
                  <a:pt x="158945" y="83618"/>
                  <a:pt x="158916" y="86251"/>
                  <a:pt x="159327" y="88834"/>
                </a:cubicBezTo>
                <a:cubicBezTo>
                  <a:pt x="151841" y="109736"/>
                  <a:pt x="131925" y="123713"/>
                  <a:pt x="109574" y="123750"/>
                </a:cubicBezTo>
                <a:close/>
                <a:moveTo>
                  <a:pt x="175491" y="100853"/>
                </a:moveTo>
                <a:cubicBezTo>
                  <a:pt x="171420" y="98058"/>
                  <a:pt x="168476" y="93926"/>
                  <a:pt x="167179" y="89186"/>
                </a:cubicBezTo>
                <a:cubicBezTo>
                  <a:pt x="167803" y="87183"/>
                  <a:pt x="168322" y="85149"/>
                  <a:pt x="168731" y="83093"/>
                </a:cubicBezTo>
                <a:lnTo>
                  <a:pt x="169623" y="83288"/>
                </a:lnTo>
                <a:cubicBezTo>
                  <a:pt x="169890" y="83347"/>
                  <a:pt x="170162" y="83378"/>
                  <a:pt x="170435" y="83378"/>
                </a:cubicBezTo>
                <a:cubicBezTo>
                  <a:pt x="172293" y="83379"/>
                  <a:pt x="173875" y="82040"/>
                  <a:pt x="174168" y="80220"/>
                </a:cubicBezTo>
                <a:cubicBezTo>
                  <a:pt x="174656" y="77083"/>
                  <a:pt x="174937" y="73917"/>
                  <a:pt x="175011" y="70744"/>
                </a:cubicBezTo>
                <a:cubicBezTo>
                  <a:pt x="180001" y="67762"/>
                  <a:pt x="186103" y="67249"/>
                  <a:pt x="191526" y="69356"/>
                </a:cubicBezTo>
                <a:cubicBezTo>
                  <a:pt x="199461" y="72503"/>
                  <a:pt x="202672" y="79106"/>
                  <a:pt x="201093" y="88928"/>
                </a:cubicBezTo>
                <a:cubicBezTo>
                  <a:pt x="200148" y="95098"/>
                  <a:pt x="201490" y="101399"/>
                  <a:pt x="204871" y="106661"/>
                </a:cubicBezTo>
                <a:lnTo>
                  <a:pt x="207686" y="111113"/>
                </a:lnTo>
                <a:cubicBezTo>
                  <a:pt x="207709" y="111154"/>
                  <a:pt x="207686" y="111176"/>
                  <a:pt x="207648" y="111169"/>
                </a:cubicBezTo>
                <a:cubicBezTo>
                  <a:pt x="197054" y="109189"/>
                  <a:pt x="181937" y="105555"/>
                  <a:pt x="175491" y="100853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604" name="Freeform: Shape 603">
            <a:extLst>
              <a:ext uri="{FF2B5EF4-FFF2-40B4-BE49-F238E27FC236}">
                <a16:creationId xmlns:a16="http://schemas.microsoft.com/office/drawing/2014/main" id="{4C3335A5-F24F-49D8-B013-688714ED9C32}"/>
              </a:ext>
            </a:extLst>
          </xdr:cNvPr>
          <xdr:cNvSpPr/>
        </xdr:nvSpPr>
        <xdr:spPr>
          <a:xfrm>
            <a:off x="13095875" y="11529779"/>
            <a:ext cx="196475" cy="103309"/>
          </a:xfrm>
          <a:custGeom>
            <a:avLst/>
            <a:gdLst>
              <a:gd name="connsiteX0" fmla="*/ 180439 w 196475"/>
              <a:gd name="connsiteY0" fmla="*/ 27481 h 103309"/>
              <a:gd name="connsiteX1" fmla="*/ 117719 w 196475"/>
              <a:gd name="connsiteY1" fmla="*/ 61 h 103309"/>
              <a:gd name="connsiteX2" fmla="*/ 113326 w 196475"/>
              <a:gd name="connsiteY2" fmla="*/ 3081 h 103309"/>
              <a:gd name="connsiteX3" fmla="*/ 113279 w 196475"/>
              <a:gd name="connsiteY3" fmla="*/ 3436 h 103309"/>
              <a:gd name="connsiteX4" fmla="*/ 98238 w 196475"/>
              <a:gd name="connsiteY4" fmla="*/ 17060 h 103309"/>
              <a:gd name="connsiteX5" fmla="*/ 98238 w 196475"/>
              <a:gd name="connsiteY5" fmla="*/ 17060 h 103309"/>
              <a:gd name="connsiteX6" fmla="*/ 83124 w 196475"/>
              <a:gd name="connsiteY6" fmla="*/ 3372 h 103309"/>
              <a:gd name="connsiteX7" fmla="*/ 78984 w 196475"/>
              <a:gd name="connsiteY7" fmla="*/ 20 h 103309"/>
              <a:gd name="connsiteX8" fmla="*/ 78711 w 196475"/>
              <a:gd name="connsiteY8" fmla="*/ 57 h 103309"/>
              <a:gd name="connsiteX9" fmla="*/ 16058 w 196475"/>
              <a:gd name="connsiteY9" fmla="*/ 27481 h 103309"/>
              <a:gd name="connsiteX10" fmla="*/ 0 w 196475"/>
              <a:gd name="connsiteY10" fmla="*/ 60113 h 103309"/>
              <a:gd name="connsiteX11" fmla="*/ 0 w 196475"/>
              <a:gd name="connsiteY11" fmla="*/ 103310 h 103309"/>
              <a:gd name="connsiteX12" fmla="*/ 7557 w 196475"/>
              <a:gd name="connsiteY12" fmla="*/ 103310 h 103309"/>
              <a:gd name="connsiteX13" fmla="*/ 7557 w 196475"/>
              <a:gd name="connsiteY13" fmla="*/ 60113 h 103309"/>
              <a:gd name="connsiteX14" fmla="*/ 20604 w 196475"/>
              <a:gd name="connsiteY14" fmla="*/ 33458 h 103309"/>
              <a:gd name="connsiteX15" fmla="*/ 58912 w 196475"/>
              <a:gd name="connsiteY15" fmla="*/ 13085 h 103309"/>
              <a:gd name="connsiteX16" fmla="*/ 52973 w 196475"/>
              <a:gd name="connsiteY16" fmla="*/ 42560 h 103309"/>
              <a:gd name="connsiteX17" fmla="*/ 55938 w 196475"/>
              <a:gd name="connsiteY17" fmla="*/ 46972 h 103309"/>
              <a:gd name="connsiteX18" fmla="*/ 58486 w 196475"/>
              <a:gd name="connsiteY18" fmla="*/ 46587 h 103309"/>
              <a:gd name="connsiteX19" fmla="*/ 94459 w 196475"/>
              <a:gd name="connsiteY19" fmla="*/ 27128 h 103309"/>
              <a:gd name="connsiteX20" fmla="*/ 94459 w 196475"/>
              <a:gd name="connsiteY20" fmla="*/ 103310 h 103309"/>
              <a:gd name="connsiteX21" fmla="*/ 102016 w 196475"/>
              <a:gd name="connsiteY21" fmla="*/ 103310 h 103309"/>
              <a:gd name="connsiteX22" fmla="*/ 102016 w 196475"/>
              <a:gd name="connsiteY22" fmla="*/ 27128 h 103309"/>
              <a:gd name="connsiteX23" fmla="*/ 137990 w 196475"/>
              <a:gd name="connsiteY23" fmla="*/ 46602 h 103309"/>
              <a:gd name="connsiteX24" fmla="*/ 139799 w 196475"/>
              <a:gd name="connsiteY24" fmla="*/ 47060 h 103309"/>
              <a:gd name="connsiteX25" fmla="*/ 143579 w 196475"/>
              <a:gd name="connsiteY25" fmla="*/ 43310 h 103309"/>
              <a:gd name="connsiteX26" fmla="*/ 143502 w 196475"/>
              <a:gd name="connsiteY26" fmla="*/ 42560 h 103309"/>
              <a:gd name="connsiteX27" fmla="*/ 137589 w 196475"/>
              <a:gd name="connsiteY27" fmla="*/ 13208 h 103309"/>
              <a:gd name="connsiteX28" fmla="*/ 175875 w 196475"/>
              <a:gd name="connsiteY28" fmla="*/ 33458 h 103309"/>
              <a:gd name="connsiteX29" fmla="*/ 188918 w 196475"/>
              <a:gd name="connsiteY29" fmla="*/ 60113 h 103309"/>
              <a:gd name="connsiteX30" fmla="*/ 188918 w 196475"/>
              <a:gd name="connsiteY30" fmla="*/ 103310 h 103309"/>
              <a:gd name="connsiteX31" fmla="*/ 196475 w 196475"/>
              <a:gd name="connsiteY31" fmla="*/ 103310 h 103309"/>
              <a:gd name="connsiteX32" fmla="*/ 196475 w 196475"/>
              <a:gd name="connsiteY32" fmla="*/ 60113 h 103309"/>
              <a:gd name="connsiteX33" fmla="*/ 180439 w 196475"/>
              <a:gd name="connsiteY33" fmla="*/ 27481 h 103309"/>
              <a:gd name="connsiteX34" fmla="*/ 67149 w 196475"/>
              <a:gd name="connsiteY34" fmla="*/ 10445 h 103309"/>
              <a:gd name="connsiteX35" fmla="*/ 76376 w 196475"/>
              <a:gd name="connsiteY35" fmla="*/ 8135 h 103309"/>
              <a:gd name="connsiteX36" fmla="*/ 88036 w 196475"/>
              <a:gd name="connsiteY36" fmla="*/ 22058 h 103309"/>
              <a:gd name="connsiteX37" fmla="*/ 62030 w 196475"/>
              <a:gd name="connsiteY37" fmla="*/ 36136 h 103309"/>
              <a:gd name="connsiteX38" fmla="*/ 61979 w 196475"/>
              <a:gd name="connsiteY38" fmla="*/ 36118 h 103309"/>
              <a:gd name="connsiteX39" fmla="*/ 61977 w 196475"/>
              <a:gd name="connsiteY39" fmla="*/ 36095 h 103309"/>
              <a:gd name="connsiteX40" fmla="*/ 134438 w 196475"/>
              <a:gd name="connsiteY40" fmla="*/ 36136 h 103309"/>
              <a:gd name="connsiteX41" fmla="*/ 108526 w 196475"/>
              <a:gd name="connsiteY41" fmla="*/ 22107 h 103309"/>
              <a:gd name="connsiteX42" fmla="*/ 120069 w 196475"/>
              <a:gd name="connsiteY42" fmla="*/ 8168 h 103309"/>
              <a:gd name="connsiteX43" fmla="*/ 129345 w 196475"/>
              <a:gd name="connsiteY43" fmla="*/ 10550 h 103309"/>
              <a:gd name="connsiteX44" fmla="*/ 134510 w 196475"/>
              <a:gd name="connsiteY44" fmla="*/ 36095 h 103309"/>
              <a:gd name="connsiteX45" fmla="*/ 134495 w 196475"/>
              <a:gd name="connsiteY45" fmla="*/ 36151 h 103309"/>
              <a:gd name="connsiteX46" fmla="*/ 134438 w 196475"/>
              <a:gd name="connsiteY46" fmla="*/ 36136 h 1033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</a:cxnLst>
            <a:rect l="l" t="t" r="r" b="b"/>
            <a:pathLst>
              <a:path w="196475" h="103309">
                <a:moveTo>
                  <a:pt x="180439" y="27481"/>
                </a:moveTo>
                <a:cubicBezTo>
                  <a:pt x="161899" y="13738"/>
                  <a:pt x="140450" y="4361"/>
                  <a:pt x="117719" y="61"/>
                </a:cubicBezTo>
                <a:cubicBezTo>
                  <a:pt x="115666" y="-309"/>
                  <a:pt x="113699" y="1043"/>
                  <a:pt x="113326" y="3081"/>
                </a:cubicBezTo>
                <a:cubicBezTo>
                  <a:pt x="113305" y="3199"/>
                  <a:pt x="113289" y="3317"/>
                  <a:pt x="113279" y="3436"/>
                </a:cubicBezTo>
                <a:cubicBezTo>
                  <a:pt x="112608" y="11173"/>
                  <a:pt x="106062" y="17102"/>
                  <a:pt x="98238" y="17060"/>
                </a:cubicBezTo>
                <a:lnTo>
                  <a:pt x="98238" y="17060"/>
                </a:lnTo>
                <a:cubicBezTo>
                  <a:pt x="90435" y="16952"/>
                  <a:pt x="83944" y="11074"/>
                  <a:pt x="83124" y="3372"/>
                </a:cubicBezTo>
                <a:cubicBezTo>
                  <a:pt x="82914" y="1312"/>
                  <a:pt x="81060" y="-189"/>
                  <a:pt x="78984" y="20"/>
                </a:cubicBezTo>
                <a:cubicBezTo>
                  <a:pt x="78892" y="29"/>
                  <a:pt x="78801" y="41"/>
                  <a:pt x="78711" y="57"/>
                </a:cubicBezTo>
                <a:cubicBezTo>
                  <a:pt x="55980" y="4295"/>
                  <a:pt x="34540" y="13679"/>
                  <a:pt x="16058" y="27481"/>
                </a:cubicBezTo>
                <a:cubicBezTo>
                  <a:pt x="5882" y="35286"/>
                  <a:pt x="-54" y="47349"/>
                  <a:pt x="0" y="60113"/>
                </a:cubicBezTo>
                <a:lnTo>
                  <a:pt x="0" y="103310"/>
                </a:lnTo>
                <a:lnTo>
                  <a:pt x="7557" y="103310"/>
                </a:lnTo>
                <a:lnTo>
                  <a:pt x="7557" y="60113"/>
                </a:lnTo>
                <a:cubicBezTo>
                  <a:pt x="7493" y="49698"/>
                  <a:pt x="12316" y="39847"/>
                  <a:pt x="20604" y="33458"/>
                </a:cubicBezTo>
                <a:cubicBezTo>
                  <a:pt x="32267" y="24792"/>
                  <a:pt x="45182" y="17923"/>
                  <a:pt x="58912" y="13085"/>
                </a:cubicBezTo>
                <a:lnTo>
                  <a:pt x="52973" y="42560"/>
                </a:lnTo>
                <a:cubicBezTo>
                  <a:pt x="52564" y="44591"/>
                  <a:pt x="53892" y="46566"/>
                  <a:pt x="55938" y="46972"/>
                </a:cubicBezTo>
                <a:cubicBezTo>
                  <a:pt x="56806" y="47144"/>
                  <a:pt x="57708" y="47008"/>
                  <a:pt x="58486" y="46587"/>
                </a:cubicBezTo>
                <a:lnTo>
                  <a:pt x="94459" y="27128"/>
                </a:lnTo>
                <a:lnTo>
                  <a:pt x="94459" y="103310"/>
                </a:lnTo>
                <a:lnTo>
                  <a:pt x="102016" y="103310"/>
                </a:lnTo>
                <a:lnTo>
                  <a:pt x="102016" y="27128"/>
                </a:lnTo>
                <a:lnTo>
                  <a:pt x="137990" y="46602"/>
                </a:lnTo>
                <a:cubicBezTo>
                  <a:pt x="138545" y="46901"/>
                  <a:pt x="139167" y="47059"/>
                  <a:pt x="139799" y="47060"/>
                </a:cubicBezTo>
                <a:cubicBezTo>
                  <a:pt x="141886" y="47060"/>
                  <a:pt x="143578" y="45382"/>
                  <a:pt x="143579" y="43310"/>
                </a:cubicBezTo>
                <a:cubicBezTo>
                  <a:pt x="143579" y="43058"/>
                  <a:pt x="143553" y="42807"/>
                  <a:pt x="143502" y="42560"/>
                </a:cubicBezTo>
                <a:lnTo>
                  <a:pt x="137589" y="13208"/>
                </a:lnTo>
                <a:cubicBezTo>
                  <a:pt x="151294" y="18034"/>
                  <a:pt x="164197" y="24859"/>
                  <a:pt x="175875" y="33458"/>
                </a:cubicBezTo>
                <a:cubicBezTo>
                  <a:pt x="184161" y="39848"/>
                  <a:pt x="188982" y="49699"/>
                  <a:pt x="188918" y="60113"/>
                </a:cubicBezTo>
                <a:lnTo>
                  <a:pt x="188918" y="103310"/>
                </a:lnTo>
                <a:lnTo>
                  <a:pt x="196475" y="103310"/>
                </a:lnTo>
                <a:lnTo>
                  <a:pt x="196475" y="60113"/>
                </a:lnTo>
                <a:cubicBezTo>
                  <a:pt x="196533" y="47353"/>
                  <a:pt x="190607" y="35292"/>
                  <a:pt x="180439" y="27481"/>
                </a:cubicBezTo>
                <a:close/>
                <a:moveTo>
                  <a:pt x="67149" y="10445"/>
                </a:moveTo>
                <a:cubicBezTo>
                  <a:pt x="70232" y="9567"/>
                  <a:pt x="73312" y="8765"/>
                  <a:pt x="76376" y="8135"/>
                </a:cubicBezTo>
                <a:cubicBezTo>
                  <a:pt x="78187" y="14159"/>
                  <a:pt x="82399" y="19189"/>
                  <a:pt x="88036" y="22058"/>
                </a:cubicBezTo>
                <a:lnTo>
                  <a:pt x="62030" y="36136"/>
                </a:lnTo>
                <a:cubicBezTo>
                  <a:pt x="62011" y="36145"/>
                  <a:pt x="61988" y="36136"/>
                  <a:pt x="61979" y="36118"/>
                </a:cubicBezTo>
                <a:cubicBezTo>
                  <a:pt x="61976" y="36110"/>
                  <a:pt x="61975" y="36103"/>
                  <a:pt x="61977" y="36095"/>
                </a:cubicBezTo>
                <a:close/>
                <a:moveTo>
                  <a:pt x="134438" y="36136"/>
                </a:moveTo>
                <a:lnTo>
                  <a:pt x="108526" y="22107"/>
                </a:lnTo>
                <a:cubicBezTo>
                  <a:pt x="114183" y="19285"/>
                  <a:pt x="118375" y="14223"/>
                  <a:pt x="120069" y="8168"/>
                </a:cubicBezTo>
                <a:cubicBezTo>
                  <a:pt x="123141" y="8825"/>
                  <a:pt x="126243" y="9668"/>
                  <a:pt x="129345" y="10550"/>
                </a:cubicBezTo>
                <a:lnTo>
                  <a:pt x="134510" y="36095"/>
                </a:lnTo>
                <a:cubicBezTo>
                  <a:pt x="134521" y="36114"/>
                  <a:pt x="134514" y="36140"/>
                  <a:pt x="134495" y="36151"/>
                </a:cubicBezTo>
                <a:cubicBezTo>
                  <a:pt x="134475" y="36162"/>
                  <a:pt x="134449" y="36155"/>
                  <a:pt x="134438" y="3613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1</xdr:col>
      <xdr:colOff>180975</xdr:colOff>
      <xdr:row>1</xdr:row>
      <xdr:rowOff>56590</xdr:rowOff>
    </xdr:from>
    <xdr:to>
      <xdr:col>1</xdr:col>
      <xdr:colOff>612975</xdr:colOff>
      <xdr:row>2</xdr:row>
      <xdr:rowOff>240940</xdr:rowOff>
    </xdr:to>
    <xdr:pic>
      <xdr:nvPicPr>
        <xdr:cNvPr id="627" name="mainicon">
          <a:extLst>
            <a:ext uri="{FF2B5EF4-FFF2-40B4-BE49-F238E27FC236}">
              <a16:creationId xmlns:a16="http://schemas.microsoft.com/office/drawing/2014/main" id="{6447CF38-C735-4452-AF91-252D25932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28625" y="142315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11</xdr:col>
      <xdr:colOff>158563</xdr:colOff>
      <xdr:row>1</xdr:row>
      <xdr:rowOff>28575</xdr:rowOff>
    </xdr:from>
    <xdr:to>
      <xdr:col>13</xdr:col>
      <xdr:colOff>24682</xdr:colOff>
      <xdr:row>2</xdr:row>
      <xdr:rowOff>258686</xdr:rowOff>
    </xdr:to>
    <xdr:grpSp>
      <xdr:nvGrpSpPr>
        <xdr:cNvPr id="630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CAC2ECD6-B6BB-48FC-97D5-2CAB8FDEBEC8}"/>
            </a:ext>
          </a:extLst>
        </xdr:cNvPr>
        <xdr:cNvGrpSpPr/>
      </xdr:nvGrpSpPr>
      <xdr:grpSpPr>
        <a:xfrm>
          <a:off x="9883588" y="114300"/>
          <a:ext cx="1085319" cy="477761"/>
          <a:chOff x="7332133" y="217525"/>
          <a:chExt cx="1131771" cy="451203"/>
        </a:xfrm>
      </xdr:grpSpPr>
      <xdr:sp macro="" textlink="">
        <xdr:nvSpPr>
          <xdr:cNvPr id="631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66BDBD81-D3F7-406E-A00C-981CDD5C8024}"/>
              </a:ext>
            </a:extLst>
          </xdr:cNvPr>
          <xdr:cNvSpPr/>
        </xdr:nvSpPr>
        <xdr:spPr>
          <a:xfrm>
            <a:off x="7332133" y="222010"/>
            <a:ext cx="1116756" cy="446718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632" name="Picture 631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0325F556-FC1C-4ADF-AFC2-41C15719D5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388041" y="217525"/>
            <a:ext cx="496172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633" name="TextBox 63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DCED6B38-2C8A-4C49-94E8-FD5B49B00360}"/>
              </a:ext>
            </a:extLst>
          </xdr:cNvPr>
          <xdr:cNvSpPr txBox="1"/>
        </xdr:nvSpPr>
        <xdr:spPr>
          <a:xfrm>
            <a:off x="7792377" y="255855"/>
            <a:ext cx="671527" cy="36819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36000" tIns="36000" rIns="36000" bIns="36000" rtlCol="0" anchor="ctr">
            <a:spAutoFit/>
          </a:bodyPr>
          <a:lstStyle/>
          <a:p>
            <a:pPr algn="ctr"/>
            <a:r>
              <a:rPr lang="tr-TR" sz="1000" b="1" i="1">
                <a:solidFill>
                  <a:srgbClr val="FFFFFF"/>
                </a:solidFill>
              </a:rPr>
              <a:t>Back</a:t>
            </a:r>
            <a:r>
              <a:rPr lang="tr-TR" sz="1000" b="1" i="1" baseline="0">
                <a:solidFill>
                  <a:srgbClr val="FFFFFF"/>
                </a:solidFill>
              </a:rPr>
              <a:t> to </a:t>
            </a:r>
          </a:p>
          <a:p>
            <a:pPr algn="ctr"/>
            <a:r>
              <a:rPr lang="tr-TR" sz="1000" b="1" i="1" baseline="0">
                <a:solidFill>
                  <a:srgbClr val="FFFFFF"/>
                </a:solidFill>
              </a:rPr>
              <a:t>Menu</a:t>
            </a:r>
            <a:endParaRPr lang="tr-TR" sz="1000" b="1" i="1"/>
          </a:p>
        </xdr:txBody>
      </xdr:sp>
    </xdr:grpSp>
    <xdr:clientData fPrintsWithSheet="0"/>
  </xdr:twoCellAnchor>
  <xdr:twoCellAnchor editAs="oneCell">
    <xdr:from>
      <xdr:col>9</xdr:col>
      <xdr:colOff>61089</xdr:colOff>
      <xdr:row>26</xdr:row>
      <xdr:rowOff>0</xdr:rowOff>
    </xdr:from>
    <xdr:to>
      <xdr:col>11</xdr:col>
      <xdr:colOff>0</xdr:colOff>
      <xdr:row>26</xdr:row>
      <xdr:rowOff>281281</xdr:rowOff>
    </xdr:to>
    <xdr:sp macro="" textlink="">
      <xdr:nvSpPr>
        <xdr:cNvPr id="644" name="devbysom">
          <a:hlinkClick xmlns:r="http://schemas.openxmlformats.org/officeDocument/2006/relationships" r:id="rId5" tooltip="Someka Excel Solutions"/>
          <a:extLst>
            <a:ext uri="{FF2B5EF4-FFF2-40B4-BE49-F238E27FC236}">
              <a16:creationId xmlns:a16="http://schemas.microsoft.com/office/drawing/2014/main" id="{EA7E024B-FA31-4B66-BA9D-A9FC661CAFF6}"/>
            </a:ext>
          </a:extLst>
        </xdr:cNvPr>
        <xdr:cNvSpPr/>
      </xdr:nvSpPr>
      <xdr:spPr>
        <a:xfrm>
          <a:off x="7890639" y="13668375"/>
          <a:ext cx="1834386" cy="2812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54000" rIns="108000" bIns="54000" rtlCol="0" anchor="t">
          <a:spAutoFit/>
        </a:bodyPr>
        <a:lstStyle/>
        <a:p>
          <a:pPr algn="l"/>
          <a:r>
            <a:rPr lang="tr-TR" sz="1100" i="1" u="none">
              <a:solidFill>
                <a:schemeClr val="bg1">
                  <a:lumMod val="95000"/>
                </a:schemeClr>
              </a:solidFill>
            </a:rPr>
            <a:t>Developed by MasterProductivityKit.com ©</a:t>
          </a:r>
        </a:p>
      </xdr:txBody>
    </xdr:sp>
    <xdr:clientData/>
  </xdr:twoCellAnchor>
  <xdr:oneCellAnchor>
    <xdr:from>
      <xdr:col>6</xdr:col>
      <xdr:colOff>129153</xdr:colOff>
      <xdr:row>19</xdr:row>
      <xdr:rowOff>123204</xdr:rowOff>
    </xdr:from>
    <xdr:ext cx="325738" cy="329085"/>
    <xdr:grpSp>
      <xdr:nvGrpSpPr>
        <xdr:cNvPr id="481" name="juggling" descr="Spinning Plates">
          <a:extLst>
            <a:ext uri="{FF2B5EF4-FFF2-40B4-BE49-F238E27FC236}">
              <a16:creationId xmlns:a16="http://schemas.microsoft.com/office/drawing/2014/main" id="{4B151D6B-AAFE-4F94-9DC7-B8637D62DEA3}"/>
            </a:ext>
          </a:extLst>
        </xdr:cNvPr>
        <xdr:cNvGrpSpPr>
          <a:grpSpLocks noChangeAspect="1"/>
        </xdr:cNvGrpSpPr>
      </xdr:nvGrpSpPr>
      <xdr:grpSpPr>
        <a:xfrm>
          <a:off x="5348853" y="9933954"/>
          <a:ext cx="325738" cy="329085"/>
          <a:chOff x="4533320" y="6955903"/>
          <a:chExt cx="325738" cy="329085"/>
        </a:xfrm>
        <a:solidFill>
          <a:srgbClr val="1F4E78"/>
        </a:solidFill>
      </xdr:grpSpPr>
      <xdr:sp macro="" textlink="">
        <xdr:nvSpPr>
          <xdr:cNvPr id="482" name="Freeform: Shape 481">
            <a:extLst>
              <a:ext uri="{FF2B5EF4-FFF2-40B4-BE49-F238E27FC236}">
                <a16:creationId xmlns:a16="http://schemas.microsoft.com/office/drawing/2014/main" id="{80375618-2BD7-46B3-946D-06FD6547D2B7}"/>
              </a:ext>
            </a:extLst>
          </xdr:cNvPr>
          <xdr:cNvSpPr/>
        </xdr:nvSpPr>
        <xdr:spPr>
          <a:xfrm>
            <a:off x="4629096" y="7053217"/>
            <a:ext cx="45465" cy="45053"/>
          </a:xfrm>
          <a:custGeom>
            <a:avLst/>
            <a:gdLst>
              <a:gd name="connsiteX0" fmla="*/ 473 w 45465"/>
              <a:gd name="connsiteY0" fmla="*/ 27057 h 45053"/>
              <a:gd name="connsiteX1" fmla="*/ 27305 w 45465"/>
              <a:gd name="connsiteY1" fmla="*/ 44589 h 45053"/>
              <a:gd name="connsiteX2" fmla="*/ 44997 w 45465"/>
              <a:gd name="connsiteY2" fmla="*/ 17998 h 45053"/>
              <a:gd name="connsiteX3" fmla="*/ 18164 w 45465"/>
              <a:gd name="connsiteY3" fmla="*/ 465 h 45053"/>
              <a:gd name="connsiteX4" fmla="*/ 18125 w 45465"/>
              <a:gd name="connsiteY4" fmla="*/ 473 h 45053"/>
              <a:gd name="connsiteX5" fmla="*/ 472 w 45465"/>
              <a:gd name="connsiteY5" fmla="*/ 27052 h 45053"/>
              <a:gd name="connsiteX6" fmla="*/ 473 w 45465"/>
              <a:gd name="connsiteY6" fmla="*/ 27057 h 45053"/>
              <a:gd name="connsiteX7" fmla="*/ 10062 w 45465"/>
              <a:gd name="connsiteY7" fmla="*/ 14258 h 45053"/>
              <a:gd name="connsiteX8" fmla="*/ 31025 w 45465"/>
              <a:gd name="connsiteY8" fmla="*/ 9971 h 45053"/>
              <a:gd name="connsiteX9" fmla="*/ 35350 w 45465"/>
              <a:gd name="connsiteY9" fmla="*/ 30747 h 45053"/>
              <a:gd name="connsiteX10" fmla="*/ 25765 w 45465"/>
              <a:gd name="connsiteY10" fmla="*/ 37193 h 45053"/>
              <a:gd name="connsiteX11" fmla="*/ 22685 w 45465"/>
              <a:gd name="connsiteY11" fmla="*/ 37508 h 45053"/>
              <a:gd name="connsiteX12" fmla="*/ 7567 w 45465"/>
              <a:gd name="connsiteY12" fmla="*/ 22490 h 45053"/>
              <a:gd name="connsiteX13" fmla="*/ 10062 w 45465"/>
              <a:gd name="connsiteY13" fmla="*/ 14258 h 450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45465" h="45053">
                <a:moveTo>
                  <a:pt x="473" y="27057"/>
                </a:moveTo>
                <a:cubicBezTo>
                  <a:pt x="2997" y="39241"/>
                  <a:pt x="15011" y="47091"/>
                  <a:pt x="27305" y="44589"/>
                </a:cubicBezTo>
                <a:cubicBezTo>
                  <a:pt x="39600" y="42088"/>
                  <a:pt x="47521" y="30182"/>
                  <a:pt x="44997" y="17998"/>
                </a:cubicBezTo>
                <a:cubicBezTo>
                  <a:pt x="42473" y="5813"/>
                  <a:pt x="30460" y="-2037"/>
                  <a:pt x="18164" y="465"/>
                </a:cubicBezTo>
                <a:cubicBezTo>
                  <a:pt x="18151" y="468"/>
                  <a:pt x="18138" y="470"/>
                  <a:pt x="18125" y="473"/>
                </a:cubicBezTo>
                <a:cubicBezTo>
                  <a:pt x="5844" y="2981"/>
                  <a:pt x="-2059" y="14881"/>
                  <a:pt x="472" y="27052"/>
                </a:cubicBezTo>
                <a:cubicBezTo>
                  <a:pt x="472" y="27053"/>
                  <a:pt x="473" y="27055"/>
                  <a:pt x="473" y="27057"/>
                </a:cubicBezTo>
                <a:close/>
                <a:moveTo>
                  <a:pt x="10062" y="14258"/>
                </a:moveTo>
                <a:cubicBezTo>
                  <a:pt x="14656" y="7337"/>
                  <a:pt x="24042" y="5418"/>
                  <a:pt x="31025" y="9971"/>
                </a:cubicBezTo>
                <a:cubicBezTo>
                  <a:pt x="38009" y="14524"/>
                  <a:pt x="39945" y="23826"/>
                  <a:pt x="35350" y="30747"/>
                </a:cubicBezTo>
                <a:cubicBezTo>
                  <a:pt x="33144" y="34070"/>
                  <a:pt x="29696" y="36389"/>
                  <a:pt x="25765" y="37193"/>
                </a:cubicBezTo>
                <a:cubicBezTo>
                  <a:pt x="24752" y="37400"/>
                  <a:pt x="23720" y="37506"/>
                  <a:pt x="22685" y="37508"/>
                </a:cubicBezTo>
                <a:cubicBezTo>
                  <a:pt x="14326" y="37498"/>
                  <a:pt x="7557" y="30775"/>
                  <a:pt x="7567" y="22490"/>
                </a:cubicBezTo>
                <a:cubicBezTo>
                  <a:pt x="7570" y="19564"/>
                  <a:pt x="8437" y="16702"/>
                  <a:pt x="10062" y="14258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83" name="Freeform: Shape 482">
            <a:extLst>
              <a:ext uri="{FF2B5EF4-FFF2-40B4-BE49-F238E27FC236}">
                <a16:creationId xmlns:a16="http://schemas.microsoft.com/office/drawing/2014/main" id="{74897D31-CFF0-483A-9F2C-B0BA962B6009}"/>
              </a:ext>
            </a:extLst>
          </xdr:cNvPr>
          <xdr:cNvSpPr/>
        </xdr:nvSpPr>
        <xdr:spPr>
          <a:xfrm>
            <a:off x="4533320" y="7005078"/>
            <a:ext cx="22393" cy="33712"/>
          </a:xfrm>
          <a:custGeom>
            <a:avLst/>
            <a:gdLst>
              <a:gd name="connsiteX0" fmla="*/ 9142 w 22393"/>
              <a:gd name="connsiteY0" fmla="*/ 18799 h 33712"/>
              <a:gd name="connsiteX1" fmla="*/ 7663 w 22393"/>
              <a:gd name="connsiteY1" fmla="*/ 14464 h 33712"/>
              <a:gd name="connsiteX2" fmla="*/ 10940 w 22393"/>
              <a:gd name="connsiteY2" fmla="*/ 5089 h 33712"/>
              <a:gd name="connsiteX3" fmla="*/ 5374 w 22393"/>
              <a:gd name="connsiteY3" fmla="*/ 0 h 33712"/>
              <a:gd name="connsiteX4" fmla="*/ 152 w 22393"/>
              <a:gd name="connsiteY4" fmla="*/ 15375 h 33712"/>
              <a:gd name="connsiteX5" fmla="*/ 2653 w 22393"/>
              <a:gd name="connsiteY5" fmla="*/ 22669 h 33712"/>
              <a:gd name="connsiteX6" fmla="*/ 9313 w 22393"/>
              <a:gd name="connsiteY6" fmla="*/ 29261 h 33712"/>
              <a:gd name="connsiteX7" fmla="*/ 20733 w 22393"/>
              <a:gd name="connsiteY7" fmla="*/ 33713 h 33712"/>
              <a:gd name="connsiteX8" fmla="*/ 22394 w 22393"/>
              <a:gd name="connsiteY8" fmla="*/ 26396 h 33712"/>
              <a:gd name="connsiteX9" fmla="*/ 13388 w 22393"/>
              <a:gd name="connsiteY9" fmla="*/ 22943 h 33712"/>
              <a:gd name="connsiteX10" fmla="*/ 9142 w 22393"/>
              <a:gd name="connsiteY10" fmla="*/ 18799 h 337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22393" h="33712">
                <a:moveTo>
                  <a:pt x="9142" y="18799"/>
                </a:moveTo>
                <a:cubicBezTo>
                  <a:pt x="8346" y="17473"/>
                  <a:pt x="7841" y="15996"/>
                  <a:pt x="7663" y="14464"/>
                </a:cubicBezTo>
                <a:cubicBezTo>
                  <a:pt x="7227" y="11004"/>
                  <a:pt x="8438" y="7540"/>
                  <a:pt x="10940" y="5089"/>
                </a:cubicBezTo>
                <a:lnTo>
                  <a:pt x="5374" y="0"/>
                </a:lnTo>
                <a:cubicBezTo>
                  <a:pt x="1347" y="4061"/>
                  <a:pt x="-577" y="9728"/>
                  <a:pt x="152" y="15375"/>
                </a:cubicBezTo>
                <a:cubicBezTo>
                  <a:pt x="456" y="17954"/>
                  <a:pt x="1308" y="20440"/>
                  <a:pt x="2653" y="22669"/>
                </a:cubicBezTo>
                <a:cubicBezTo>
                  <a:pt x="4326" y="25348"/>
                  <a:pt x="6607" y="27606"/>
                  <a:pt x="9313" y="29261"/>
                </a:cubicBezTo>
                <a:cubicBezTo>
                  <a:pt x="12831" y="31388"/>
                  <a:pt x="16695" y="32894"/>
                  <a:pt x="20733" y="33713"/>
                </a:cubicBezTo>
                <a:lnTo>
                  <a:pt x="22394" y="26396"/>
                </a:lnTo>
                <a:cubicBezTo>
                  <a:pt x="19214" y="25766"/>
                  <a:pt x="16168" y="24597"/>
                  <a:pt x="13388" y="22943"/>
                </a:cubicBezTo>
                <a:cubicBezTo>
                  <a:pt x="11669" y="21905"/>
                  <a:pt x="10216" y="20486"/>
                  <a:pt x="9142" y="1879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84" name="Freeform: Shape 483">
            <a:extLst>
              <a:ext uri="{FF2B5EF4-FFF2-40B4-BE49-F238E27FC236}">
                <a16:creationId xmlns:a16="http://schemas.microsoft.com/office/drawing/2014/main" id="{4F72979E-7E2C-4344-87BC-E91628EAD7F6}"/>
              </a:ext>
            </a:extLst>
          </xdr:cNvPr>
          <xdr:cNvSpPr/>
        </xdr:nvSpPr>
        <xdr:spPr>
          <a:xfrm>
            <a:off x="4620029" y="6994481"/>
            <a:ext cx="13372" cy="29265"/>
          </a:xfrm>
          <a:custGeom>
            <a:avLst/>
            <a:gdLst>
              <a:gd name="connsiteX0" fmla="*/ 4246 w 13372"/>
              <a:gd name="connsiteY0" fmla="*/ 10466 h 29265"/>
              <a:gd name="connsiteX1" fmla="*/ 5725 w 13372"/>
              <a:gd name="connsiteY1" fmla="*/ 14801 h 29265"/>
              <a:gd name="connsiteX2" fmla="*/ 2448 w 13372"/>
              <a:gd name="connsiteY2" fmla="*/ 24176 h 29265"/>
              <a:gd name="connsiteX3" fmla="*/ 8007 w 13372"/>
              <a:gd name="connsiteY3" fmla="*/ 29265 h 29265"/>
              <a:gd name="connsiteX4" fmla="*/ 10727 w 13372"/>
              <a:gd name="connsiteY4" fmla="*/ 6600 h 29265"/>
              <a:gd name="connsiteX5" fmla="*/ 4079 w 13372"/>
              <a:gd name="connsiteY5" fmla="*/ 0 h 29265"/>
              <a:gd name="connsiteX6" fmla="*/ 0 w 13372"/>
              <a:gd name="connsiteY6" fmla="*/ 6319 h 29265"/>
              <a:gd name="connsiteX7" fmla="*/ 4246 w 13372"/>
              <a:gd name="connsiteY7" fmla="*/ 10466 h 292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13372" h="29265">
                <a:moveTo>
                  <a:pt x="4246" y="10466"/>
                </a:moveTo>
                <a:cubicBezTo>
                  <a:pt x="5041" y="11792"/>
                  <a:pt x="5545" y="13269"/>
                  <a:pt x="5725" y="14801"/>
                </a:cubicBezTo>
                <a:cubicBezTo>
                  <a:pt x="6163" y="18261"/>
                  <a:pt x="4952" y="21726"/>
                  <a:pt x="2448" y="24176"/>
                </a:cubicBezTo>
                <a:lnTo>
                  <a:pt x="8007" y="29265"/>
                </a:lnTo>
                <a:cubicBezTo>
                  <a:pt x="13973" y="23185"/>
                  <a:pt x="15087" y="13897"/>
                  <a:pt x="10727" y="6600"/>
                </a:cubicBezTo>
                <a:cubicBezTo>
                  <a:pt x="9057" y="3920"/>
                  <a:pt x="6781" y="1660"/>
                  <a:pt x="4079" y="0"/>
                </a:cubicBezTo>
                <a:lnTo>
                  <a:pt x="0" y="6319"/>
                </a:lnTo>
                <a:cubicBezTo>
                  <a:pt x="1719" y="7359"/>
                  <a:pt x="3172" y="8778"/>
                  <a:pt x="4246" y="10466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85" name="Freeform: Shape 484">
            <a:extLst>
              <a:ext uri="{FF2B5EF4-FFF2-40B4-BE49-F238E27FC236}">
                <a16:creationId xmlns:a16="http://schemas.microsoft.com/office/drawing/2014/main" id="{64053689-4D5E-4764-B2F2-2C882AD93A9D}"/>
              </a:ext>
            </a:extLst>
          </xdr:cNvPr>
          <xdr:cNvSpPr/>
        </xdr:nvSpPr>
        <xdr:spPr>
          <a:xfrm>
            <a:off x="4769570" y="6986658"/>
            <a:ext cx="37566" cy="23389"/>
          </a:xfrm>
          <a:custGeom>
            <a:avLst/>
            <a:gdLst>
              <a:gd name="connsiteX0" fmla="*/ 412 w 37566"/>
              <a:gd name="connsiteY0" fmla="*/ 15739 h 23389"/>
              <a:gd name="connsiteX1" fmla="*/ 0 w 37566"/>
              <a:gd name="connsiteY1" fmla="*/ 23239 h 23389"/>
              <a:gd name="connsiteX2" fmla="*/ 5298 w 37566"/>
              <a:gd name="connsiteY2" fmla="*/ 23385 h 23389"/>
              <a:gd name="connsiteX3" fmla="*/ 19249 w 37566"/>
              <a:gd name="connsiteY3" fmla="*/ 21949 h 23389"/>
              <a:gd name="connsiteX4" fmla="*/ 28856 w 37566"/>
              <a:gd name="connsiteY4" fmla="*/ 18004 h 23389"/>
              <a:gd name="connsiteX5" fmla="*/ 34684 w 37566"/>
              <a:gd name="connsiteY5" fmla="*/ 12210 h 23389"/>
              <a:gd name="connsiteX6" fmla="*/ 37427 w 37566"/>
              <a:gd name="connsiteY6" fmla="*/ 0 h 23389"/>
              <a:gd name="connsiteX7" fmla="*/ 29920 w 37566"/>
              <a:gd name="connsiteY7" fmla="*/ 938 h 23389"/>
              <a:gd name="connsiteX8" fmla="*/ 29787 w 37566"/>
              <a:gd name="connsiteY8" fmla="*/ 4432 h 23389"/>
              <a:gd name="connsiteX9" fmla="*/ 28296 w 37566"/>
              <a:gd name="connsiteY9" fmla="*/ 8182 h 23389"/>
              <a:gd name="connsiteX10" fmla="*/ 24675 w 37566"/>
              <a:gd name="connsiteY10" fmla="*/ 11730 h 23389"/>
              <a:gd name="connsiteX11" fmla="*/ 17486 w 37566"/>
              <a:gd name="connsiteY11" fmla="*/ 14640 h 23389"/>
              <a:gd name="connsiteX12" fmla="*/ 412 w 37566"/>
              <a:gd name="connsiteY12" fmla="*/ 15739 h 233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37566" h="23389">
                <a:moveTo>
                  <a:pt x="412" y="15739"/>
                </a:moveTo>
                <a:lnTo>
                  <a:pt x="0" y="23239"/>
                </a:lnTo>
                <a:cubicBezTo>
                  <a:pt x="1813" y="23336"/>
                  <a:pt x="3583" y="23385"/>
                  <a:pt x="5298" y="23385"/>
                </a:cubicBezTo>
                <a:cubicBezTo>
                  <a:pt x="9988" y="23445"/>
                  <a:pt x="14670" y="22963"/>
                  <a:pt x="19249" y="21949"/>
                </a:cubicBezTo>
                <a:cubicBezTo>
                  <a:pt x="22657" y="21195"/>
                  <a:pt x="25908" y="19860"/>
                  <a:pt x="28856" y="18004"/>
                </a:cubicBezTo>
                <a:cubicBezTo>
                  <a:pt x="31192" y="16504"/>
                  <a:pt x="33178" y="14529"/>
                  <a:pt x="34684" y="12210"/>
                </a:cubicBezTo>
                <a:cubicBezTo>
                  <a:pt x="36985" y="8572"/>
                  <a:pt x="37954" y="4261"/>
                  <a:pt x="37427" y="0"/>
                </a:cubicBezTo>
                <a:lnTo>
                  <a:pt x="29920" y="938"/>
                </a:lnTo>
                <a:cubicBezTo>
                  <a:pt x="30062" y="2102"/>
                  <a:pt x="30017" y="3282"/>
                  <a:pt x="29787" y="4432"/>
                </a:cubicBezTo>
                <a:cubicBezTo>
                  <a:pt x="29529" y="5763"/>
                  <a:pt x="29024" y="7035"/>
                  <a:pt x="28296" y="8182"/>
                </a:cubicBezTo>
                <a:cubicBezTo>
                  <a:pt x="27357" y="9606"/>
                  <a:pt x="26122" y="10815"/>
                  <a:pt x="24675" y="11730"/>
                </a:cubicBezTo>
                <a:cubicBezTo>
                  <a:pt x="22466" y="13103"/>
                  <a:pt x="20033" y="14088"/>
                  <a:pt x="17486" y="14640"/>
                </a:cubicBezTo>
                <a:cubicBezTo>
                  <a:pt x="11875" y="15798"/>
                  <a:pt x="6127" y="16168"/>
                  <a:pt x="412" y="1573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86" name="Freeform: Shape 485">
            <a:extLst>
              <a:ext uri="{FF2B5EF4-FFF2-40B4-BE49-F238E27FC236}">
                <a16:creationId xmlns:a16="http://schemas.microsoft.com/office/drawing/2014/main" id="{A2559B4C-80E5-4422-9A23-73569EC2CFE5}"/>
              </a:ext>
            </a:extLst>
          </xdr:cNvPr>
          <xdr:cNvSpPr/>
        </xdr:nvSpPr>
        <xdr:spPr>
          <a:xfrm>
            <a:off x="4707772" y="6955903"/>
            <a:ext cx="32280" cy="33196"/>
          </a:xfrm>
          <a:custGeom>
            <a:avLst/>
            <a:gdLst>
              <a:gd name="connsiteX0" fmla="*/ 10371 w 32280"/>
              <a:gd name="connsiteY0" fmla="*/ 28528 h 33196"/>
              <a:gd name="connsiteX1" fmla="*/ 7783 w 32280"/>
              <a:gd name="connsiteY1" fmla="*/ 18947 h 33196"/>
              <a:gd name="connsiteX2" fmla="*/ 9274 w 32280"/>
              <a:gd name="connsiteY2" fmla="*/ 15197 h 33196"/>
              <a:gd name="connsiteX3" fmla="*/ 12891 w 32280"/>
              <a:gd name="connsiteY3" fmla="*/ 11649 h 33196"/>
              <a:gd name="connsiteX4" fmla="*/ 20100 w 32280"/>
              <a:gd name="connsiteY4" fmla="*/ 8732 h 33196"/>
              <a:gd name="connsiteX5" fmla="*/ 32280 w 32280"/>
              <a:gd name="connsiteY5" fmla="*/ 7505 h 33196"/>
              <a:gd name="connsiteX6" fmla="*/ 32280 w 32280"/>
              <a:gd name="connsiteY6" fmla="*/ 5 h 33196"/>
              <a:gd name="connsiteX7" fmla="*/ 18325 w 32280"/>
              <a:gd name="connsiteY7" fmla="*/ 1442 h 33196"/>
              <a:gd name="connsiteX8" fmla="*/ 8717 w 32280"/>
              <a:gd name="connsiteY8" fmla="*/ 5390 h 33196"/>
              <a:gd name="connsiteX9" fmla="*/ 2886 w 32280"/>
              <a:gd name="connsiteY9" fmla="*/ 11173 h 33196"/>
              <a:gd name="connsiteX10" fmla="*/ 370 w 32280"/>
              <a:gd name="connsiteY10" fmla="*/ 17510 h 33196"/>
              <a:gd name="connsiteX11" fmla="*/ 4457 w 32280"/>
              <a:gd name="connsiteY11" fmla="*/ 33197 h 331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32280" h="33196">
                <a:moveTo>
                  <a:pt x="10371" y="28528"/>
                </a:moveTo>
                <a:cubicBezTo>
                  <a:pt x="8048" y="25908"/>
                  <a:pt x="7091" y="22365"/>
                  <a:pt x="7783" y="18947"/>
                </a:cubicBezTo>
                <a:cubicBezTo>
                  <a:pt x="8037" y="17615"/>
                  <a:pt x="8543" y="16342"/>
                  <a:pt x="9274" y="15197"/>
                </a:cubicBezTo>
                <a:cubicBezTo>
                  <a:pt x="10212" y="13773"/>
                  <a:pt x="11445" y="12564"/>
                  <a:pt x="12891" y="11649"/>
                </a:cubicBezTo>
                <a:cubicBezTo>
                  <a:pt x="15107" y="10273"/>
                  <a:pt x="17545" y="9286"/>
                  <a:pt x="20100" y="8732"/>
                </a:cubicBezTo>
                <a:cubicBezTo>
                  <a:pt x="24098" y="7857"/>
                  <a:pt x="28186" y="7445"/>
                  <a:pt x="32280" y="7505"/>
                </a:cubicBezTo>
                <a:lnTo>
                  <a:pt x="32280" y="5"/>
                </a:lnTo>
                <a:cubicBezTo>
                  <a:pt x="27588" y="-57"/>
                  <a:pt x="22904" y="425"/>
                  <a:pt x="18325" y="1442"/>
                </a:cubicBezTo>
                <a:cubicBezTo>
                  <a:pt x="14917" y="2199"/>
                  <a:pt x="11666" y="3535"/>
                  <a:pt x="8717" y="5390"/>
                </a:cubicBezTo>
                <a:cubicBezTo>
                  <a:pt x="6381" y="6885"/>
                  <a:pt x="4394" y="8857"/>
                  <a:pt x="2886" y="11173"/>
                </a:cubicBezTo>
                <a:cubicBezTo>
                  <a:pt x="1655" y="13111"/>
                  <a:pt x="801" y="15260"/>
                  <a:pt x="370" y="17510"/>
                </a:cubicBezTo>
                <a:cubicBezTo>
                  <a:pt x="-765" y="23083"/>
                  <a:pt x="742" y="28865"/>
                  <a:pt x="4457" y="3319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87" name="Freeform: Shape 486">
            <a:extLst>
              <a:ext uri="{FF2B5EF4-FFF2-40B4-BE49-F238E27FC236}">
                <a16:creationId xmlns:a16="http://schemas.microsoft.com/office/drawing/2014/main" id="{2B499892-CF0F-4425-B453-0E23564D3E91}"/>
              </a:ext>
            </a:extLst>
          </xdr:cNvPr>
          <xdr:cNvSpPr/>
        </xdr:nvSpPr>
        <xdr:spPr>
          <a:xfrm>
            <a:off x="4762518" y="7106812"/>
            <a:ext cx="32094" cy="29186"/>
          </a:xfrm>
          <a:custGeom>
            <a:avLst/>
            <a:gdLst>
              <a:gd name="connsiteX0" fmla="*/ 2648 w 32094"/>
              <a:gd name="connsiteY0" fmla="*/ 0 h 29186"/>
              <a:gd name="connsiteX1" fmla="*/ 4442 w 32094"/>
              <a:gd name="connsiteY1" fmla="*/ 21637 h 29186"/>
              <a:gd name="connsiteX2" fmla="*/ 10496 w 32094"/>
              <a:gd name="connsiteY2" fmla="*/ 26291 h 29186"/>
              <a:gd name="connsiteX3" fmla="*/ 19604 w 32094"/>
              <a:gd name="connsiteY3" fmla="*/ 28890 h 29186"/>
              <a:gd name="connsiteX4" fmla="*/ 24796 w 32094"/>
              <a:gd name="connsiteY4" fmla="*/ 29186 h 29186"/>
              <a:gd name="connsiteX5" fmla="*/ 32095 w 32094"/>
              <a:gd name="connsiteY5" fmla="*/ 28721 h 29186"/>
              <a:gd name="connsiteX6" fmla="*/ 31172 w 32094"/>
              <a:gd name="connsiteY6" fmla="*/ 21278 h 29186"/>
              <a:gd name="connsiteX7" fmla="*/ 20531 w 32094"/>
              <a:gd name="connsiteY7" fmla="*/ 21446 h 29186"/>
              <a:gd name="connsiteX8" fmla="*/ 13902 w 32094"/>
              <a:gd name="connsiteY8" fmla="*/ 19594 h 29186"/>
              <a:gd name="connsiteX9" fmla="*/ 10216 w 32094"/>
              <a:gd name="connsiteY9" fmla="*/ 16781 h 29186"/>
              <a:gd name="connsiteX10" fmla="*/ 8302 w 32094"/>
              <a:gd name="connsiteY10" fmla="*/ 13526 h 29186"/>
              <a:gd name="connsiteX11" fmla="*/ 9263 w 32094"/>
              <a:gd name="connsiteY11" fmla="*/ 3649 h 2918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32094" h="29186">
                <a:moveTo>
                  <a:pt x="2648" y="0"/>
                </a:moveTo>
                <a:cubicBezTo>
                  <a:pt x="-1456" y="6857"/>
                  <a:pt x="-737" y="15537"/>
                  <a:pt x="4442" y="21637"/>
                </a:cubicBezTo>
                <a:cubicBezTo>
                  <a:pt x="6124" y="23576"/>
                  <a:pt x="8183" y="25158"/>
                  <a:pt x="10496" y="26291"/>
                </a:cubicBezTo>
                <a:cubicBezTo>
                  <a:pt x="13359" y="27670"/>
                  <a:pt x="16440" y="28549"/>
                  <a:pt x="19604" y="28890"/>
                </a:cubicBezTo>
                <a:cubicBezTo>
                  <a:pt x="21327" y="29093"/>
                  <a:pt x="23061" y="29192"/>
                  <a:pt x="24796" y="29186"/>
                </a:cubicBezTo>
                <a:cubicBezTo>
                  <a:pt x="27236" y="29178"/>
                  <a:pt x="29674" y="29022"/>
                  <a:pt x="32095" y="28721"/>
                </a:cubicBezTo>
                <a:lnTo>
                  <a:pt x="31172" y="21278"/>
                </a:lnTo>
                <a:cubicBezTo>
                  <a:pt x="27645" y="21759"/>
                  <a:pt x="24072" y="21816"/>
                  <a:pt x="20531" y="21446"/>
                </a:cubicBezTo>
                <a:cubicBezTo>
                  <a:pt x="18231" y="21208"/>
                  <a:pt x="15989" y="20582"/>
                  <a:pt x="13902" y="19594"/>
                </a:cubicBezTo>
                <a:cubicBezTo>
                  <a:pt x="12496" y="18910"/>
                  <a:pt x="11242" y="17953"/>
                  <a:pt x="10216" y="16781"/>
                </a:cubicBezTo>
                <a:cubicBezTo>
                  <a:pt x="9394" y="15813"/>
                  <a:pt x="8746" y="14712"/>
                  <a:pt x="8302" y="13526"/>
                </a:cubicBezTo>
                <a:cubicBezTo>
                  <a:pt x="7057" y="10264"/>
                  <a:pt x="7412" y="6615"/>
                  <a:pt x="9263" y="364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88" name="Freeform: Shape 487">
            <a:extLst>
              <a:ext uri="{FF2B5EF4-FFF2-40B4-BE49-F238E27FC236}">
                <a16:creationId xmlns:a16="http://schemas.microsoft.com/office/drawing/2014/main" id="{E83C6A10-8C14-4416-B562-AA1C7E90FCD9}"/>
              </a:ext>
            </a:extLst>
          </xdr:cNvPr>
          <xdr:cNvSpPr/>
        </xdr:nvSpPr>
        <xdr:spPr>
          <a:xfrm>
            <a:off x="4838537" y="7075267"/>
            <a:ext cx="20521" cy="25417"/>
          </a:xfrm>
          <a:custGeom>
            <a:avLst/>
            <a:gdLst>
              <a:gd name="connsiteX0" fmla="*/ 19328 w 20521"/>
              <a:gd name="connsiteY0" fmla="*/ 12735 h 25417"/>
              <a:gd name="connsiteX1" fmla="*/ 16089 w 20521"/>
              <a:gd name="connsiteY1" fmla="*/ 7253 h 25417"/>
              <a:gd name="connsiteX2" fmla="*/ 10035 w 20521"/>
              <a:gd name="connsiteY2" fmla="*/ 2599 h 25417"/>
              <a:gd name="connsiteX3" fmla="*/ 931 w 20521"/>
              <a:gd name="connsiteY3" fmla="*/ 0 h 25417"/>
              <a:gd name="connsiteX4" fmla="*/ 0 w 20521"/>
              <a:gd name="connsiteY4" fmla="*/ 7444 h 25417"/>
              <a:gd name="connsiteX5" fmla="*/ 6626 w 20521"/>
              <a:gd name="connsiteY5" fmla="*/ 9296 h 25417"/>
              <a:gd name="connsiteX6" fmla="*/ 10319 w 20521"/>
              <a:gd name="connsiteY6" fmla="*/ 12112 h 25417"/>
              <a:gd name="connsiteX7" fmla="*/ 12941 w 20521"/>
              <a:gd name="connsiteY7" fmla="*/ 18799 h 25417"/>
              <a:gd name="connsiteX8" fmla="*/ 12298 w 20521"/>
              <a:gd name="connsiteY8" fmla="*/ 22958 h 25417"/>
              <a:gd name="connsiteX9" fmla="*/ 19446 w 20521"/>
              <a:gd name="connsiteY9" fmla="*/ 25418 h 25417"/>
              <a:gd name="connsiteX10" fmla="*/ 20509 w 20521"/>
              <a:gd name="connsiteY10" fmla="*/ 18506 h 25417"/>
              <a:gd name="connsiteX11" fmla="*/ 19328 w 20521"/>
              <a:gd name="connsiteY11" fmla="*/ 12735 h 2541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20521" h="25417">
                <a:moveTo>
                  <a:pt x="19328" y="12735"/>
                </a:moveTo>
                <a:cubicBezTo>
                  <a:pt x="18575" y="10737"/>
                  <a:pt x="17479" y="8882"/>
                  <a:pt x="16089" y="7253"/>
                </a:cubicBezTo>
                <a:cubicBezTo>
                  <a:pt x="14405" y="5316"/>
                  <a:pt x="12347" y="3734"/>
                  <a:pt x="10035" y="2599"/>
                </a:cubicBezTo>
                <a:cubicBezTo>
                  <a:pt x="7173" y="1222"/>
                  <a:pt x="4093" y="343"/>
                  <a:pt x="931" y="0"/>
                </a:cubicBezTo>
                <a:lnTo>
                  <a:pt x="0" y="7444"/>
                </a:lnTo>
                <a:cubicBezTo>
                  <a:pt x="2299" y="7680"/>
                  <a:pt x="4541" y="8307"/>
                  <a:pt x="6626" y="9296"/>
                </a:cubicBezTo>
                <a:cubicBezTo>
                  <a:pt x="8035" y="9980"/>
                  <a:pt x="9291" y="10937"/>
                  <a:pt x="10319" y="12112"/>
                </a:cubicBezTo>
                <a:cubicBezTo>
                  <a:pt x="11911" y="13995"/>
                  <a:pt x="12832" y="16345"/>
                  <a:pt x="12941" y="18799"/>
                </a:cubicBezTo>
                <a:cubicBezTo>
                  <a:pt x="12993" y="20213"/>
                  <a:pt x="12775" y="21624"/>
                  <a:pt x="12298" y="22958"/>
                </a:cubicBezTo>
                <a:lnTo>
                  <a:pt x="19446" y="25418"/>
                </a:lnTo>
                <a:cubicBezTo>
                  <a:pt x="20236" y="23201"/>
                  <a:pt x="20597" y="20856"/>
                  <a:pt x="20509" y="18506"/>
                </a:cubicBezTo>
                <a:cubicBezTo>
                  <a:pt x="20429" y="16532"/>
                  <a:pt x="20031" y="14584"/>
                  <a:pt x="19328" y="1273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89" name="Freeform: Shape 488">
            <a:extLst>
              <a:ext uri="{FF2B5EF4-FFF2-40B4-BE49-F238E27FC236}">
                <a16:creationId xmlns:a16="http://schemas.microsoft.com/office/drawing/2014/main" id="{C88A2151-7736-4400-B0DC-E98B44AF8941}"/>
              </a:ext>
            </a:extLst>
          </xdr:cNvPr>
          <xdr:cNvSpPr/>
        </xdr:nvSpPr>
        <xdr:spPr>
          <a:xfrm>
            <a:off x="4548482" y="6970908"/>
            <a:ext cx="295409" cy="314080"/>
          </a:xfrm>
          <a:custGeom>
            <a:avLst/>
            <a:gdLst>
              <a:gd name="connsiteX0" fmla="*/ 285968 w 295409"/>
              <a:gd name="connsiteY0" fmla="*/ 119047 h 314080"/>
              <a:gd name="connsiteX1" fmla="*/ 258685 w 295409"/>
              <a:gd name="connsiteY1" fmla="*/ 124987 h 314080"/>
              <a:gd name="connsiteX2" fmla="*/ 229417 w 295409"/>
              <a:gd name="connsiteY2" fmla="*/ 146794 h 314080"/>
              <a:gd name="connsiteX3" fmla="*/ 238653 w 295409"/>
              <a:gd name="connsiteY3" fmla="*/ 150109 h 314080"/>
              <a:gd name="connsiteX4" fmla="*/ 259155 w 295409"/>
              <a:gd name="connsiteY4" fmla="*/ 146445 h 314080"/>
              <a:gd name="connsiteX5" fmla="*/ 259155 w 295409"/>
              <a:gd name="connsiteY5" fmla="*/ 209033 h 314080"/>
              <a:gd name="connsiteX6" fmla="*/ 257365 w 295409"/>
              <a:gd name="connsiteY6" fmla="*/ 209066 h 314080"/>
              <a:gd name="connsiteX7" fmla="*/ 203137 w 295409"/>
              <a:gd name="connsiteY7" fmla="*/ 216120 h 314080"/>
              <a:gd name="connsiteX8" fmla="*/ 177104 w 295409"/>
              <a:gd name="connsiteY8" fmla="*/ 181583 h 314080"/>
              <a:gd name="connsiteX9" fmla="*/ 164219 w 295409"/>
              <a:gd name="connsiteY9" fmla="*/ 156083 h 314080"/>
              <a:gd name="connsiteX10" fmla="*/ 159792 w 295409"/>
              <a:gd name="connsiteY10" fmla="*/ 146066 h 314080"/>
              <a:gd name="connsiteX11" fmla="*/ 181807 w 295409"/>
              <a:gd name="connsiteY11" fmla="*/ 149921 h 314080"/>
              <a:gd name="connsiteX12" fmla="*/ 196920 w 295409"/>
              <a:gd name="connsiteY12" fmla="*/ 143254 h 314080"/>
              <a:gd name="connsiteX13" fmla="*/ 216733 w 295409"/>
              <a:gd name="connsiteY13" fmla="*/ 111840 h 314080"/>
              <a:gd name="connsiteX14" fmla="*/ 214561 w 295409"/>
              <a:gd name="connsiteY14" fmla="*/ 93049 h 314080"/>
              <a:gd name="connsiteX15" fmla="*/ 212642 w 295409"/>
              <a:gd name="connsiteY15" fmla="*/ 91635 h 314080"/>
              <a:gd name="connsiteX16" fmla="*/ 212642 w 295409"/>
              <a:gd name="connsiteY16" fmla="*/ 23066 h 314080"/>
              <a:gd name="connsiteX17" fmla="*/ 226382 w 295409"/>
              <a:gd name="connsiteY17" fmla="*/ 24135 h 314080"/>
              <a:gd name="connsiteX18" fmla="*/ 243455 w 295409"/>
              <a:gd name="connsiteY18" fmla="*/ 18746 h 314080"/>
              <a:gd name="connsiteX19" fmla="*/ 210959 w 295409"/>
              <a:gd name="connsiteY19" fmla="*/ 2018 h 314080"/>
              <a:gd name="connsiteX20" fmla="*/ 191570 w 295409"/>
              <a:gd name="connsiteY20" fmla="*/ 0 h 314080"/>
              <a:gd name="connsiteX21" fmla="*/ 174500 w 295409"/>
              <a:gd name="connsiteY21" fmla="*/ 5393 h 314080"/>
              <a:gd name="connsiteX22" fmla="*/ 205075 w 295409"/>
              <a:gd name="connsiteY22" fmla="*/ 21716 h 314080"/>
              <a:gd name="connsiteX23" fmla="*/ 205075 w 295409"/>
              <a:gd name="connsiteY23" fmla="*/ 89141 h 314080"/>
              <a:gd name="connsiteX24" fmla="*/ 202486 w 295409"/>
              <a:gd name="connsiteY24" fmla="*/ 89194 h 314080"/>
              <a:gd name="connsiteX25" fmla="*/ 191891 w 295409"/>
              <a:gd name="connsiteY25" fmla="*/ 95944 h 314080"/>
              <a:gd name="connsiteX26" fmla="*/ 177134 w 295409"/>
              <a:gd name="connsiteY26" fmla="*/ 119325 h 314080"/>
              <a:gd name="connsiteX27" fmla="*/ 156746 w 295409"/>
              <a:gd name="connsiteY27" fmla="*/ 115755 h 314080"/>
              <a:gd name="connsiteX28" fmla="*/ 138239 w 295409"/>
              <a:gd name="connsiteY28" fmla="*/ 118594 h 314080"/>
              <a:gd name="connsiteX29" fmla="*/ 94345 w 295409"/>
              <a:gd name="connsiteY29" fmla="*/ 141386 h 314080"/>
              <a:gd name="connsiteX30" fmla="*/ 74873 w 295409"/>
              <a:gd name="connsiteY30" fmla="*/ 149524 h 314080"/>
              <a:gd name="connsiteX31" fmla="*/ 48620 w 295409"/>
              <a:gd name="connsiteY31" fmla="*/ 126023 h 314080"/>
              <a:gd name="connsiteX32" fmla="*/ 39066 w 295409"/>
              <a:gd name="connsiteY32" fmla="*/ 122047 h 314080"/>
              <a:gd name="connsiteX33" fmla="*/ 39066 w 295409"/>
              <a:gd name="connsiteY33" fmla="*/ 53269 h 314080"/>
              <a:gd name="connsiteX34" fmla="*/ 69765 w 295409"/>
              <a:gd name="connsiteY34" fmla="*/ 39281 h 314080"/>
              <a:gd name="connsiteX35" fmla="*/ 47095 w 295409"/>
              <a:gd name="connsiteY35" fmla="*/ 32494 h 314080"/>
              <a:gd name="connsiteX36" fmla="*/ 33643 w 295409"/>
              <a:gd name="connsiteY36" fmla="*/ 33338 h 314080"/>
              <a:gd name="connsiteX37" fmla="*/ 23 w 295409"/>
              <a:gd name="connsiteY37" fmla="*/ 47719 h 314080"/>
              <a:gd name="connsiteX38" fmla="*/ 22689 w 295409"/>
              <a:gd name="connsiteY38" fmla="*/ 54510 h 314080"/>
              <a:gd name="connsiteX39" fmla="*/ 31498 w 295409"/>
              <a:gd name="connsiteY39" fmla="*/ 54090 h 314080"/>
              <a:gd name="connsiteX40" fmla="*/ 31498 w 295409"/>
              <a:gd name="connsiteY40" fmla="*/ 123694 h 314080"/>
              <a:gd name="connsiteX41" fmla="*/ 29576 w 295409"/>
              <a:gd name="connsiteY41" fmla="*/ 124875 h 314080"/>
              <a:gd name="connsiteX42" fmla="*/ 26548 w 295409"/>
              <a:gd name="connsiteY42" fmla="*/ 145398 h 314080"/>
              <a:gd name="connsiteX43" fmla="*/ 28493 w 295409"/>
              <a:gd name="connsiteY43" fmla="*/ 147518 h 314080"/>
              <a:gd name="connsiteX44" fmla="*/ 62034 w 295409"/>
              <a:gd name="connsiteY44" fmla="*/ 177540 h 314080"/>
              <a:gd name="connsiteX45" fmla="*/ 77696 w 295409"/>
              <a:gd name="connsiteY45" fmla="*/ 180165 h 314080"/>
              <a:gd name="connsiteX46" fmla="*/ 107124 w 295409"/>
              <a:gd name="connsiteY46" fmla="*/ 167861 h 314080"/>
              <a:gd name="connsiteX47" fmla="*/ 127875 w 295409"/>
              <a:gd name="connsiteY47" fmla="*/ 202789 h 314080"/>
              <a:gd name="connsiteX48" fmla="*/ 107086 w 295409"/>
              <a:gd name="connsiteY48" fmla="*/ 237664 h 314080"/>
              <a:gd name="connsiteX49" fmla="*/ 107029 w 295409"/>
              <a:gd name="connsiteY49" fmla="*/ 252476 h 314080"/>
              <a:gd name="connsiteX50" fmla="*/ 138814 w 295409"/>
              <a:gd name="connsiteY50" fmla="*/ 306769 h 314080"/>
              <a:gd name="connsiteX51" fmla="*/ 159022 w 295409"/>
              <a:gd name="connsiteY51" fmla="*/ 312104 h 314080"/>
              <a:gd name="connsiteX52" fmla="*/ 160072 w 295409"/>
              <a:gd name="connsiteY52" fmla="*/ 311441 h 314080"/>
              <a:gd name="connsiteX53" fmla="*/ 164132 w 295409"/>
              <a:gd name="connsiteY53" fmla="*/ 291566 h 314080"/>
              <a:gd name="connsiteX54" fmla="*/ 136956 w 295409"/>
              <a:gd name="connsiteY54" fmla="*/ 245179 h 314080"/>
              <a:gd name="connsiteX55" fmla="*/ 159546 w 295409"/>
              <a:gd name="connsiteY55" fmla="*/ 207281 h 314080"/>
              <a:gd name="connsiteX56" fmla="*/ 184634 w 295409"/>
              <a:gd name="connsiteY56" fmla="*/ 240540 h 314080"/>
              <a:gd name="connsiteX57" fmla="*/ 198403 w 295409"/>
              <a:gd name="connsiteY57" fmla="*/ 246300 h 314080"/>
              <a:gd name="connsiteX58" fmla="*/ 260797 w 295409"/>
              <a:gd name="connsiteY58" fmla="*/ 238185 h 314080"/>
              <a:gd name="connsiteX59" fmla="*/ 274041 w 295409"/>
              <a:gd name="connsiteY59" fmla="*/ 224535 h 314080"/>
              <a:gd name="connsiteX60" fmla="*/ 266722 w 295409"/>
              <a:gd name="connsiteY60" fmla="*/ 210941 h 314080"/>
              <a:gd name="connsiteX61" fmla="*/ 266722 w 295409"/>
              <a:gd name="connsiteY61" fmla="*/ 143861 h 314080"/>
              <a:gd name="connsiteX62" fmla="*/ 295208 w 295409"/>
              <a:gd name="connsiteY62" fmla="*/ 122359 h 314080"/>
              <a:gd name="connsiteX63" fmla="*/ 285968 w 295409"/>
              <a:gd name="connsiteY63" fmla="*/ 119047 h 314080"/>
              <a:gd name="connsiteX64" fmla="*/ 12279 w 295409"/>
              <a:gd name="connsiteY64" fmla="*/ 46260 h 314080"/>
              <a:gd name="connsiteX65" fmla="*/ 12245 w 295409"/>
              <a:gd name="connsiteY65" fmla="*/ 46226 h 314080"/>
              <a:gd name="connsiteX66" fmla="*/ 12279 w 295409"/>
              <a:gd name="connsiteY66" fmla="*/ 46192 h 314080"/>
              <a:gd name="connsiteX67" fmla="*/ 34559 w 295409"/>
              <a:gd name="connsiteY67" fmla="*/ 40781 h 314080"/>
              <a:gd name="connsiteX68" fmla="*/ 47099 w 295409"/>
              <a:gd name="connsiteY68" fmla="*/ 39994 h 314080"/>
              <a:gd name="connsiteX69" fmla="*/ 57501 w 295409"/>
              <a:gd name="connsiteY69" fmla="*/ 40744 h 314080"/>
              <a:gd name="connsiteX70" fmla="*/ 57535 w 295409"/>
              <a:gd name="connsiteY70" fmla="*/ 40777 h 314080"/>
              <a:gd name="connsiteX71" fmla="*/ 57501 w 295409"/>
              <a:gd name="connsiteY71" fmla="*/ 40811 h 314080"/>
              <a:gd name="connsiteX72" fmla="*/ 35221 w 295409"/>
              <a:gd name="connsiteY72" fmla="*/ 46223 h 314080"/>
              <a:gd name="connsiteX73" fmla="*/ 22681 w 295409"/>
              <a:gd name="connsiteY73" fmla="*/ 47010 h 314080"/>
              <a:gd name="connsiteX74" fmla="*/ 12279 w 295409"/>
              <a:gd name="connsiteY74" fmla="*/ 46260 h 314080"/>
              <a:gd name="connsiteX75" fmla="*/ 191573 w 295409"/>
              <a:gd name="connsiteY75" fmla="*/ 7492 h 314080"/>
              <a:gd name="connsiteX76" fmla="*/ 209506 w 295409"/>
              <a:gd name="connsiteY76" fmla="*/ 9367 h 314080"/>
              <a:gd name="connsiteX77" fmla="*/ 231339 w 295409"/>
              <a:gd name="connsiteY77" fmla="*/ 16343 h 314080"/>
              <a:gd name="connsiteX78" fmla="*/ 231356 w 295409"/>
              <a:gd name="connsiteY78" fmla="*/ 16393 h 314080"/>
              <a:gd name="connsiteX79" fmla="*/ 231339 w 295409"/>
              <a:gd name="connsiteY79" fmla="*/ 16410 h 314080"/>
              <a:gd name="connsiteX80" fmla="*/ 226397 w 295409"/>
              <a:gd name="connsiteY80" fmla="*/ 16624 h 314080"/>
              <a:gd name="connsiteX81" fmla="*/ 208461 w 295409"/>
              <a:gd name="connsiteY81" fmla="*/ 14749 h 314080"/>
              <a:gd name="connsiteX82" fmla="*/ 186632 w 295409"/>
              <a:gd name="connsiteY82" fmla="*/ 7774 h 314080"/>
              <a:gd name="connsiteX83" fmla="*/ 186614 w 295409"/>
              <a:gd name="connsiteY83" fmla="*/ 7724 h 314080"/>
              <a:gd name="connsiteX84" fmla="*/ 186632 w 295409"/>
              <a:gd name="connsiteY84" fmla="*/ 7706 h 314080"/>
              <a:gd name="connsiteX85" fmla="*/ 191573 w 295409"/>
              <a:gd name="connsiteY85" fmla="*/ 7492 h 314080"/>
              <a:gd name="connsiteX86" fmla="*/ 259809 w 295409"/>
              <a:gd name="connsiteY86" fmla="*/ 230745 h 314080"/>
              <a:gd name="connsiteX87" fmla="*/ 197423 w 295409"/>
              <a:gd name="connsiteY87" fmla="*/ 238860 h 314080"/>
              <a:gd name="connsiteX88" fmla="*/ 190688 w 295409"/>
              <a:gd name="connsiteY88" fmla="*/ 236066 h 314080"/>
              <a:gd name="connsiteX89" fmla="*/ 162308 w 295409"/>
              <a:gd name="connsiteY89" fmla="*/ 198379 h 314080"/>
              <a:gd name="connsiteX90" fmla="*/ 158525 w 295409"/>
              <a:gd name="connsiteY90" fmla="*/ 196943 h 314080"/>
              <a:gd name="connsiteX91" fmla="*/ 155876 w 295409"/>
              <a:gd name="connsiteY91" fmla="*/ 198739 h 314080"/>
              <a:gd name="connsiteX92" fmla="*/ 129320 w 295409"/>
              <a:gd name="connsiteY92" fmla="*/ 243255 h 314080"/>
              <a:gd name="connsiteX93" fmla="*/ 129320 w 295409"/>
              <a:gd name="connsiteY93" fmla="*/ 247046 h 314080"/>
              <a:gd name="connsiteX94" fmla="*/ 157582 w 295409"/>
              <a:gd name="connsiteY94" fmla="*/ 295316 h 314080"/>
              <a:gd name="connsiteX95" fmla="*/ 155758 w 295409"/>
              <a:gd name="connsiteY95" fmla="*/ 305276 h 314080"/>
              <a:gd name="connsiteX96" fmla="*/ 145486 w 295409"/>
              <a:gd name="connsiteY96" fmla="*/ 303151 h 314080"/>
              <a:gd name="connsiteX97" fmla="*/ 145387 w 295409"/>
              <a:gd name="connsiteY97" fmla="*/ 302996 h 314080"/>
              <a:gd name="connsiteX98" fmla="*/ 113579 w 295409"/>
              <a:gd name="connsiteY98" fmla="*/ 248708 h 314080"/>
              <a:gd name="connsiteX99" fmla="*/ 113609 w 295409"/>
              <a:gd name="connsiteY99" fmla="*/ 241477 h 314080"/>
              <a:gd name="connsiteX100" fmla="*/ 135530 w 295409"/>
              <a:gd name="connsiteY100" fmla="*/ 204701 h 314080"/>
              <a:gd name="connsiteX101" fmla="*/ 135530 w 295409"/>
              <a:gd name="connsiteY101" fmla="*/ 200899 h 314080"/>
              <a:gd name="connsiteX102" fmla="*/ 116489 w 295409"/>
              <a:gd name="connsiteY102" fmla="*/ 168698 h 314080"/>
              <a:gd name="connsiteX103" fmla="*/ 111865 w 295409"/>
              <a:gd name="connsiteY103" fmla="*/ 161198 h 314080"/>
              <a:gd name="connsiteX104" fmla="*/ 107165 w 295409"/>
              <a:gd name="connsiteY104" fmla="*/ 159698 h 314080"/>
              <a:gd name="connsiteX105" fmla="*/ 74737 w 295409"/>
              <a:gd name="connsiteY105" fmla="*/ 173254 h 314080"/>
              <a:gd name="connsiteX106" fmla="*/ 67089 w 295409"/>
              <a:gd name="connsiteY106" fmla="*/ 171971 h 314080"/>
              <a:gd name="connsiteX107" fmla="*/ 33556 w 295409"/>
              <a:gd name="connsiteY107" fmla="*/ 141941 h 314080"/>
              <a:gd name="connsiteX108" fmla="*/ 33049 w 295409"/>
              <a:gd name="connsiteY108" fmla="*/ 131814 h 314080"/>
              <a:gd name="connsiteX109" fmla="*/ 34128 w 295409"/>
              <a:gd name="connsiteY109" fmla="*/ 130849 h 314080"/>
              <a:gd name="connsiteX110" fmla="*/ 43542 w 295409"/>
              <a:gd name="connsiteY110" fmla="*/ 131599 h 314080"/>
              <a:gd name="connsiteX111" fmla="*/ 71581 w 295409"/>
              <a:gd name="connsiteY111" fmla="*/ 156698 h 314080"/>
              <a:gd name="connsiteX112" fmla="*/ 75584 w 295409"/>
              <a:gd name="connsiteY112" fmla="*/ 157369 h 314080"/>
              <a:gd name="connsiteX113" fmla="*/ 97422 w 295409"/>
              <a:gd name="connsiteY113" fmla="*/ 148241 h 314080"/>
              <a:gd name="connsiteX114" fmla="*/ 97705 w 295409"/>
              <a:gd name="connsiteY114" fmla="*/ 148110 h 314080"/>
              <a:gd name="connsiteX115" fmla="*/ 141747 w 295409"/>
              <a:gd name="connsiteY115" fmla="*/ 125235 h 314080"/>
              <a:gd name="connsiteX116" fmla="*/ 148179 w 295409"/>
              <a:gd name="connsiteY116" fmla="*/ 123116 h 314080"/>
              <a:gd name="connsiteX117" fmla="*/ 155433 w 295409"/>
              <a:gd name="connsiteY117" fmla="*/ 123116 h 314080"/>
              <a:gd name="connsiteX118" fmla="*/ 178337 w 295409"/>
              <a:gd name="connsiteY118" fmla="*/ 127129 h 314080"/>
              <a:gd name="connsiteX119" fmla="*/ 182201 w 295409"/>
              <a:gd name="connsiteY119" fmla="*/ 125423 h 314080"/>
              <a:gd name="connsiteX120" fmla="*/ 198290 w 295409"/>
              <a:gd name="connsiteY120" fmla="*/ 99941 h 314080"/>
              <a:gd name="connsiteX121" fmla="*/ 208263 w 295409"/>
              <a:gd name="connsiteY121" fmla="*/ 97673 h 314080"/>
              <a:gd name="connsiteX122" fmla="*/ 209411 w 295409"/>
              <a:gd name="connsiteY122" fmla="*/ 98557 h 314080"/>
              <a:gd name="connsiteX123" fmla="*/ 210319 w 295409"/>
              <a:gd name="connsiteY123" fmla="*/ 107876 h 314080"/>
              <a:gd name="connsiteX124" fmla="*/ 190506 w 295409"/>
              <a:gd name="connsiteY124" fmla="*/ 139279 h 314080"/>
              <a:gd name="connsiteX125" fmla="*/ 183120 w 295409"/>
              <a:gd name="connsiteY125" fmla="*/ 142534 h 314080"/>
              <a:gd name="connsiteX126" fmla="*/ 154154 w 295409"/>
              <a:gd name="connsiteY126" fmla="*/ 137460 h 314080"/>
              <a:gd name="connsiteX127" fmla="*/ 149769 w 295409"/>
              <a:gd name="connsiteY127" fmla="*/ 140500 h 314080"/>
              <a:gd name="connsiteX128" fmla="*/ 150030 w 295409"/>
              <a:gd name="connsiteY128" fmla="*/ 142658 h 314080"/>
              <a:gd name="connsiteX129" fmla="*/ 157370 w 295409"/>
              <a:gd name="connsiteY129" fmla="*/ 159274 h 314080"/>
              <a:gd name="connsiteX130" fmla="*/ 170486 w 295409"/>
              <a:gd name="connsiteY130" fmla="*/ 185239 h 314080"/>
              <a:gd name="connsiteX131" fmla="*/ 170837 w 295409"/>
              <a:gd name="connsiteY131" fmla="*/ 185805 h 314080"/>
              <a:gd name="connsiteX132" fmla="*/ 198403 w 295409"/>
              <a:gd name="connsiteY132" fmla="*/ 222367 h 314080"/>
              <a:gd name="connsiteX133" fmla="*/ 201926 w 295409"/>
              <a:gd name="connsiteY133" fmla="*/ 223841 h 314080"/>
              <a:gd name="connsiteX134" fmla="*/ 258333 w 295409"/>
              <a:gd name="connsiteY134" fmla="*/ 216503 h 314080"/>
              <a:gd name="connsiteX135" fmla="*/ 264225 w 295409"/>
              <a:gd name="connsiteY135" fmla="*/ 218378 h 314080"/>
              <a:gd name="connsiteX136" fmla="*/ 266495 w 295409"/>
              <a:gd name="connsiteY136" fmla="*/ 224100 h 314080"/>
              <a:gd name="connsiteX137" fmla="*/ 259809 w 295409"/>
              <a:gd name="connsiteY137" fmla="*/ 230745 h 314080"/>
              <a:gd name="connsiteX138" fmla="*/ 263279 w 295409"/>
              <a:gd name="connsiteY138" fmla="*/ 137141 h 314080"/>
              <a:gd name="connsiteX139" fmla="*/ 240992 w 295409"/>
              <a:gd name="connsiteY139" fmla="*/ 142523 h 314080"/>
              <a:gd name="connsiteX140" fmla="*/ 240954 w 295409"/>
              <a:gd name="connsiteY140" fmla="*/ 142485 h 314080"/>
              <a:gd name="connsiteX141" fmla="*/ 240965 w 295409"/>
              <a:gd name="connsiteY141" fmla="*/ 142459 h 314080"/>
              <a:gd name="connsiteX142" fmla="*/ 261342 w 295409"/>
              <a:gd name="connsiteY142" fmla="*/ 132011 h 314080"/>
              <a:gd name="connsiteX143" fmla="*/ 283629 w 295409"/>
              <a:gd name="connsiteY143" fmla="*/ 126630 h 314080"/>
              <a:gd name="connsiteX144" fmla="*/ 283671 w 295409"/>
              <a:gd name="connsiteY144" fmla="*/ 126663 h 314080"/>
              <a:gd name="connsiteX145" fmla="*/ 283656 w 295409"/>
              <a:gd name="connsiteY145" fmla="*/ 126698 h 314080"/>
              <a:gd name="connsiteX146" fmla="*/ 263279 w 295409"/>
              <a:gd name="connsiteY146" fmla="*/ 137141 h 3140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</a:cxnLst>
            <a:rect l="l" t="t" r="r" b="b"/>
            <a:pathLst>
              <a:path w="295409" h="314080">
                <a:moveTo>
                  <a:pt x="285968" y="119047"/>
                </a:moveTo>
                <a:cubicBezTo>
                  <a:pt x="276603" y="119509"/>
                  <a:pt x="267382" y="121517"/>
                  <a:pt x="258685" y="124987"/>
                </a:cubicBezTo>
                <a:cubicBezTo>
                  <a:pt x="240522" y="131738"/>
                  <a:pt x="227411" y="141488"/>
                  <a:pt x="229417" y="146794"/>
                </a:cubicBezTo>
                <a:cubicBezTo>
                  <a:pt x="230260" y="149044"/>
                  <a:pt x="233651" y="150109"/>
                  <a:pt x="238653" y="150109"/>
                </a:cubicBezTo>
                <a:cubicBezTo>
                  <a:pt x="245627" y="149848"/>
                  <a:pt x="252529" y="148615"/>
                  <a:pt x="259155" y="146445"/>
                </a:cubicBezTo>
                <a:lnTo>
                  <a:pt x="259155" y="209033"/>
                </a:lnTo>
                <a:cubicBezTo>
                  <a:pt x="258558" y="209006"/>
                  <a:pt x="257960" y="209018"/>
                  <a:pt x="257365" y="209066"/>
                </a:cubicBezTo>
                <a:lnTo>
                  <a:pt x="203137" y="216120"/>
                </a:lnTo>
                <a:lnTo>
                  <a:pt x="177104" y="181583"/>
                </a:lnTo>
                <a:lnTo>
                  <a:pt x="164219" y="156083"/>
                </a:lnTo>
                <a:lnTo>
                  <a:pt x="159792" y="146066"/>
                </a:lnTo>
                <a:lnTo>
                  <a:pt x="181807" y="149921"/>
                </a:lnTo>
                <a:cubicBezTo>
                  <a:pt x="187746" y="150969"/>
                  <a:pt x="193731" y="148329"/>
                  <a:pt x="196920" y="143254"/>
                </a:cubicBezTo>
                <a:lnTo>
                  <a:pt x="216733" y="111840"/>
                </a:lnTo>
                <a:cubicBezTo>
                  <a:pt x="220640" y="105868"/>
                  <a:pt x="219730" y="97990"/>
                  <a:pt x="214561" y="93049"/>
                </a:cubicBezTo>
                <a:cubicBezTo>
                  <a:pt x="213959" y="92529"/>
                  <a:pt x="213318" y="92057"/>
                  <a:pt x="212642" y="91635"/>
                </a:cubicBezTo>
                <a:lnTo>
                  <a:pt x="212642" y="23066"/>
                </a:lnTo>
                <a:cubicBezTo>
                  <a:pt x="217191" y="23745"/>
                  <a:pt x="221782" y="24102"/>
                  <a:pt x="226382" y="24135"/>
                </a:cubicBezTo>
                <a:cubicBezTo>
                  <a:pt x="236031" y="24135"/>
                  <a:pt x="242766" y="22260"/>
                  <a:pt x="243455" y="18746"/>
                </a:cubicBezTo>
                <a:cubicBezTo>
                  <a:pt x="244549" y="13196"/>
                  <a:pt x="229999" y="5707"/>
                  <a:pt x="210959" y="2018"/>
                </a:cubicBezTo>
                <a:cubicBezTo>
                  <a:pt x="204574" y="740"/>
                  <a:pt x="198083" y="65"/>
                  <a:pt x="191570" y="0"/>
                </a:cubicBezTo>
                <a:cubicBezTo>
                  <a:pt x="181924" y="0"/>
                  <a:pt x="175189" y="1875"/>
                  <a:pt x="174500" y="5393"/>
                </a:cubicBezTo>
                <a:cubicBezTo>
                  <a:pt x="173441" y="10751"/>
                  <a:pt x="186987" y="17910"/>
                  <a:pt x="205075" y="21716"/>
                </a:cubicBezTo>
                <a:lnTo>
                  <a:pt x="205075" y="89141"/>
                </a:lnTo>
                <a:cubicBezTo>
                  <a:pt x="204212" y="89080"/>
                  <a:pt x="203346" y="89098"/>
                  <a:pt x="202486" y="89194"/>
                </a:cubicBezTo>
                <a:cubicBezTo>
                  <a:pt x="198114" y="89762"/>
                  <a:pt x="194228" y="92238"/>
                  <a:pt x="191891" y="95944"/>
                </a:cubicBezTo>
                <a:lnTo>
                  <a:pt x="177134" y="119325"/>
                </a:lnTo>
                <a:lnTo>
                  <a:pt x="156746" y="115755"/>
                </a:lnTo>
                <a:cubicBezTo>
                  <a:pt x="150430" y="114673"/>
                  <a:pt x="143930" y="115670"/>
                  <a:pt x="138239" y="118594"/>
                </a:cubicBezTo>
                <a:lnTo>
                  <a:pt x="94345" y="141386"/>
                </a:lnTo>
                <a:lnTo>
                  <a:pt x="74873" y="149524"/>
                </a:lnTo>
                <a:lnTo>
                  <a:pt x="48620" y="126023"/>
                </a:lnTo>
                <a:cubicBezTo>
                  <a:pt x="45988" y="123654"/>
                  <a:pt x="42615" y="122251"/>
                  <a:pt x="39066" y="122047"/>
                </a:cubicBezTo>
                <a:lnTo>
                  <a:pt x="39066" y="53269"/>
                </a:lnTo>
                <a:cubicBezTo>
                  <a:pt x="56899" y="50670"/>
                  <a:pt x="70423" y="44606"/>
                  <a:pt x="69765" y="39281"/>
                </a:cubicBezTo>
                <a:cubicBezTo>
                  <a:pt x="69243" y="35047"/>
                  <a:pt x="59926" y="32490"/>
                  <a:pt x="47095" y="32494"/>
                </a:cubicBezTo>
                <a:cubicBezTo>
                  <a:pt x="42598" y="32506"/>
                  <a:pt x="38106" y="32788"/>
                  <a:pt x="33643" y="33338"/>
                </a:cubicBezTo>
                <a:cubicBezTo>
                  <a:pt x="14383" y="35666"/>
                  <a:pt x="-669" y="42105"/>
                  <a:pt x="23" y="47719"/>
                </a:cubicBezTo>
                <a:cubicBezTo>
                  <a:pt x="545" y="51953"/>
                  <a:pt x="9861" y="54510"/>
                  <a:pt x="22689" y="54510"/>
                </a:cubicBezTo>
                <a:cubicBezTo>
                  <a:pt x="25466" y="54510"/>
                  <a:pt x="28448" y="54341"/>
                  <a:pt x="31498" y="54090"/>
                </a:cubicBezTo>
                <a:lnTo>
                  <a:pt x="31498" y="123694"/>
                </a:lnTo>
                <a:cubicBezTo>
                  <a:pt x="30827" y="124038"/>
                  <a:pt x="30184" y="124433"/>
                  <a:pt x="29576" y="124875"/>
                </a:cubicBezTo>
                <a:cubicBezTo>
                  <a:pt x="23021" y="129714"/>
                  <a:pt x="21666" y="138902"/>
                  <a:pt x="26548" y="145398"/>
                </a:cubicBezTo>
                <a:cubicBezTo>
                  <a:pt x="27125" y="146166"/>
                  <a:pt x="27777" y="146876"/>
                  <a:pt x="28493" y="147518"/>
                </a:cubicBezTo>
                <a:lnTo>
                  <a:pt x="62034" y="177540"/>
                </a:lnTo>
                <a:cubicBezTo>
                  <a:pt x="66319" y="181311"/>
                  <a:pt x="72398" y="182330"/>
                  <a:pt x="77696" y="180165"/>
                </a:cubicBezTo>
                <a:lnTo>
                  <a:pt x="107124" y="167861"/>
                </a:lnTo>
                <a:lnTo>
                  <a:pt x="127875" y="202789"/>
                </a:lnTo>
                <a:lnTo>
                  <a:pt x="107086" y="237664"/>
                </a:lnTo>
                <a:cubicBezTo>
                  <a:pt x="104368" y="242229"/>
                  <a:pt x="104347" y="247891"/>
                  <a:pt x="107029" y="252476"/>
                </a:cubicBezTo>
                <a:lnTo>
                  <a:pt x="138814" y="306769"/>
                </a:lnTo>
                <a:cubicBezTo>
                  <a:pt x="142907" y="313772"/>
                  <a:pt x="151955" y="316161"/>
                  <a:pt x="159022" y="312104"/>
                </a:cubicBezTo>
                <a:cubicBezTo>
                  <a:pt x="159381" y="311898"/>
                  <a:pt x="159732" y="311677"/>
                  <a:pt x="160072" y="311441"/>
                </a:cubicBezTo>
                <a:cubicBezTo>
                  <a:pt x="166404" y="306851"/>
                  <a:pt x="168164" y="298236"/>
                  <a:pt x="164132" y="291566"/>
                </a:cubicBezTo>
                <a:lnTo>
                  <a:pt x="136956" y="245179"/>
                </a:lnTo>
                <a:lnTo>
                  <a:pt x="159546" y="207281"/>
                </a:lnTo>
                <a:lnTo>
                  <a:pt x="184634" y="240540"/>
                </a:lnTo>
                <a:cubicBezTo>
                  <a:pt x="187839" y="244781"/>
                  <a:pt x="193101" y="246982"/>
                  <a:pt x="198403" y="246300"/>
                </a:cubicBezTo>
                <a:lnTo>
                  <a:pt x="260797" y="238185"/>
                </a:lnTo>
                <a:cubicBezTo>
                  <a:pt x="267941" y="237366"/>
                  <a:pt x="273495" y="231642"/>
                  <a:pt x="274041" y="224535"/>
                </a:cubicBezTo>
                <a:cubicBezTo>
                  <a:pt x="274403" y="218994"/>
                  <a:pt x="271568" y="213729"/>
                  <a:pt x="266722" y="210941"/>
                </a:cubicBezTo>
                <a:lnTo>
                  <a:pt x="266722" y="143861"/>
                </a:lnTo>
                <a:cubicBezTo>
                  <a:pt x="284477" y="137111"/>
                  <a:pt x="297179" y="127579"/>
                  <a:pt x="295208" y="122359"/>
                </a:cubicBezTo>
                <a:cubicBezTo>
                  <a:pt x="294368" y="120128"/>
                  <a:pt x="290962" y="119044"/>
                  <a:pt x="285968" y="119047"/>
                </a:cubicBezTo>
                <a:close/>
                <a:moveTo>
                  <a:pt x="12279" y="46260"/>
                </a:moveTo>
                <a:cubicBezTo>
                  <a:pt x="12260" y="46260"/>
                  <a:pt x="12245" y="46245"/>
                  <a:pt x="12245" y="46226"/>
                </a:cubicBezTo>
                <a:cubicBezTo>
                  <a:pt x="12245" y="46207"/>
                  <a:pt x="12260" y="46192"/>
                  <a:pt x="12279" y="46192"/>
                </a:cubicBezTo>
                <a:cubicBezTo>
                  <a:pt x="19422" y="43389"/>
                  <a:pt x="26918" y="41568"/>
                  <a:pt x="34559" y="40781"/>
                </a:cubicBezTo>
                <a:cubicBezTo>
                  <a:pt x="38719" y="40268"/>
                  <a:pt x="42907" y="40005"/>
                  <a:pt x="47099" y="39994"/>
                </a:cubicBezTo>
                <a:cubicBezTo>
                  <a:pt x="50581" y="39960"/>
                  <a:pt x="54060" y="40211"/>
                  <a:pt x="57501" y="40744"/>
                </a:cubicBezTo>
                <a:cubicBezTo>
                  <a:pt x="57520" y="40744"/>
                  <a:pt x="57535" y="40759"/>
                  <a:pt x="57535" y="40777"/>
                </a:cubicBezTo>
                <a:cubicBezTo>
                  <a:pt x="57535" y="40796"/>
                  <a:pt x="57520" y="40811"/>
                  <a:pt x="57501" y="40811"/>
                </a:cubicBezTo>
                <a:cubicBezTo>
                  <a:pt x="50358" y="43615"/>
                  <a:pt x="42862" y="45435"/>
                  <a:pt x="35221" y="46223"/>
                </a:cubicBezTo>
                <a:cubicBezTo>
                  <a:pt x="31061" y="46736"/>
                  <a:pt x="26873" y="46999"/>
                  <a:pt x="22681" y="47010"/>
                </a:cubicBezTo>
                <a:cubicBezTo>
                  <a:pt x="19199" y="47045"/>
                  <a:pt x="15720" y="46794"/>
                  <a:pt x="12279" y="46260"/>
                </a:cubicBezTo>
                <a:close/>
                <a:moveTo>
                  <a:pt x="191573" y="7492"/>
                </a:moveTo>
                <a:cubicBezTo>
                  <a:pt x="197597" y="7558"/>
                  <a:pt x="203601" y="8186"/>
                  <a:pt x="209506" y="9367"/>
                </a:cubicBezTo>
                <a:cubicBezTo>
                  <a:pt x="217070" y="10697"/>
                  <a:pt x="224415" y="13043"/>
                  <a:pt x="231339" y="16343"/>
                </a:cubicBezTo>
                <a:cubicBezTo>
                  <a:pt x="231358" y="16351"/>
                  <a:pt x="231365" y="16374"/>
                  <a:pt x="231356" y="16393"/>
                </a:cubicBezTo>
                <a:cubicBezTo>
                  <a:pt x="231353" y="16400"/>
                  <a:pt x="231346" y="16406"/>
                  <a:pt x="231339" y="16410"/>
                </a:cubicBezTo>
                <a:cubicBezTo>
                  <a:pt x="229961" y="16541"/>
                  <a:pt x="228312" y="16624"/>
                  <a:pt x="226397" y="16624"/>
                </a:cubicBezTo>
                <a:cubicBezTo>
                  <a:pt x="220372" y="16560"/>
                  <a:pt x="214367" y="15932"/>
                  <a:pt x="208461" y="14749"/>
                </a:cubicBezTo>
                <a:cubicBezTo>
                  <a:pt x="200897" y="13423"/>
                  <a:pt x="193552" y="11077"/>
                  <a:pt x="186632" y="7774"/>
                </a:cubicBezTo>
                <a:cubicBezTo>
                  <a:pt x="186613" y="7765"/>
                  <a:pt x="186605" y="7742"/>
                  <a:pt x="186614" y="7724"/>
                </a:cubicBezTo>
                <a:cubicBezTo>
                  <a:pt x="186618" y="7716"/>
                  <a:pt x="186624" y="7710"/>
                  <a:pt x="186632" y="7706"/>
                </a:cubicBezTo>
                <a:cubicBezTo>
                  <a:pt x="188009" y="7579"/>
                  <a:pt x="189647" y="7492"/>
                  <a:pt x="191573" y="7492"/>
                </a:cubicBezTo>
                <a:close/>
                <a:moveTo>
                  <a:pt x="259809" y="230745"/>
                </a:moveTo>
                <a:lnTo>
                  <a:pt x="197423" y="238860"/>
                </a:lnTo>
                <a:cubicBezTo>
                  <a:pt x="194834" y="239202"/>
                  <a:pt x="192259" y="238134"/>
                  <a:pt x="190688" y="236066"/>
                </a:cubicBezTo>
                <a:lnTo>
                  <a:pt x="162308" y="198379"/>
                </a:lnTo>
                <a:cubicBezTo>
                  <a:pt x="161403" y="197255"/>
                  <a:pt x="159955" y="196706"/>
                  <a:pt x="158525" y="196943"/>
                </a:cubicBezTo>
                <a:cubicBezTo>
                  <a:pt x="157417" y="197122"/>
                  <a:pt x="156446" y="197780"/>
                  <a:pt x="155876" y="198739"/>
                </a:cubicBezTo>
                <a:lnTo>
                  <a:pt x="129320" y="243255"/>
                </a:lnTo>
                <a:cubicBezTo>
                  <a:pt x="128628" y="244426"/>
                  <a:pt x="128628" y="245876"/>
                  <a:pt x="129320" y="247046"/>
                </a:cubicBezTo>
                <a:lnTo>
                  <a:pt x="157582" y="295316"/>
                </a:lnTo>
                <a:cubicBezTo>
                  <a:pt x="159616" y="298613"/>
                  <a:pt x="158831" y="302898"/>
                  <a:pt x="155758" y="305276"/>
                </a:cubicBezTo>
                <a:cubicBezTo>
                  <a:pt x="152329" y="307500"/>
                  <a:pt x="147730" y="306549"/>
                  <a:pt x="145486" y="303151"/>
                </a:cubicBezTo>
                <a:cubicBezTo>
                  <a:pt x="145452" y="303100"/>
                  <a:pt x="145419" y="303048"/>
                  <a:pt x="145387" y="302996"/>
                </a:cubicBezTo>
                <a:lnTo>
                  <a:pt x="113579" y="248708"/>
                </a:lnTo>
                <a:cubicBezTo>
                  <a:pt x="112273" y="246468"/>
                  <a:pt x="112285" y="243706"/>
                  <a:pt x="113609" y="241477"/>
                </a:cubicBezTo>
                <a:lnTo>
                  <a:pt x="135530" y="204701"/>
                </a:lnTo>
                <a:cubicBezTo>
                  <a:pt x="136226" y="203528"/>
                  <a:pt x="136226" y="202072"/>
                  <a:pt x="135530" y="200899"/>
                </a:cubicBezTo>
                <a:lnTo>
                  <a:pt x="116489" y="168698"/>
                </a:lnTo>
                <a:lnTo>
                  <a:pt x="111865" y="161198"/>
                </a:lnTo>
                <a:cubicBezTo>
                  <a:pt x="110889" y="159614"/>
                  <a:pt x="108890" y="158976"/>
                  <a:pt x="107165" y="159698"/>
                </a:cubicBezTo>
                <a:lnTo>
                  <a:pt x="74737" y="173254"/>
                </a:lnTo>
                <a:cubicBezTo>
                  <a:pt x="72150" y="174309"/>
                  <a:pt x="69182" y="173811"/>
                  <a:pt x="67089" y="171971"/>
                </a:cubicBezTo>
                <a:lnTo>
                  <a:pt x="33556" y="141941"/>
                </a:lnTo>
                <a:cubicBezTo>
                  <a:pt x="30594" y="139283"/>
                  <a:pt x="30367" y="134749"/>
                  <a:pt x="33049" y="131814"/>
                </a:cubicBezTo>
                <a:cubicBezTo>
                  <a:pt x="33375" y="131457"/>
                  <a:pt x="33736" y="131134"/>
                  <a:pt x="34128" y="130849"/>
                </a:cubicBezTo>
                <a:cubicBezTo>
                  <a:pt x="37054" y="128878"/>
                  <a:pt x="40970" y="129190"/>
                  <a:pt x="43542" y="131599"/>
                </a:cubicBezTo>
                <a:lnTo>
                  <a:pt x="71581" y="156698"/>
                </a:lnTo>
                <a:cubicBezTo>
                  <a:pt x="72671" y="157672"/>
                  <a:pt x="74232" y="157934"/>
                  <a:pt x="75584" y="157369"/>
                </a:cubicBezTo>
                <a:lnTo>
                  <a:pt x="97422" y="148241"/>
                </a:lnTo>
                <a:cubicBezTo>
                  <a:pt x="97518" y="148203"/>
                  <a:pt x="97613" y="148159"/>
                  <a:pt x="97705" y="148110"/>
                </a:cubicBezTo>
                <a:lnTo>
                  <a:pt x="141747" y="125235"/>
                </a:lnTo>
                <a:cubicBezTo>
                  <a:pt x="143764" y="124196"/>
                  <a:pt x="145935" y="123481"/>
                  <a:pt x="148179" y="123116"/>
                </a:cubicBezTo>
                <a:cubicBezTo>
                  <a:pt x="150579" y="122704"/>
                  <a:pt x="153033" y="122704"/>
                  <a:pt x="155433" y="123116"/>
                </a:cubicBezTo>
                <a:lnTo>
                  <a:pt x="178337" y="127129"/>
                </a:lnTo>
                <a:cubicBezTo>
                  <a:pt x="179855" y="127393"/>
                  <a:pt x="181384" y="126718"/>
                  <a:pt x="182201" y="125423"/>
                </a:cubicBezTo>
                <a:lnTo>
                  <a:pt x="198290" y="99941"/>
                </a:lnTo>
                <a:cubicBezTo>
                  <a:pt x="200412" y="96586"/>
                  <a:pt x="204877" y="95570"/>
                  <a:pt x="208263" y="97673"/>
                </a:cubicBezTo>
                <a:cubicBezTo>
                  <a:pt x="208674" y="97929"/>
                  <a:pt x="209059" y="98225"/>
                  <a:pt x="209411" y="98557"/>
                </a:cubicBezTo>
                <a:cubicBezTo>
                  <a:pt x="211885" y="101067"/>
                  <a:pt x="212263" y="104945"/>
                  <a:pt x="210319" y="107876"/>
                </a:cubicBezTo>
                <a:lnTo>
                  <a:pt x="190506" y="139279"/>
                </a:lnTo>
                <a:cubicBezTo>
                  <a:pt x="188947" y="141759"/>
                  <a:pt x="186022" y="143048"/>
                  <a:pt x="183120" y="142534"/>
                </a:cubicBezTo>
                <a:lnTo>
                  <a:pt x="154154" y="137460"/>
                </a:lnTo>
                <a:cubicBezTo>
                  <a:pt x="152096" y="137100"/>
                  <a:pt x="150133" y="138461"/>
                  <a:pt x="149769" y="140500"/>
                </a:cubicBezTo>
                <a:cubicBezTo>
                  <a:pt x="149639" y="141229"/>
                  <a:pt x="149730" y="141980"/>
                  <a:pt x="150030" y="142658"/>
                </a:cubicBezTo>
                <a:lnTo>
                  <a:pt x="157370" y="159274"/>
                </a:lnTo>
                <a:lnTo>
                  <a:pt x="170486" y="185239"/>
                </a:lnTo>
                <a:cubicBezTo>
                  <a:pt x="170584" y="185439"/>
                  <a:pt x="170702" y="185628"/>
                  <a:pt x="170837" y="185805"/>
                </a:cubicBezTo>
                <a:lnTo>
                  <a:pt x="198403" y="222367"/>
                </a:lnTo>
                <a:cubicBezTo>
                  <a:pt x="199226" y="223449"/>
                  <a:pt x="200571" y="224011"/>
                  <a:pt x="201926" y="223841"/>
                </a:cubicBezTo>
                <a:lnTo>
                  <a:pt x="258333" y="216503"/>
                </a:lnTo>
                <a:cubicBezTo>
                  <a:pt x="260481" y="216230"/>
                  <a:pt x="262640" y="216917"/>
                  <a:pt x="264225" y="218378"/>
                </a:cubicBezTo>
                <a:cubicBezTo>
                  <a:pt x="265816" y="219846"/>
                  <a:pt x="266651" y="221951"/>
                  <a:pt x="266495" y="224100"/>
                </a:cubicBezTo>
                <a:cubicBezTo>
                  <a:pt x="266125" y="227600"/>
                  <a:pt x="263340" y="230368"/>
                  <a:pt x="259809" y="230745"/>
                </a:cubicBezTo>
                <a:close/>
                <a:moveTo>
                  <a:pt x="263279" y="137141"/>
                </a:moveTo>
                <a:cubicBezTo>
                  <a:pt x="256130" y="139926"/>
                  <a:pt x="248632" y="141737"/>
                  <a:pt x="240992" y="142523"/>
                </a:cubicBezTo>
                <a:cubicBezTo>
                  <a:pt x="240971" y="142522"/>
                  <a:pt x="240954" y="142505"/>
                  <a:pt x="240954" y="142485"/>
                </a:cubicBezTo>
                <a:cubicBezTo>
                  <a:pt x="240955" y="142475"/>
                  <a:pt x="240958" y="142466"/>
                  <a:pt x="240965" y="142459"/>
                </a:cubicBezTo>
                <a:cubicBezTo>
                  <a:pt x="247245" y="138071"/>
                  <a:pt x="254100" y="134556"/>
                  <a:pt x="261342" y="132011"/>
                </a:cubicBezTo>
                <a:cubicBezTo>
                  <a:pt x="268492" y="129230"/>
                  <a:pt x="275989" y="127420"/>
                  <a:pt x="283629" y="126630"/>
                </a:cubicBezTo>
                <a:cubicBezTo>
                  <a:pt x="283650" y="126628"/>
                  <a:pt x="283668" y="126643"/>
                  <a:pt x="283671" y="126663"/>
                </a:cubicBezTo>
                <a:cubicBezTo>
                  <a:pt x="283672" y="126677"/>
                  <a:pt x="283667" y="126690"/>
                  <a:pt x="283656" y="126698"/>
                </a:cubicBezTo>
                <a:cubicBezTo>
                  <a:pt x="277375" y="131083"/>
                  <a:pt x="270520" y="134597"/>
                  <a:pt x="263279" y="13714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oneCellAnchor>
  <xdr:oneCellAnchor>
    <xdr:from>
      <xdr:col>8</xdr:col>
      <xdr:colOff>142114</xdr:colOff>
      <xdr:row>19</xdr:row>
      <xdr:rowOff>152746</xdr:rowOff>
    </xdr:from>
    <xdr:ext cx="294939" cy="270000"/>
    <xdr:sp macro="" textlink="">
      <xdr:nvSpPr>
        <xdr:cNvPr id="490" name="paperplane" descr="Send">
          <a:extLst>
            <a:ext uri="{FF2B5EF4-FFF2-40B4-BE49-F238E27FC236}">
              <a16:creationId xmlns:a16="http://schemas.microsoft.com/office/drawing/2014/main" id="{BDE54D70-EA61-4443-B571-08E9F142B96C}"/>
            </a:ext>
          </a:extLst>
        </xdr:cNvPr>
        <xdr:cNvSpPr>
          <a:spLocks noChangeAspect="1"/>
        </xdr:cNvSpPr>
      </xdr:nvSpPr>
      <xdr:spPr>
        <a:xfrm>
          <a:off x="6590539" y="9734896"/>
          <a:ext cx="294939" cy="270000"/>
        </a:xfrm>
        <a:custGeom>
          <a:avLst/>
          <a:gdLst>
            <a:gd name="connsiteX0" fmla="*/ 293347 w 294939"/>
            <a:gd name="connsiteY0" fmla="*/ 698 h 270000"/>
            <a:gd name="connsiteX1" fmla="*/ 289364 w 294939"/>
            <a:gd name="connsiteY1" fmla="*/ 440 h 270000"/>
            <a:gd name="connsiteX2" fmla="*/ 2009 w 294939"/>
            <a:gd name="connsiteY2" fmla="*/ 152105 h 270000"/>
            <a:gd name="connsiteX3" fmla="*/ 445 w 294939"/>
            <a:gd name="connsiteY3" fmla="*/ 157177 h 270000"/>
            <a:gd name="connsiteX4" fmla="*/ 2555 w 294939"/>
            <a:gd name="connsiteY4" fmla="*/ 158960 h 270000"/>
            <a:gd name="connsiteX5" fmla="*/ 90403 w 294939"/>
            <a:gd name="connsiteY5" fmla="*/ 189046 h 270000"/>
            <a:gd name="connsiteX6" fmla="*/ 91991 w 294939"/>
            <a:gd name="connsiteY6" fmla="*/ 189563 h 270000"/>
            <a:gd name="connsiteX7" fmla="*/ 117002 w 294939"/>
            <a:gd name="connsiteY7" fmla="*/ 267387 h 270000"/>
            <a:gd name="connsiteX8" fmla="*/ 119719 w 294939"/>
            <a:gd name="connsiteY8" fmla="*/ 269896 h 270000"/>
            <a:gd name="connsiteX9" fmla="*/ 120621 w 294939"/>
            <a:gd name="connsiteY9" fmla="*/ 270001 h 270000"/>
            <a:gd name="connsiteX10" fmla="*/ 123300 w 294939"/>
            <a:gd name="connsiteY10" fmla="*/ 268902 h 270000"/>
            <a:gd name="connsiteX11" fmla="*/ 175360 w 294939"/>
            <a:gd name="connsiteY11" fmla="*/ 217388 h 270000"/>
            <a:gd name="connsiteX12" fmla="*/ 252018 w 294939"/>
            <a:gd name="connsiteY12" fmla="*/ 243545 h 270000"/>
            <a:gd name="connsiteX13" fmla="*/ 255205 w 294939"/>
            <a:gd name="connsiteY13" fmla="*/ 243215 h 270000"/>
            <a:gd name="connsiteX14" fmla="*/ 256998 w 294939"/>
            <a:gd name="connsiteY14" fmla="*/ 240590 h 270000"/>
            <a:gd name="connsiteX15" fmla="*/ 294893 w 294939"/>
            <a:gd name="connsiteY15" fmla="*/ 4340 h 270000"/>
            <a:gd name="connsiteX16" fmla="*/ 293347 w 294939"/>
            <a:gd name="connsiteY16" fmla="*/ 698 h 270000"/>
            <a:gd name="connsiteX17" fmla="*/ 13302 w 294939"/>
            <a:gd name="connsiteY17" fmla="*/ 154640 h 270000"/>
            <a:gd name="connsiteX18" fmla="*/ 263535 w 294939"/>
            <a:gd name="connsiteY18" fmla="*/ 22576 h 270000"/>
            <a:gd name="connsiteX19" fmla="*/ 263588 w 294939"/>
            <a:gd name="connsiteY19" fmla="*/ 22583 h 270000"/>
            <a:gd name="connsiteX20" fmla="*/ 263580 w 294939"/>
            <a:gd name="connsiteY20" fmla="*/ 22636 h 270000"/>
            <a:gd name="connsiteX21" fmla="*/ 93655 w 294939"/>
            <a:gd name="connsiteY21" fmla="*/ 182168 h 270000"/>
            <a:gd name="connsiteX22" fmla="*/ 13317 w 294939"/>
            <a:gd name="connsiteY22" fmla="*/ 154711 h 270000"/>
            <a:gd name="connsiteX23" fmla="*/ 13292 w 294939"/>
            <a:gd name="connsiteY23" fmla="*/ 154658 h 270000"/>
            <a:gd name="connsiteX24" fmla="*/ 13306 w 294939"/>
            <a:gd name="connsiteY24" fmla="*/ 154640 h 270000"/>
            <a:gd name="connsiteX25" fmla="*/ 99210 w 294939"/>
            <a:gd name="connsiteY25" fmla="*/ 187291 h 270000"/>
            <a:gd name="connsiteX26" fmla="*/ 266039 w 294939"/>
            <a:gd name="connsiteY26" fmla="*/ 30665 h 270000"/>
            <a:gd name="connsiteX27" fmla="*/ 266094 w 294939"/>
            <a:gd name="connsiteY27" fmla="*/ 30663 h 270000"/>
            <a:gd name="connsiteX28" fmla="*/ 266096 w 294939"/>
            <a:gd name="connsiteY28" fmla="*/ 30717 h 270000"/>
            <a:gd name="connsiteX29" fmla="*/ 135699 w 294939"/>
            <a:gd name="connsiteY29" fmla="*/ 198627 h 270000"/>
            <a:gd name="connsiteX30" fmla="*/ 135074 w 294939"/>
            <a:gd name="connsiteY30" fmla="*/ 199861 h 270000"/>
            <a:gd name="connsiteX31" fmla="*/ 120321 w 294939"/>
            <a:gd name="connsiteY31" fmla="*/ 252736 h 270000"/>
            <a:gd name="connsiteX32" fmla="*/ 120283 w 294939"/>
            <a:gd name="connsiteY32" fmla="*/ 252773 h 270000"/>
            <a:gd name="connsiteX33" fmla="*/ 120246 w 294939"/>
            <a:gd name="connsiteY33" fmla="*/ 252736 h 270000"/>
            <a:gd name="connsiteX34" fmla="*/ 127931 w 294939"/>
            <a:gd name="connsiteY34" fmla="*/ 253610 h 270000"/>
            <a:gd name="connsiteX35" fmla="*/ 141281 w 294939"/>
            <a:gd name="connsiteY35" fmla="*/ 205760 h 270000"/>
            <a:gd name="connsiteX36" fmla="*/ 167387 w 294939"/>
            <a:gd name="connsiteY36" fmla="*/ 214666 h 270000"/>
            <a:gd name="connsiteX37" fmla="*/ 127976 w 294939"/>
            <a:gd name="connsiteY37" fmla="*/ 253647 h 270000"/>
            <a:gd name="connsiteX38" fmla="*/ 127931 w 294939"/>
            <a:gd name="connsiteY38" fmla="*/ 253618 h 270000"/>
            <a:gd name="connsiteX39" fmla="*/ 127931 w 294939"/>
            <a:gd name="connsiteY39" fmla="*/ 253610 h 270000"/>
            <a:gd name="connsiteX40" fmla="*/ 250177 w 294939"/>
            <a:gd name="connsiteY40" fmla="*/ 234983 h 270000"/>
            <a:gd name="connsiteX41" fmla="*/ 144915 w 294939"/>
            <a:gd name="connsiteY41" fmla="*/ 199066 h 270000"/>
            <a:gd name="connsiteX42" fmla="*/ 284805 w 294939"/>
            <a:gd name="connsiteY42" fmla="*/ 18935 h 270000"/>
            <a:gd name="connsiteX43" fmla="*/ 284851 w 294939"/>
            <a:gd name="connsiteY43" fmla="*/ 18916 h 270000"/>
            <a:gd name="connsiteX44" fmla="*/ 284869 w 294939"/>
            <a:gd name="connsiteY44" fmla="*/ 18961 h 270000"/>
            <a:gd name="connsiteX45" fmla="*/ 250222 w 294939"/>
            <a:gd name="connsiteY45" fmla="*/ 234953 h 270000"/>
            <a:gd name="connsiteX46" fmla="*/ 250178 w 294939"/>
            <a:gd name="connsiteY46" fmla="*/ 234984 h 270000"/>
            <a:gd name="connsiteX47" fmla="*/ 250177 w 294939"/>
            <a:gd name="connsiteY47" fmla="*/ 234983 h 27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</a:cxnLst>
          <a:rect l="l" t="t" r="r" b="b"/>
          <a:pathLst>
            <a:path w="294939" h="270000">
              <a:moveTo>
                <a:pt x="293347" y="698"/>
              </a:moveTo>
              <a:cubicBezTo>
                <a:pt x="292176" y="-129"/>
                <a:pt x="290633" y="-229"/>
                <a:pt x="289364" y="440"/>
              </a:cubicBezTo>
              <a:lnTo>
                <a:pt x="2009" y="152105"/>
              </a:lnTo>
              <a:cubicBezTo>
                <a:pt x="162" y="153078"/>
                <a:pt x="-538" y="155349"/>
                <a:pt x="445" y="157177"/>
              </a:cubicBezTo>
              <a:cubicBezTo>
                <a:pt x="896" y="158014"/>
                <a:pt x="1649" y="158651"/>
                <a:pt x="2555" y="158960"/>
              </a:cubicBezTo>
              <a:lnTo>
                <a:pt x="90403" y="189046"/>
              </a:lnTo>
              <a:lnTo>
                <a:pt x="91991" y="189563"/>
              </a:lnTo>
              <a:lnTo>
                <a:pt x="117002" y="267387"/>
              </a:lnTo>
              <a:cubicBezTo>
                <a:pt x="117402" y="268636"/>
                <a:pt x="118433" y="269587"/>
                <a:pt x="119719" y="269896"/>
              </a:cubicBezTo>
              <a:cubicBezTo>
                <a:pt x="120014" y="269965"/>
                <a:pt x="120317" y="270000"/>
                <a:pt x="120621" y="270001"/>
              </a:cubicBezTo>
              <a:cubicBezTo>
                <a:pt x="121626" y="270001"/>
                <a:pt x="122589" y="269605"/>
                <a:pt x="123300" y="268902"/>
              </a:cubicBezTo>
              <a:lnTo>
                <a:pt x="175360" y="217388"/>
              </a:lnTo>
              <a:lnTo>
                <a:pt x="252018" y="243545"/>
              </a:lnTo>
              <a:cubicBezTo>
                <a:pt x="253077" y="243913"/>
                <a:pt x="254246" y="243792"/>
                <a:pt x="255205" y="243215"/>
              </a:cubicBezTo>
              <a:cubicBezTo>
                <a:pt x="256165" y="242645"/>
                <a:pt x="256821" y="241684"/>
                <a:pt x="256998" y="240590"/>
              </a:cubicBezTo>
              <a:lnTo>
                <a:pt x="294893" y="4340"/>
              </a:lnTo>
              <a:cubicBezTo>
                <a:pt x="295117" y="2934"/>
                <a:pt x="294518" y="1523"/>
                <a:pt x="293347" y="698"/>
              </a:cubicBezTo>
              <a:close/>
              <a:moveTo>
                <a:pt x="13302" y="154640"/>
              </a:moveTo>
              <a:lnTo>
                <a:pt x="263535" y="22576"/>
              </a:lnTo>
              <a:cubicBezTo>
                <a:pt x="263551" y="22564"/>
                <a:pt x="263575" y="22567"/>
                <a:pt x="263588" y="22583"/>
              </a:cubicBezTo>
              <a:cubicBezTo>
                <a:pt x="263600" y="22600"/>
                <a:pt x="263597" y="22624"/>
                <a:pt x="263580" y="22636"/>
              </a:cubicBezTo>
              <a:lnTo>
                <a:pt x="93655" y="182168"/>
              </a:lnTo>
              <a:lnTo>
                <a:pt x="13317" y="154711"/>
              </a:lnTo>
              <a:cubicBezTo>
                <a:pt x="13295" y="154703"/>
                <a:pt x="13284" y="154679"/>
                <a:pt x="13292" y="154658"/>
              </a:cubicBezTo>
              <a:cubicBezTo>
                <a:pt x="13295" y="154651"/>
                <a:pt x="13299" y="154645"/>
                <a:pt x="13306" y="154640"/>
              </a:cubicBezTo>
              <a:close/>
              <a:moveTo>
                <a:pt x="99210" y="187291"/>
              </a:moveTo>
              <a:lnTo>
                <a:pt x="266039" y="30665"/>
              </a:lnTo>
              <a:cubicBezTo>
                <a:pt x="266054" y="30649"/>
                <a:pt x="266079" y="30648"/>
                <a:pt x="266094" y="30663"/>
              </a:cubicBezTo>
              <a:cubicBezTo>
                <a:pt x="266110" y="30677"/>
                <a:pt x="266111" y="30702"/>
                <a:pt x="266096" y="30717"/>
              </a:cubicBezTo>
              <a:lnTo>
                <a:pt x="135699" y="198627"/>
              </a:lnTo>
              <a:cubicBezTo>
                <a:pt x="135409" y="198992"/>
                <a:pt x="135196" y="199412"/>
                <a:pt x="135074" y="199861"/>
              </a:cubicBezTo>
              <a:lnTo>
                <a:pt x="120321" y="252736"/>
              </a:lnTo>
              <a:cubicBezTo>
                <a:pt x="120321" y="252757"/>
                <a:pt x="120304" y="252773"/>
                <a:pt x="120283" y="252773"/>
              </a:cubicBezTo>
              <a:cubicBezTo>
                <a:pt x="120263" y="252773"/>
                <a:pt x="120246" y="252757"/>
                <a:pt x="120246" y="252736"/>
              </a:cubicBezTo>
              <a:close/>
              <a:moveTo>
                <a:pt x="127931" y="253610"/>
              </a:moveTo>
              <a:lnTo>
                <a:pt x="141281" y="205760"/>
              </a:lnTo>
              <a:lnTo>
                <a:pt x="167387" y="214666"/>
              </a:lnTo>
              <a:lnTo>
                <a:pt x="127976" y="253647"/>
              </a:lnTo>
              <a:cubicBezTo>
                <a:pt x="127956" y="253651"/>
                <a:pt x="127936" y="253638"/>
                <a:pt x="127931" y="253618"/>
              </a:cubicBezTo>
              <a:cubicBezTo>
                <a:pt x="127931" y="253615"/>
                <a:pt x="127931" y="253612"/>
                <a:pt x="127931" y="253610"/>
              </a:cubicBezTo>
              <a:close/>
              <a:moveTo>
                <a:pt x="250177" y="234983"/>
              </a:moveTo>
              <a:lnTo>
                <a:pt x="144915" y="199066"/>
              </a:lnTo>
              <a:lnTo>
                <a:pt x="284805" y="18935"/>
              </a:lnTo>
              <a:cubicBezTo>
                <a:pt x="284812" y="18917"/>
                <a:pt x="284833" y="18909"/>
                <a:pt x="284851" y="18916"/>
              </a:cubicBezTo>
              <a:cubicBezTo>
                <a:pt x="284868" y="18923"/>
                <a:pt x="284877" y="18943"/>
                <a:pt x="284869" y="18961"/>
              </a:cubicBezTo>
              <a:lnTo>
                <a:pt x="250222" y="234953"/>
              </a:lnTo>
              <a:cubicBezTo>
                <a:pt x="250218" y="234974"/>
                <a:pt x="250198" y="234988"/>
                <a:pt x="250178" y="234984"/>
              </a:cubicBezTo>
              <a:cubicBezTo>
                <a:pt x="250178" y="234984"/>
                <a:pt x="250177" y="234983"/>
                <a:pt x="250177" y="234983"/>
              </a:cubicBezTo>
              <a:close/>
            </a:path>
          </a:pathLst>
        </a:custGeom>
        <a:solidFill>
          <a:srgbClr val="1F4E78"/>
        </a:solidFill>
        <a:ln w="3770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oneCellAnchor>
  <xdr:oneCellAnchor>
    <xdr:from>
      <xdr:col>4</xdr:col>
      <xdr:colOff>183110</xdr:colOff>
      <xdr:row>19</xdr:row>
      <xdr:rowOff>148996</xdr:rowOff>
    </xdr:from>
    <xdr:ext cx="213101" cy="277500"/>
    <xdr:sp macro="" textlink="">
      <xdr:nvSpPr>
        <xdr:cNvPr id="519" name="euro" descr="Euro outline">
          <a:extLst>
            <a:ext uri="{FF2B5EF4-FFF2-40B4-BE49-F238E27FC236}">
              <a16:creationId xmlns:a16="http://schemas.microsoft.com/office/drawing/2014/main" id="{2691F620-E521-43DD-92BF-AF7E85C798A0}"/>
            </a:ext>
          </a:extLst>
        </xdr:cNvPr>
        <xdr:cNvSpPr>
          <a:spLocks noChangeAspect="1"/>
        </xdr:cNvSpPr>
      </xdr:nvSpPr>
      <xdr:spPr>
        <a:xfrm>
          <a:off x="3240635" y="9731146"/>
          <a:ext cx="213101" cy="277500"/>
        </a:xfrm>
        <a:custGeom>
          <a:avLst/>
          <a:gdLst>
            <a:gd name="connsiteX0" fmla="*/ 208976 w 213101"/>
            <a:gd name="connsiteY0" fmla="*/ 248449 h 277500"/>
            <a:gd name="connsiteX1" fmla="*/ 140625 w 213101"/>
            <a:gd name="connsiteY1" fmla="*/ 270000 h 277500"/>
            <a:gd name="connsiteX2" fmla="*/ 42784 w 213101"/>
            <a:gd name="connsiteY2" fmla="*/ 165000 h 277500"/>
            <a:gd name="connsiteX3" fmla="*/ 157500 w 213101"/>
            <a:gd name="connsiteY3" fmla="*/ 165000 h 277500"/>
            <a:gd name="connsiteX4" fmla="*/ 157500 w 213101"/>
            <a:gd name="connsiteY4" fmla="*/ 157500 h 277500"/>
            <a:gd name="connsiteX5" fmla="*/ 42030 w 213101"/>
            <a:gd name="connsiteY5" fmla="*/ 157500 h 277500"/>
            <a:gd name="connsiteX6" fmla="*/ 41250 w 213101"/>
            <a:gd name="connsiteY6" fmla="*/ 138750 h 277500"/>
            <a:gd name="connsiteX7" fmla="*/ 42030 w 213101"/>
            <a:gd name="connsiteY7" fmla="*/ 120000 h 277500"/>
            <a:gd name="connsiteX8" fmla="*/ 157500 w 213101"/>
            <a:gd name="connsiteY8" fmla="*/ 120000 h 277500"/>
            <a:gd name="connsiteX9" fmla="*/ 157500 w 213101"/>
            <a:gd name="connsiteY9" fmla="*/ 112500 h 277500"/>
            <a:gd name="connsiteX10" fmla="*/ 42784 w 213101"/>
            <a:gd name="connsiteY10" fmla="*/ 112500 h 277500"/>
            <a:gd name="connsiteX11" fmla="*/ 140625 w 213101"/>
            <a:gd name="connsiteY11" fmla="*/ 7500 h 277500"/>
            <a:gd name="connsiteX12" fmla="*/ 208950 w 213101"/>
            <a:gd name="connsiteY12" fmla="*/ 29055 h 277500"/>
            <a:gd name="connsiteX13" fmla="*/ 213075 w 213101"/>
            <a:gd name="connsiteY13" fmla="*/ 22804 h 277500"/>
            <a:gd name="connsiteX14" fmla="*/ 140625 w 213101"/>
            <a:gd name="connsiteY14" fmla="*/ 0 h 277500"/>
            <a:gd name="connsiteX15" fmla="*/ 35299 w 213101"/>
            <a:gd name="connsiteY15" fmla="*/ 112500 h 277500"/>
            <a:gd name="connsiteX16" fmla="*/ 0 w 213101"/>
            <a:gd name="connsiteY16" fmla="*/ 112500 h 277500"/>
            <a:gd name="connsiteX17" fmla="*/ 0 w 213101"/>
            <a:gd name="connsiteY17" fmla="*/ 120000 h 277500"/>
            <a:gd name="connsiteX18" fmla="*/ 34541 w 213101"/>
            <a:gd name="connsiteY18" fmla="*/ 120000 h 277500"/>
            <a:gd name="connsiteX19" fmla="*/ 33750 w 213101"/>
            <a:gd name="connsiteY19" fmla="*/ 138750 h 277500"/>
            <a:gd name="connsiteX20" fmla="*/ 34541 w 213101"/>
            <a:gd name="connsiteY20" fmla="*/ 157500 h 277500"/>
            <a:gd name="connsiteX21" fmla="*/ 0 w 213101"/>
            <a:gd name="connsiteY21" fmla="*/ 157500 h 277500"/>
            <a:gd name="connsiteX22" fmla="*/ 0 w 213101"/>
            <a:gd name="connsiteY22" fmla="*/ 165000 h 277500"/>
            <a:gd name="connsiteX23" fmla="*/ 35299 w 213101"/>
            <a:gd name="connsiteY23" fmla="*/ 165000 h 277500"/>
            <a:gd name="connsiteX24" fmla="*/ 140625 w 213101"/>
            <a:gd name="connsiteY24" fmla="*/ 277500 h 277500"/>
            <a:gd name="connsiteX25" fmla="*/ 213101 w 213101"/>
            <a:gd name="connsiteY25" fmla="*/ 254696 h 277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</a:cxnLst>
          <a:rect l="l" t="t" r="r" b="b"/>
          <a:pathLst>
            <a:path w="213101" h="277500">
              <a:moveTo>
                <a:pt x="208976" y="248449"/>
              </a:moveTo>
              <a:cubicBezTo>
                <a:pt x="188813" y="262209"/>
                <a:pt x="165035" y="269707"/>
                <a:pt x="140625" y="270000"/>
              </a:cubicBezTo>
              <a:cubicBezTo>
                <a:pt x="87176" y="270000"/>
                <a:pt x="50494" y="229594"/>
                <a:pt x="42784" y="165000"/>
              </a:cubicBezTo>
              <a:lnTo>
                <a:pt x="157500" y="165000"/>
              </a:lnTo>
              <a:lnTo>
                <a:pt x="157500" y="157500"/>
              </a:lnTo>
              <a:lnTo>
                <a:pt x="42030" y="157500"/>
              </a:lnTo>
              <a:cubicBezTo>
                <a:pt x="41531" y="151436"/>
                <a:pt x="41250" y="145196"/>
                <a:pt x="41250" y="138750"/>
              </a:cubicBezTo>
              <a:cubicBezTo>
                <a:pt x="41250" y="132304"/>
                <a:pt x="41531" y="126064"/>
                <a:pt x="42030" y="120000"/>
              </a:cubicBezTo>
              <a:lnTo>
                <a:pt x="157500" y="120000"/>
              </a:lnTo>
              <a:lnTo>
                <a:pt x="157500" y="112500"/>
              </a:lnTo>
              <a:lnTo>
                <a:pt x="42784" y="112500"/>
              </a:lnTo>
              <a:cubicBezTo>
                <a:pt x="50494" y="47903"/>
                <a:pt x="87176" y="7500"/>
                <a:pt x="140625" y="7500"/>
              </a:cubicBezTo>
              <a:cubicBezTo>
                <a:pt x="165026" y="7800"/>
                <a:pt x="188795" y="15299"/>
                <a:pt x="208950" y="29055"/>
              </a:cubicBezTo>
              <a:lnTo>
                <a:pt x="213075" y="22804"/>
              </a:lnTo>
              <a:cubicBezTo>
                <a:pt x="191697" y="8234"/>
                <a:pt x="166494" y="302"/>
                <a:pt x="140625" y="0"/>
              </a:cubicBezTo>
              <a:cubicBezTo>
                <a:pt x="83704" y="0"/>
                <a:pt x="43448" y="44228"/>
                <a:pt x="35299" y="112500"/>
              </a:cubicBezTo>
              <a:lnTo>
                <a:pt x="0" y="112500"/>
              </a:lnTo>
              <a:lnTo>
                <a:pt x="0" y="120000"/>
              </a:lnTo>
              <a:lnTo>
                <a:pt x="34541" y="120000"/>
              </a:lnTo>
              <a:cubicBezTo>
                <a:pt x="34035" y="126086"/>
                <a:pt x="33750" y="132326"/>
                <a:pt x="33750" y="138750"/>
              </a:cubicBezTo>
              <a:cubicBezTo>
                <a:pt x="33750" y="145174"/>
                <a:pt x="34035" y="151414"/>
                <a:pt x="34541" y="157500"/>
              </a:cubicBezTo>
              <a:lnTo>
                <a:pt x="0" y="157500"/>
              </a:lnTo>
              <a:lnTo>
                <a:pt x="0" y="165000"/>
              </a:lnTo>
              <a:lnTo>
                <a:pt x="35299" y="165000"/>
              </a:lnTo>
              <a:cubicBezTo>
                <a:pt x="43448" y="233273"/>
                <a:pt x="83704" y="277500"/>
                <a:pt x="140625" y="277500"/>
              </a:cubicBezTo>
              <a:cubicBezTo>
                <a:pt x="166503" y="277206"/>
                <a:pt x="191717" y="269273"/>
                <a:pt x="213101" y="254696"/>
              </a:cubicBezTo>
              <a:close/>
            </a:path>
          </a:pathLst>
        </a:custGeom>
        <a:solidFill>
          <a:srgbClr val="1F4E78"/>
        </a:solidFill>
        <a:ln w="3671" cap="flat">
          <a:noFill/>
          <a:prstDash val="solid"/>
          <a:miter/>
        </a:ln>
      </xdr:spPr>
      <xdr:txBody>
        <a:bodyPr lIns="0" tIns="0" rIns="0" bIns="0" rtlCol="0" anchor="ctr"/>
        <a:lstStyle/>
        <a:p>
          <a:endParaRPr lang="en-US"/>
        </a:p>
      </xdr:txBody>
    </xdr:sp>
    <xdr:clientData/>
  </xdr:oneCellAnchor>
  <xdr:oneCellAnchor>
    <xdr:from>
      <xdr:col>10</xdr:col>
      <xdr:colOff>158563</xdr:colOff>
      <xdr:row>19</xdr:row>
      <xdr:rowOff>141485</xdr:rowOff>
    </xdr:from>
    <xdr:ext cx="275854" cy="292522"/>
    <xdr:grpSp>
      <xdr:nvGrpSpPr>
        <xdr:cNvPr id="520" name="scientist" descr="Scientist male outline">
          <a:extLst>
            <a:ext uri="{FF2B5EF4-FFF2-40B4-BE49-F238E27FC236}">
              <a16:creationId xmlns:a16="http://schemas.microsoft.com/office/drawing/2014/main" id="{6F14E6B6-2745-474D-A1DD-D56ED60E1C19}"/>
            </a:ext>
          </a:extLst>
        </xdr:cNvPr>
        <xdr:cNvGrpSpPr>
          <a:grpSpLocks noChangeAspect="1"/>
        </xdr:cNvGrpSpPr>
      </xdr:nvGrpSpPr>
      <xdr:grpSpPr>
        <a:xfrm>
          <a:off x="9169213" y="9952235"/>
          <a:ext cx="275854" cy="292522"/>
          <a:chOff x="14949349" y="8995338"/>
          <a:chExt cx="275854" cy="292522"/>
        </a:xfrm>
        <a:solidFill>
          <a:srgbClr val="1F4E78"/>
        </a:solidFill>
      </xdr:grpSpPr>
      <xdr:sp macro="" textlink="">
        <xdr:nvSpPr>
          <xdr:cNvPr id="521" name="Freeform: Shape 520">
            <a:extLst>
              <a:ext uri="{FF2B5EF4-FFF2-40B4-BE49-F238E27FC236}">
                <a16:creationId xmlns:a16="http://schemas.microsoft.com/office/drawing/2014/main" id="{233FE3F6-A31E-4B8D-9BD5-486B2D63E0BA}"/>
              </a:ext>
            </a:extLst>
          </xdr:cNvPr>
          <xdr:cNvSpPr/>
        </xdr:nvSpPr>
        <xdr:spPr>
          <a:xfrm>
            <a:off x="15017394" y="8995338"/>
            <a:ext cx="207809" cy="292522"/>
          </a:xfrm>
          <a:custGeom>
            <a:avLst/>
            <a:gdLst>
              <a:gd name="connsiteX0" fmla="*/ 195099 w 207809"/>
              <a:gd name="connsiteY0" fmla="*/ 184609 h 292522"/>
              <a:gd name="connsiteX1" fmla="*/ 147975 w 207809"/>
              <a:gd name="connsiteY1" fmla="*/ 160470 h 292522"/>
              <a:gd name="connsiteX2" fmla="*/ 130410 w 207809"/>
              <a:gd name="connsiteY2" fmla="*/ 153315 h 292522"/>
              <a:gd name="connsiteX3" fmla="*/ 129851 w 207809"/>
              <a:gd name="connsiteY3" fmla="*/ 153030 h 292522"/>
              <a:gd name="connsiteX4" fmla="*/ 129473 w 207809"/>
              <a:gd name="connsiteY4" fmla="*/ 152933 h 292522"/>
              <a:gd name="connsiteX5" fmla="*/ 129401 w 207809"/>
              <a:gd name="connsiteY5" fmla="*/ 152903 h 292522"/>
              <a:gd name="connsiteX6" fmla="*/ 124716 w 207809"/>
              <a:gd name="connsiteY6" fmla="*/ 145965 h 292522"/>
              <a:gd name="connsiteX7" fmla="*/ 124716 w 207809"/>
              <a:gd name="connsiteY7" fmla="*/ 134914 h 292522"/>
              <a:gd name="connsiteX8" fmla="*/ 147394 w 207809"/>
              <a:gd name="connsiteY8" fmla="*/ 90000 h 292522"/>
              <a:gd name="connsiteX9" fmla="*/ 147394 w 207809"/>
              <a:gd name="connsiteY9" fmla="*/ 87533 h 292522"/>
              <a:gd name="connsiteX10" fmla="*/ 155668 w 207809"/>
              <a:gd name="connsiteY10" fmla="*/ 76984 h 292522"/>
              <a:gd name="connsiteX11" fmla="*/ 159866 w 207809"/>
              <a:gd name="connsiteY11" fmla="*/ 62149 h 292522"/>
              <a:gd name="connsiteX12" fmla="*/ 121508 w 207809"/>
              <a:gd name="connsiteY12" fmla="*/ 6870 h 292522"/>
              <a:gd name="connsiteX13" fmla="*/ 112621 w 207809"/>
              <a:gd name="connsiteY13" fmla="*/ 7620 h 292522"/>
              <a:gd name="connsiteX14" fmla="*/ 112621 w 207809"/>
              <a:gd name="connsiteY14" fmla="*/ 7620 h 292522"/>
              <a:gd name="connsiteX15" fmla="*/ 112153 w 207809"/>
              <a:gd name="connsiteY15" fmla="*/ 7943 h 292522"/>
              <a:gd name="connsiteX16" fmla="*/ 110464 w 207809"/>
              <a:gd name="connsiteY16" fmla="*/ 5651 h 292522"/>
              <a:gd name="connsiteX17" fmla="*/ 103058 w 207809"/>
              <a:gd name="connsiteY17" fmla="*/ 1013 h 292522"/>
              <a:gd name="connsiteX18" fmla="*/ 91493 w 207809"/>
              <a:gd name="connsiteY18" fmla="*/ 0 h 292522"/>
              <a:gd name="connsiteX19" fmla="*/ 24011 w 207809"/>
              <a:gd name="connsiteY19" fmla="*/ 55523 h 292522"/>
              <a:gd name="connsiteX20" fmla="*/ 23872 w 207809"/>
              <a:gd name="connsiteY20" fmla="*/ 56273 h 292522"/>
              <a:gd name="connsiteX21" fmla="*/ 14207 w 207809"/>
              <a:gd name="connsiteY21" fmla="*/ 79875 h 292522"/>
              <a:gd name="connsiteX22" fmla="*/ 15252 w 207809"/>
              <a:gd name="connsiteY22" fmla="*/ 85076 h 292522"/>
              <a:gd name="connsiteX23" fmla="*/ 17350 w 207809"/>
              <a:gd name="connsiteY23" fmla="*/ 85706 h 292522"/>
              <a:gd name="connsiteX24" fmla="*/ 34039 w 207809"/>
              <a:gd name="connsiteY24" fmla="*/ 85706 h 292522"/>
              <a:gd name="connsiteX25" fmla="*/ 34039 w 207809"/>
              <a:gd name="connsiteY25" fmla="*/ 90000 h 292522"/>
              <a:gd name="connsiteX26" fmla="*/ 56675 w 207809"/>
              <a:gd name="connsiteY26" fmla="*/ 134884 h 292522"/>
              <a:gd name="connsiteX27" fmla="*/ 56675 w 207809"/>
              <a:gd name="connsiteY27" fmla="*/ 145965 h 292522"/>
              <a:gd name="connsiteX28" fmla="*/ 51986 w 207809"/>
              <a:gd name="connsiteY28" fmla="*/ 152903 h 292522"/>
              <a:gd name="connsiteX29" fmla="*/ 33367 w 207809"/>
              <a:gd name="connsiteY29" fmla="*/ 160500 h 292522"/>
              <a:gd name="connsiteX30" fmla="*/ 0 w 207809"/>
              <a:gd name="connsiteY30" fmla="*/ 175241 h 292522"/>
              <a:gd name="connsiteX31" fmla="*/ 0 w 207809"/>
              <a:gd name="connsiteY31" fmla="*/ 184088 h 292522"/>
              <a:gd name="connsiteX32" fmla="*/ 32951 w 207809"/>
              <a:gd name="connsiteY32" fmla="*/ 168615 h 292522"/>
              <a:gd name="connsiteX33" fmla="*/ 25066 w 207809"/>
              <a:gd name="connsiteY33" fmla="*/ 203599 h 292522"/>
              <a:gd name="connsiteX34" fmla="*/ 27925 w 207809"/>
              <a:gd name="connsiteY34" fmla="*/ 208079 h 292522"/>
              <a:gd name="connsiteX35" fmla="*/ 28749 w 207809"/>
              <a:gd name="connsiteY35" fmla="*/ 208170 h 292522"/>
              <a:gd name="connsiteX36" fmla="*/ 45605 w 207809"/>
              <a:gd name="connsiteY36" fmla="*/ 208170 h 292522"/>
              <a:gd name="connsiteX37" fmla="*/ 36915 w 207809"/>
              <a:gd name="connsiteY37" fmla="*/ 224794 h 292522"/>
              <a:gd name="connsiteX38" fmla="*/ 38018 w 207809"/>
              <a:gd name="connsiteY38" fmla="*/ 229530 h 292522"/>
              <a:gd name="connsiteX39" fmla="*/ 87038 w 207809"/>
              <a:gd name="connsiteY39" fmla="*/ 265654 h 292522"/>
              <a:gd name="connsiteX40" fmla="*/ 87038 w 207809"/>
              <a:gd name="connsiteY40" fmla="*/ 285154 h 292522"/>
              <a:gd name="connsiteX41" fmla="*/ 24646 w 207809"/>
              <a:gd name="connsiteY41" fmla="*/ 281134 h 292522"/>
              <a:gd name="connsiteX42" fmla="*/ 20309 w 207809"/>
              <a:gd name="connsiteY42" fmla="*/ 287921 h 292522"/>
              <a:gd name="connsiteX43" fmla="*/ 91893 w 207809"/>
              <a:gd name="connsiteY43" fmla="*/ 292515 h 292522"/>
              <a:gd name="connsiteX44" fmla="*/ 206275 w 207809"/>
              <a:gd name="connsiteY44" fmla="*/ 274868 h 292522"/>
              <a:gd name="connsiteX45" fmla="*/ 207809 w 207809"/>
              <a:gd name="connsiteY45" fmla="*/ 273750 h 292522"/>
              <a:gd name="connsiteX46" fmla="*/ 207809 w 207809"/>
              <a:gd name="connsiteY46" fmla="*/ 209933 h 292522"/>
              <a:gd name="connsiteX47" fmla="*/ 195099 w 207809"/>
              <a:gd name="connsiteY47" fmla="*/ 184609 h 292522"/>
              <a:gd name="connsiteX48" fmla="*/ 129053 w 207809"/>
              <a:gd name="connsiteY48" fmla="*/ 165203 h 292522"/>
              <a:gd name="connsiteX49" fmla="*/ 130047 w 207809"/>
              <a:gd name="connsiteY49" fmla="*/ 162356 h 292522"/>
              <a:gd name="connsiteX50" fmla="*/ 130285 w 207809"/>
              <a:gd name="connsiteY50" fmla="*/ 161670 h 292522"/>
              <a:gd name="connsiteX51" fmla="*/ 140453 w 207809"/>
              <a:gd name="connsiteY51" fmla="*/ 166811 h 292522"/>
              <a:gd name="connsiteX52" fmla="*/ 148081 w 207809"/>
              <a:gd name="connsiteY52" fmla="*/ 200670 h 292522"/>
              <a:gd name="connsiteX53" fmla="*/ 129734 w 207809"/>
              <a:gd name="connsiteY53" fmla="*/ 200670 h 292522"/>
              <a:gd name="connsiteX54" fmla="*/ 125955 w 207809"/>
              <a:gd name="connsiteY54" fmla="*/ 204420 h 292522"/>
              <a:gd name="connsiteX55" fmla="*/ 126378 w 207809"/>
              <a:gd name="connsiteY55" fmla="*/ 206145 h 292522"/>
              <a:gd name="connsiteX56" fmla="*/ 136429 w 207809"/>
              <a:gd name="connsiteY56" fmla="*/ 225409 h 292522"/>
              <a:gd name="connsiteX57" fmla="*/ 98286 w 207809"/>
              <a:gd name="connsiteY57" fmla="*/ 253534 h 292522"/>
              <a:gd name="connsiteX58" fmla="*/ 123518 w 207809"/>
              <a:gd name="connsiteY58" fmla="*/ 158149 h 292522"/>
              <a:gd name="connsiteX59" fmla="*/ 122645 w 207809"/>
              <a:gd name="connsiteY59" fmla="*/ 160658 h 292522"/>
              <a:gd name="connsiteX60" fmla="*/ 90722 w 207809"/>
              <a:gd name="connsiteY60" fmla="*/ 168750 h 292522"/>
              <a:gd name="connsiteX61" fmla="*/ 58942 w 207809"/>
              <a:gd name="connsiteY61" fmla="*/ 160755 h 292522"/>
              <a:gd name="connsiteX62" fmla="*/ 58002 w 207809"/>
              <a:gd name="connsiteY62" fmla="*/ 158055 h 292522"/>
              <a:gd name="connsiteX63" fmla="*/ 64232 w 207809"/>
              <a:gd name="connsiteY63" fmla="*/ 145965 h 292522"/>
              <a:gd name="connsiteX64" fmla="*/ 64232 w 207809"/>
              <a:gd name="connsiteY64" fmla="*/ 139710 h 292522"/>
              <a:gd name="connsiteX65" fmla="*/ 117152 w 207809"/>
              <a:gd name="connsiteY65" fmla="*/ 139729 h 292522"/>
              <a:gd name="connsiteX66" fmla="*/ 117152 w 207809"/>
              <a:gd name="connsiteY66" fmla="*/ 145965 h 292522"/>
              <a:gd name="connsiteX67" fmla="*/ 123518 w 207809"/>
              <a:gd name="connsiteY67" fmla="*/ 158149 h 292522"/>
              <a:gd name="connsiteX68" fmla="*/ 24019 w 207809"/>
              <a:gd name="connsiteY68" fmla="*/ 78191 h 292522"/>
              <a:gd name="connsiteX69" fmla="*/ 31304 w 207809"/>
              <a:gd name="connsiteY69" fmla="*/ 57645 h 292522"/>
              <a:gd name="connsiteX70" fmla="*/ 31440 w 207809"/>
              <a:gd name="connsiteY70" fmla="*/ 56895 h 292522"/>
              <a:gd name="connsiteX71" fmla="*/ 101770 w 207809"/>
              <a:gd name="connsiteY71" fmla="*/ 8393 h 292522"/>
              <a:gd name="connsiteX72" fmla="*/ 104358 w 207809"/>
              <a:gd name="connsiteY72" fmla="*/ 10069 h 292522"/>
              <a:gd name="connsiteX73" fmla="*/ 108223 w 207809"/>
              <a:gd name="connsiteY73" fmla="*/ 15319 h 292522"/>
              <a:gd name="connsiteX74" fmla="*/ 113434 w 207809"/>
              <a:gd name="connsiteY74" fmla="*/ 16185 h 292522"/>
              <a:gd name="connsiteX75" fmla="*/ 116933 w 207809"/>
              <a:gd name="connsiteY75" fmla="*/ 13766 h 292522"/>
              <a:gd name="connsiteX76" fmla="*/ 118202 w 207809"/>
              <a:gd name="connsiteY76" fmla="*/ 13613 h 292522"/>
              <a:gd name="connsiteX77" fmla="*/ 152355 w 207809"/>
              <a:gd name="connsiteY77" fmla="*/ 62801 h 292522"/>
              <a:gd name="connsiteX78" fmla="*/ 149710 w 207809"/>
              <a:gd name="connsiteY78" fmla="*/ 72405 h 292522"/>
              <a:gd name="connsiteX79" fmla="*/ 147016 w 207809"/>
              <a:gd name="connsiteY79" fmla="*/ 75833 h 292522"/>
              <a:gd name="connsiteX80" fmla="*/ 140389 w 207809"/>
              <a:gd name="connsiteY80" fmla="*/ 61875 h 292522"/>
              <a:gd name="connsiteX81" fmla="*/ 127561 w 207809"/>
              <a:gd name="connsiteY81" fmla="*/ 47269 h 292522"/>
              <a:gd name="connsiteX82" fmla="*/ 123764 w 207809"/>
              <a:gd name="connsiteY82" fmla="*/ 46106 h 292522"/>
              <a:gd name="connsiteX83" fmla="*/ 107717 w 207809"/>
              <a:gd name="connsiteY83" fmla="*/ 59153 h 292522"/>
              <a:gd name="connsiteX84" fmla="*/ 71823 w 207809"/>
              <a:gd name="connsiteY84" fmla="*/ 78180 h 292522"/>
              <a:gd name="connsiteX85" fmla="*/ 41596 w 207809"/>
              <a:gd name="connsiteY85" fmla="*/ 90000 h 292522"/>
              <a:gd name="connsiteX86" fmla="*/ 41596 w 207809"/>
              <a:gd name="connsiteY86" fmla="*/ 85691 h 292522"/>
              <a:gd name="connsiteX87" fmla="*/ 71823 w 207809"/>
              <a:gd name="connsiteY87" fmla="*/ 85691 h 292522"/>
              <a:gd name="connsiteX88" fmla="*/ 113626 w 207809"/>
              <a:gd name="connsiteY88" fmla="*/ 63844 h 292522"/>
              <a:gd name="connsiteX89" fmla="*/ 123579 w 207809"/>
              <a:gd name="connsiteY89" fmla="*/ 54154 h 292522"/>
              <a:gd name="connsiteX90" fmla="*/ 134698 w 207809"/>
              <a:gd name="connsiteY90" fmla="*/ 66814 h 292522"/>
              <a:gd name="connsiteX91" fmla="*/ 139837 w 207809"/>
              <a:gd name="connsiteY91" fmla="*/ 80415 h 292522"/>
              <a:gd name="connsiteX92" fmla="*/ 139837 w 207809"/>
              <a:gd name="connsiteY92" fmla="*/ 86258 h 292522"/>
              <a:gd name="connsiteX93" fmla="*/ 139837 w 207809"/>
              <a:gd name="connsiteY93" fmla="*/ 90008 h 292522"/>
              <a:gd name="connsiteX94" fmla="*/ 90718 w 207809"/>
              <a:gd name="connsiteY94" fmla="*/ 138758 h 292522"/>
              <a:gd name="connsiteX95" fmla="*/ 90718 w 207809"/>
              <a:gd name="connsiteY95" fmla="*/ 138758 h 292522"/>
              <a:gd name="connsiteX96" fmla="*/ 41596 w 207809"/>
              <a:gd name="connsiteY96" fmla="*/ 90000 h 292522"/>
              <a:gd name="connsiteX97" fmla="*/ 45132 w 207809"/>
              <a:gd name="connsiteY97" fmla="*/ 225401 h 292522"/>
              <a:gd name="connsiteX98" fmla="*/ 55187 w 207809"/>
              <a:gd name="connsiteY98" fmla="*/ 206134 h 292522"/>
              <a:gd name="connsiteX99" fmla="*/ 53570 w 207809"/>
              <a:gd name="connsiteY99" fmla="*/ 201079 h 292522"/>
              <a:gd name="connsiteX100" fmla="*/ 51835 w 207809"/>
              <a:gd name="connsiteY100" fmla="*/ 200659 h 292522"/>
              <a:gd name="connsiteX101" fmla="*/ 33480 w 207809"/>
              <a:gd name="connsiteY101" fmla="*/ 200659 h 292522"/>
              <a:gd name="connsiteX102" fmla="*/ 41116 w 207809"/>
              <a:gd name="connsiteY102" fmla="*/ 166800 h 292522"/>
              <a:gd name="connsiteX103" fmla="*/ 51276 w 207809"/>
              <a:gd name="connsiteY103" fmla="*/ 161659 h 292522"/>
              <a:gd name="connsiteX104" fmla="*/ 51480 w 207809"/>
              <a:gd name="connsiteY104" fmla="*/ 162248 h 292522"/>
              <a:gd name="connsiteX105" fmla="*/ 52561 w 207809"/>
              <a:gd name="connsiteY105" fmla="*/ 165341 h 292522"/>
              <a:gd name="connsiteX106" fmla="*/ 83279 w 207809"/>
              <a:gd name="connsiteY106" fmla="*/ 253507 h 292522"/>
              <a:gd name="connsiteX107" fmla="*/ 90783 w 207809"/>
              <a:gd name="connsiteY107" fmla="*/ 252098 h 292522"/>
              <a:gd name="connsiteX108" fmla="*/ 62558 w 207809"/>
              <a:gd name="connsiteY108" fmla="*/ 171098 h 292522"/>
              <a:gd name="connsiteX109" fmla="*/ 119018 w 207809"/>
              <a:gd name="connsiteY109" fmla="*/ 171045 h 292522"/>
              <a:gd name="connsiteX110" fmla="*/ 200253 w 207809"/>
              <a:gd name="connsiteY110" fmla="*/ 269910 h 292522"/>
              <a:gd name="connsiteX111" fmla="*/ 94625 w 207809"/>
              <a:gd name="connsiteY111" fmla="*/ 285176 h 292522"/>
              <a:gd name="connsiteX112" fmla="*/ 94625 w 207809"/>
              <a:gd name="connsiteY112" fmla="*/ 265556 h 292522"/>
              <a:gd name="connsiteX113" fmla="*/ 143513 w 207809"/>
              <a:gd name="connsiteY113" fmla="*/ 229530 h 292522"/>
              <a:gd name="connsiteX114" fmla="*/ 144617 w 207809"/>
              <a:gd name="connsiteY114" fmla="*/ 224794 h 292522"/>
              <a:gd name="connsiteX115" fmla="*/ 135926 w 207809"/>
              <a:gd name="connsiteY115" fmla="*/ 208170 h 292522"/>
              <a:gd name="connsiteX116" fmla="*/ 152797 w 207809"/>
              <a:gd name="connsiteY116" fmla="*/ 208170 h 292522"/>
              <a:gd name="connsiteX117" fmla="*/ 156576 w 207809"/>
              <a:gd name="connsiteY117" fmla="*/ 204421 h 292522"/>
              <a:gd name="connsiteX118" fmla="*/ 156484 w 207809"/>
              <a:gd name="connsiteY118" fmla="*/ 203599 h 292522"/>
              <a:gd name="connsiteX119" fmla="*/ 148614 w 207809"/>
              <a:gd name="connsiteY119" fmla="*/ 168683 h 292522"/>
              <a:gd name="connsiteX120" fmla="*/ 190380 w 207809"/>
              <a:gd name="connsiteY120" fmla="*/ 190466 h 292522"/>
              <a:gd name="connsiteX121" fmla="*/ 200253 w 207809"/>
              <a:gd name="connsiteY121" fmla="*/ 210000 h 29252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</a:cxnLst>
            <a:rect l="l" t="t" r="r" b="b"/>
            <a:pathLst>
              <a:path w="207809" h="292522">
                <a:moveTo>
                  <a:pt x="195099" y="184609"/>
                </a:moveTo>
                <a:cubicBezTo>
                  <a:pt x="181391" y="173479"/>
                  <a:pt x="165107" y="166545"/>
                  <a:pt x="147975" y="160470"/>
                </a:cubicBezTo>
                <a:lnTo>
                  <a:pt x="130410" y="153315"/>
                </a:lnTo>
                <a:lnTo>
                  <a:pt x="129851" y="153030"/>
                </a:lnTo>
                <a:cubicBezTo>
                  <a:pt x="129727" y="152990"/>
                  <a:pt x="129601" y="152957"/>
                  <a:pt x="129473" y="152933"/>
                </a:cubicBezTo>
                <a:lnTo>
                  <a:pt x="129401" y="152903"/>
                </a:lnTo>
                <a:cubicBezTo>
                  <a:pt x="126561" y="151754"/>
                  <a:pt x="124706" y="149009"/>
                  <a:pt x="124716" y="145965"/>
                </a:cubicBezTo>
                <a:lnTo>
                  <a:pt x="124716" y="134914"/>
                </a:lnTo>
                <a:cubicBezTo>
                  <a:pt x="138978" y="124322"/>
                  <a:pt x="147381" y="107680"/>
                  <a:pt x="147394" y="90000"/>
                </a:cubicBezTo>
                <a:lnTo>
                  <a:pt x="147394" y="87533"/>
                </a:lnTo>
                <a:lnTo>
                  <a:pt x="155668" y="76984"/>
                </a:lnTo>
                <a:cubicBezTo>
                  <a:pt x="158961" y="72770"/>
                  <a:pt x="160467" y="67448"/>
                  <a:pt x="159866" y="62149"/>
                </a:cubicBezTo>
                <a:cubicBezTo>
                  <a:pt x="157685" y="38338"/>
                  <a:pt x="143144" y="17383"/>
                  <a:pt x="121508" y="6870"/>
                </a:cubicBezTo>
                <a:cubicBezTo>
                  <a:pt x="118627" y="5505"/>
                  <a:pt x="115228" y="5792"/>
                  <a:pt x="112621" y="7620"/>
                </a:cubicBezTo>
                <a:lnTo>
                  <a:pt x="112621" y="7620"/>
                </a:lnTo>
                <a:lnTo>
                  <a:pt x="112153" y="7943"/>
                </a:lnTo>
                <a:lnTo>
                  <a:pt x="110464" y="5651"/>
                </a:lnTo>
                <a:cubicBezTo>
                  <a:pt x="108699" y="3206"/>
                  <a:pt x="106042" y="1541"/>
                  <a:pt x="103058" y="1013"/>
                </a:cubicBezTo>
                <a:cubicBezTo>
                  <a:pt x="99239" y="348"/>
                  <a:pt x="95370" y="9"/>
                  <a:pt x="91493" y="0"/>
                </a:cubicBezTo>
                <a:cubicBezTo>
                  <a:pt x="58474" y="-4"/>
                  <a:pt x="30127" y="23318"/>
                  <a:pt x="24011" y="55523"/>
                </a:cubicBezTo>
                <a:lnTo>
                  <a:pt x="23872" y="56273"/>
                </a:lnTo>
                <a:cubicBezTo>
                  <a:pt x="22298" y="64710"/>
                  <a:pt x="19009" y="72740"/>
                  <a:pt x="14207" y="79875"/>
                </a:cubicBezTo>
                <a:cubicBezTo>
                  <a:pt x="13049" y="81598"/>
                  <a:pt x="13517" y="83926"/>
                  <a:pt x="15252" y="85076"/>
                </a:cubicBezTo>
                <a:cubicBezTo>
                  <a:pt x="15874" y="85487"/>
                  <a:pt x="16604" y="85706"/>
                  <a:pt x="17350" y="85706"/>
                </a:cubicBezTo>
                <a:lnTo>
                  <a:pt x="34039" y="85706"/>
                </a:lnTo>
                <a:lnTo>
                  <a:pt x="34039" y="90000"/>
                </a:lnTo>
                <a:cubicBezTo>
                  <a:pt x="34049" y="107663"/>
                  <a:pt x="42435" y="124291"/>
                  <a:pt x="56675" y="134884"/>
                </a:cubicBezTo>
                <a:lnTo>
                  <a:pt x="56675" y="145965"/>
                </a:lnTo>
                <a:cubicBezTo>
                  <a:pt x="56683" y="149010"/>
                  <a:pt x="54828" y="151755"/>
                  <a:pt x="51986" y="152903"/>
                </a:cubicBezTo>
                <a:lnTo>
                  <a:pt x="33367" y="160500"/>
                </a:lnTo>
                <a:cubicBezTo>
                  <a:pt x="21808" y="164376"/>
                  <a:pt x="10638" y="169311"/>
                  <a:pt x="0" y="175241"/>
                </a:cubicBezTo>
                <a:lnTo>
                  <a:pt x="0" y="184088"/>
                </a:lnTo>
                <a:cubicBezTo>
                  <a:pt x="10386" y="177759"/>
                  <a:pt x="21435" y="172572"/>
                  <a:pt x="32951" y="168615"/>
                </a:cubicBezTo>
                <a:lnTo>
                  <a:pt x="25066" y="203599"/>
                </a:lnTo>
                <a:cubicBezTo>
                  <a:pt x="24609" y="205620"/>
                  <a:pt x="25889" y="207626"/>
                  <a:pt x="27925" y="208079"/>
                </a:cubicBezTo>
                <a:cubicBezTo>
                  <a:pt x="28196" y="208139"/>
                  <a:pt x="28472" y="208170"/>
                  <a:pt x="28749" y="208170"/>
                </a:cubicBezTo>
                <a:lnTo>
                  <a:pt x="45605" y="208170"/>
                </a:lnTo>
                <a:lnTo>
                  <a:pt x="36915" y="224794"/>
                </a:lnTo>
                <a:cubicBezTo>
                  <a:pt x="36062" y="226427"/>
                  <a:pt x="36529" y="228434"/>
                  <a:pt x="38018" y="229530"/>
                </a:cubicBezTo>
                <a:lnTo>
                  <a:pt x="87038" y="265654"/>
                </a:lnTo>
                <a:lnTo>
                  <a:pt x="87038" y="285154"/>
                </a:lnTo>
                <a:cubicBezTo>
                  <a:pt x="66178" y="285075"/>
                  <a:pt x="45342" y="283732"/>
                  <a:pt x="24646" y="281134"/>
                </a:cubicBezTo>
                <a:cubicBezTo>
                  <a:pt x="23684" y="283667"/>
                  <a:pt x="22208" y="285978"/>
                  <a:pt x="20309" y="287921"/>
                </a:cubicBezTo>
                <a:cubicBezTo>
                  <a:pt x="44033" y="291107"/>
                  <a:pt x="67953" y="292642"/>
                  <a:pt x="91893" y="292515"/>
                </a:cubicBezTo>
                <a:cubicBezTo>
                  <a:pt x="141390" y="292515"/>
                  <a:pt x="190486" y="286628"/>
                  <a:pt x="206275" y="274868"/>
                </a:cubicBezTo>
                <a:lnTo>
                  <a:pt x="207809" y="273750"/>
                </a:lnTo>
                <a:lnTo>
                  <a:pt x="207809" y="209933"/>
                </a:lnTo>
                <a:cubicBezTo>
                  <a:pt x="207623" y="200024"/>
                  <a:pt x="202955" y="190725"/>
                  <a:pt x="195099" y="184609"/>
                </a:cubicBezTo>
                <a:close/>
                <a:moveTo>
                  <a:pt x="129053" y="165203"/>
                </a:moveTo>
                <a:lnTo>
                  <a:pt x="130047" y="162356"/>
                </a:lnTo>
                <a:lnTo>
                  <a:pt x="130285" y="161670"/>
                </a:lnTo>
                <a:lnTo>
                  <a:pt x="140453" y="166811"/>
                </a:lnTo>
                <a:lnTo>
                  <a:pt x="148081" y="200670"/>
                </a:lnTo>
                <a:lnTo>
                  <a:pt x="129734" y="200670"/>
                </a:lnTo>
                <a:cubicBezTo>
                  <a:pt x="127647" y="200670"/>
                  <a:pt x="125955" y="202349"/>
                  <a:pt x="125955" y="204420"/>
                </a:cubicBezTo>
                <a:cubicBezTo>
                  <a:pt x="125955" y="205020"/>
                  <a:pt x="126100" y="205612"/>
                  <a:pt x="126378" y="206145"/>
                </a:cubicBezTo>
                <a:lnTo>
                  <a:pt x="136429" y="225409"/>
                </a:lnTo>
                <a:lnTo>
                  <a:pt x="98286" y="253534"/>
                </a:lnTo>
                <a:close/>
                <a:moveTo>
                  <a:pt x="123518" y="158149"/>
                </a:moveTo>
                <a:lnTo>
                  <a:pt x="122645" y="160658"/>
                </a:lnTo>
                <a:cubicBezTo>
                  <a:pt x="112988" y="166293"/>
                  <a:pt x="101920" y="169098"/>
                  <a:pt x="90722" y="168750"/>
                </a:cubicBezTo>
                <a:cubicBezTo>
                  <a:pt x="79583" y="169090"/>
                  <a:pt x="68573" y="166320"/>
                  <a:pt x="58942" y="160755"/>
                </a:cubicBezTo>
                <a:lnTo>
                  <a:pt x="58002" y="158055"/>
                </a:lnTo>
                <a:cubicBezTo>
                  <a:pt x="61914" y="155252"/>
                  <a:pt x="64232" y="150754"/>
                  <a:pt x="64232" y="145965"/>
                </a:cubicBezTo>
                <a:lnTo>
                  <a:pt x="64232" y="139710"/>
                </a:lnTo>
                <a:cubicBezTo>
                  <a:pt x="80774" y="148439"/>
                  <a:pt x="100603" y="148446"/>
                  <a:pt x="117152" y="139729"/>
                </a:cubicBezTo>
                <a:lnTo>
                  <a:pt x="117152" y="145965"/>
                </a:lnTo>
                <a:cubicBezTo>
                  <a:pt x="117151" y="150812"/>
                  <a:pt x="119526" y="155357"/>
                  <a:pt x="123518" y="158149"/>
                </a:cubicBezTo>
                <a:close/>
                <a:moveTo>
                  <a:pt x="24019" y="78191"/>
                </a:moveTo>
                <a:cubicBezTo>
                  <a:pt x="27504" y="71758"/>
                  <a:pt x="29962" y="64827"/>
                  <a:pt x="31304" y="57645"/>
                </a:cubicBezTo>
                <a:lnTo>
                  <a:pt x="31440" y="56895"/>
                </a:lnTo>
                <a:cubicBezTo>
                  <a:pt x="37562" y="24351"/>
                  <a:pt x="68904" y="2737"/>
                  <a:pt x="101770" y="8393"/>
                </a:cubicBezTo>
                <a:cubicBezTo>
                  <a:pt x="102817" y="8603"/>
                  <a:pt x="103743" y="9203"/>
                  <a:pt x="104358" y="10069"/>
                </a:cubicBezTo>
                <a:lnTo>
                  <a:pt x="108223" y="15319"/>
                </a:lnTo>
                <a:cubicBezTo>
                  <a:pt x="109434" y="16965"/>
                  <a:pt x="111748" y="17350"/>
                  <a:pt x="113434" y="16185"/>
                </a:cubicBezTo>
                <a:lnTo>
                  <a:pt x="116933" y="13766"/>
                </a:lnTo>
                <a:cubicBezTo>
                  <a:pt x="117300" y="13500"/>
                  <a:pt x="117781" y="13442"/>
                  <a:pt x="118202" y="13613"/>
                </a:cubicBezTo>
                <a:cubicBezTo>
                  <a:pt x="137460" y="22965"/>
                  <a:pt x="150406" y="41611"/>
                  <a:pt x="152355" y="62801"/>
                </a:cubicBezTo>
                <a:cubicBezTo>
                  <a:pt x="152794" y="66224"/>
                  <a:pt x="151842" y="69680"/>
                  <a:pt x="149710" y="72405"/>
                </a:cubicBezTo>
                <a:lnTo>
                  <a:pt x="147016" y="75833"/>
                </a:lnTo>
                <a:cubicBezTo>
                  <a:pt x="146157" y="70659"/>
                  <a:pt x="143862" y="65826"/>
                  <a:pt x="140389" y="61875"/>
                </a:cubicBezTo>
                <a:lnTo>
                  <a:pt x="127561" y="47269"/>
                </a:lnTo>
                <a:cubicBezTo>
                  <a:pt x="126619" y="46198"/>
                  <a:pt x="125149" y="45749"/>
                  <a:pt x="123764" y="46106"/>
                </a:cubicBezTo>
                <a:cubicBezTo>
                  <a:pt x="116766" y="47906"/>
                  <a:pt x="112372" y="53370"/>
                  <a:pt x="107717" y="59153"/>
                </a:cubicBezTo>
                <a:cubicBezTo>
                  <a:pt x="100538" y="68070"/>
                  <a:pt x="92403" y="78180"/>
                  <a:pt x="71823" y="78180"/>
                </a:cubicBezTo>
                <a:close/>
                <a:moveTo>
                  <a:pt x="41596" y="90000"/>
                </a:moveTo>
                <a:lnTo>
                  <a:pt x="41596" y="85691"/>
                </a:lnTo>
                <a:lnTo>
                  <a:pt x="71823" y="85691"/>
                </a:lnTo>
                <a:cubicBezTo>
                  <a:pt x="96046" y="85691"/>
                  <a:pt x="106206" y="73065"/>
                  <a:pt x="113626" y="63844"/>
                </a:cubicBezTo>
                <a:cubicBezTo>
                  <a:pt x="116233" y="59966"/>
                  <a:pt x="119622" y="56666"/>
                  <a:pt x="123579" y="54154"/>
                </a:cubicBezTo>
                <a:lnTo>
                  <a:pt x="134698" y="66814"/>
                </a:lnTo>
                <a:cubicBezTo>
                  <a:pt x="138008" y="70584"/>
                  <a:pt x="139833" y="75414"/>
                  <a:pt x="139837" y="80415"/>
                </a:cubicBezTo>
                <a:lnTo>
                  <a:pt x="139837" y="86258"/>
                </a:lnTo>
                <a:lnTo>
                  <a:pt x="139837" y="90008"/>
                </a:lnTo>
                <a:cubicBezTo>
                  <a:pt x="139808" y="116919"/>
                  <a:pt x="117834" y="138729"/>
                  <a:pt x="90718" y="138758"/>
                </a:cubicBezTo>
                <a:lnTo>
                  <a:pt x="90718" y="138758"/>
                </a:lnTo>
                <a:cubicBezTo>
                  <a:pt x="63598" y="138731"/>
                  <a:pt x="41621" y="116916"/>
                  <a:pt x="41596" y="90000"/>
                </a:cubicBezTo>
                <a:close/>
                <a:moveTo>
                  <a:pt x="45132" y="225401"/>
                </a:moveTo>
                <a:lnTo>
                  <a:pt x="55187" y="206134"/>
                </a:lnTo>
                <a:cubicBezTo>
                  <a:pt x="56147" y="204295"/>
                  <a:pt x="55423" y="202032"/>
                  <a:pt x="53570" y="201079"/>
                </a:cubicBezTo>
                <a:cubicBezTo>
                  <a:pt x="53034" y="200804"/>
                  <a:pt x="52439" y="200659"/>
                  <a:pt x="51835" y="200659"/>
                </a:cubicBezTo>
                <a:lnTo>
                  <a:pt x="33480" y="200659"/>
                </a:lnTo>
                <a:lnTo>
                  <a:pt x="41116" y="166800"/>
                </a:lnTo>
                <a:lnTo>
                  <a:pt x="51276" y="161659"/>
                </a:lnTo>
                <a:lnTo>
                  <a:pt x="51480" y="162248"/>
                </a:lnTo>
                <a:lnTo>
                  <a:pt x="52561" y="165341"/>
                </a:lnTo>
                <a:lnTo>
                  <a:pt x="83279" y="253507"/>
                </a:lnTo>
                <a:close/>
                <a:moveTo>
                  <a:pt x="90783" y="252098"/>
                </a:moveTo>
                <a:lnTo>
                  <a:pt x="62558" y="171098"/>
                </a:lnTo>
                <a:cubicBezTo>
                  <a:pt x="80741" y="177989"/>
                  <a:pt x="100848" y="177970"/>
                  <a:pt x="119018" y="171045"/>
                </a:cubicBezTo>
                <a:close/>
                <a:moveTo>
                  <a:pt x="200253" y="269910"/>
                </a:moveTo>
                <a:cubicBezTo>
                  <a:pt x="184384" y="279938"/>
                  <a:pt x="139980" y="285000"/>
                  <a:pt x="94625" y="285176"/>
                </a:cubicBezTo>
                <a:lnTo>
                  <a:pt x="94625" y="265556"/>
                </a:lnTo>
                <a:lnTo>
                  <a:pt x="143513" y="229530"/>
                </a:lnTo>
                <a:cubicBezTo>
                  <a:pt x="145002" y="228434"/>
                  <a:pt x="145469" y="226427"/>
                  <a:pt x="144617" y="224794"/>
                </a:cubicBezTo>
                <a:lnTo>
                  <a:pt x="135926" y="208170"/>
                </a:lnTo>
                <a:lnTo>
                  <a:pt x="152797" y="208170"/>
                </a:lnTo>
                <a:cubicBezTo>
                  <a:pt x="154883" y="208171"/>
                  <a:pt x="156575" y="206492"/>
                  <a:pt x="156576" y="204421"/>
                </a:cubicBezTo>
                <a:cubicBezTo>
                  <a:pt x="156576" y="204144"/>
                  <a:pt x="156546" y="203869"/>
                  <a:pt x="156484" y="203599"/>
                </a:cubicBezTo>
                <a:lnTo>
                  <a:pt x="148614" y="168683"/>
                </a:lnTo>
                <a:cubicBezTo>
                  <a:pt x="163662" y="173582"/>
                  <a:pt x="177779" y="180944"/>
                  <a:pt x="190380" y="190466"/>
                </a:cubicBezTo>
                <a:cubicBezTo>
                  <a:pt x="196458" y="195177"/>
                  <a:pt x="200082" y="202348"/>
                  <a:pt x="200253" y="21000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22" name="Freeform: Shape 521">
            <a:extLst>
              <a:ext uri="{FF2B5EF4-FFF2-40B4-BE49-F238E27FC236}">
                <a16:creationId xmlns:a16="http://schemas.microsoft.com/office/drawing/2014/main" id="{A997787D-377C-4AF7-A66F-DF290BAFDB0E}"/>
              </a:ext>
            </a:extLst>
          </xdr:cNvPr>
          <xdr:cNvSpPr/>
        </xdr:nvSpPr>
        <xdr:spPr>
          <a:xfrm>
            <a:off x="14949349" y="9150888"/>
            <a:ext cx="86560" cy="130951"/>
          </a:xfrm>
          <a:custGeom>
            <a:avLst/>
            <a:gdLst>
              <a:gd name="connsiteX0" fmla="*/ 60488 w 86560"/>
              <a:gd name="connsiteY0" fmla="*/ 57075 h 130951"/>
              <a:gd name="connsiteX1" fmla="*/ 60488 w 86560"/>
              <a:gd name="connsiteY1" fmla="*/ 19200 h 130951"/>
              <a:gd name="connsiteX2" fmla="*/ 66911 w 86560"/>
              <a:gd name="connsiteY2" fmla="*/ 7950 h 130951"/>
              <a:gd name="connsiteX3" fmla="*/ 68935 w 86560"/>
              <a:gd name="connsiteY3" fmla="*/ 2592 h 130951"/>
              <a:gd name="connsiteX4" fmla="*/ 68801 w 86560"/>
              <a:gd name="connsiteY4" fmla="*/ 2325 h 130951"/>
              <a:gd name="connsiteX5" fmla="*/ 65370 w 86560"/>
              <a:gd name="connsiteY5" fmla="*/ 0 h 130951"/>
              <a:gd name="connsiteX6" fmla="*/ 64644 w 86560"/>
              <a:gd name="connsiteY6" fmla="*/ 75 h 130951"/>
              <a:gd name="connsiteX7" fmla="*/ 21571 w 86560"/>
              <a:gd name="connsiteY7" fmla="*/ 75 h 130951"/>
              <a:gd name="connsiteX8" fmla="*/ 17044 w 86560"/>
              <a:gd name="connsiteY8" fmla="*/ 4048 h 130951"/>
              <a:gd name="connsiteX9" fmla="*/ 17037 w 86560"/>
              <a:gd name="connsiteY9" fmla="*/ 4200 h 130951"/>
              <a:gd name="connsiteX10" fmla="*/ 19304 w 86560"/>
              <a:gd name="connsiteY10" fmla="*/ 8325 h 130951"/>
              <a:gd name="connsiteX11" fmla="*/ 25727 w 86560"/>
              <a:gd name="connsiteY11" fmla="*/ 19575 h 130951"/>
              <a:gd name="connsiteX12" fmla="*/ 25727 w 86560"/>
              <a:gd name="connsiteY12" fmla="*/ 57450 h 130951"/>
              <a:gd name="connsiteX13" fmla="*/ 1168 w 86560"/>
              <a:gd name="connsiteY13" fmla="*/ 112950 h 130951"/>
              <a:gd name="connsiteX14" fmla="*/ 7306 w 86560"/>
              <a:gd name="connsiteY14" fmla="*/ 129543 h 130951"/>
              <a:gd name="connsiteX15" fmla="*/ 7969 w 86560"/>
              <a:gd name="connsiteY15" fmla="*/ 129825 h 130951"/>
              <a:gd name="connsiteX16" fmla="*/ 13259 w 86560"/>
              <a:gd name="connsiteY16" fmla="*/ 130950 h 130951"/>
              <a:gd name="connsiteX17" fmla="*/ 73713 w 86560"/>
              <a:gd name="connsiteY17" fmla="*/ 130950 h 130951"/>
              <a:gd name="connsiteX18" fmla="*/ 86559 w 86560"/>
              <a:gd name="connsiteY18" fmla="*/ 118411 h 130951"/>
              <a:gd name="connsiteX19" fmla="*/ 86559 w 86560"/>
              <a:gd name="connsiteY19" fmla="*/ 118200 h 130951"/>
              <a:gd name="connsiteX20" fmla="*/ 85425 w 86560"/>
              <a:gd name="connsiteY20" fmla="*/ 112950 h 130951"/>
              <a:gd name="connsiteX21" fmla="*/ 56631 w 86560"/>
              <a:gd name="connsiteY21" fmla="*/ 7575 h 130951"/>
              <a:gd name="connsiteX22" fmla="*/ 52932 w 86560"/>
              <a:gd name="connsiteY22" fmla="*/ 19200 h 130951"/>
              <a:gd name="connsiteX23" fmla="*/ 52932 w 86560"/>
              <a:gd name="connsiteY23" fmla="*/ 31950 h 130951"/>
              <a:gd name="connsiteX24" fmla="*/ 33284 w 86560"/>
              <a:gd name="connsiteY24" fmla="*/ 31950 h 130951"/>
              <a:gd name="connsiteX25" fmla="*/ 33284 w 86560"/>
              <a:gd name="connsiteY25" fmla="*/ 19575 h 130951"/>
              <a:gd name="connsiteX26" fmla="*/ 29506 w 86560"/>
              <a:gd name="connsiteY26" fmla="*/ 7575 h 130951"/>
              <a:gd name="connsiteX27" fmla="*/ 73713 w 86560"/>
              <a:gd name="connsiteY27" fmla="*/ 123450 h 130951"/>
              <a:gd name="connsiteX28" fmla="*/ 13259 w 86560"/>
              <a:gd name="connsiteY28" fmla="*/ 123450 h 130951"/>
              <a:gd name="connsiteX29" fmla="*/ 11370 w 86560"/>
              <a:gd name="connsiteY29" fmla="*/ 123116 h 130951"/>
              <a:gd name="connsiteX30" fmla="*/ 11056 w 86560"/>
              <a:gd name="connsiteY30" fmla="*/ 122962 h 130951"/>
              <a:gd name="connsiteX31" fmla="*/ 10731 w 86560"/>
              <a:gd name="connsiteY31" fmla="*/ 122835 h 130951"/>
              <a:gd name="connsiteX32" fmla="*/ 7946 w 86560"/>
              <a:gd name="connsiteY32" fmla="*/ 120068 h 130951"/>
              <a:gd name="connsiteX33" fmla="*/ 8026 w 86560"/>
              <a:gd name="connsiteY33" fmla="*/ 116145 h 130951"/>
              <a:gd name="connsiteX34" fmla="*/ 8067 w 86560"/>
              <a:gd name="connsiteY34" fmla="*/ 116055 h 130951"/>
              <a:gd name="connsiteX35" fmla="*/ 8109 w 86560"/>
              <a:gd name="connsiteY35" fmla="*/ 115965 h 130951"/>
              <a:gd name="connsiteX36" fmla="*/ 32668 w 86560"/>
              <a:gd name="connsiteY36" fmla="*/ 60465 h 130951"/>
              <a:gd name="connsiteX37" fmla="*/ 33307 w 86560"/>
              <a:gd name="connsiteY37" fmla="*/ 59025 h 130951"/>
              <a:gd name="connsiteX38" fmla="*/ 33307 w 86560"/>
              <a:gd name="connsiteY38" fmla="*/ 39450 h 130951"/>
              <a:gd name="connsiteX39" fmla="*/ 52932 w 86560"/>
              <a:gd name="connsiteY39" fmla="*/ 39450 h 130951"/>
              <a:gd name="connsiteX40" fmla="*/ 52932 w 86560"/>
              <a:gd name="connsiteY40" fmla="*/ 58658 h 130951"/>
              <a:gd name="connsiteX41" fmla="*/ 53578 w 86560"/>
              <a:gd name="connsiteY41" fmla="*/ 60109 h 130951"/>
              <a:gd name="connsiteX42" fmla="*/ 78515 w 86560"/>
              <a:gd name="connsiteY42" fmla="*/ 115984 h 130951"/>
              <a:gd name="connsiteX43" fmla="*/ 78587 w 86560"/>
              <a:gd name="connsiteY43" fmla="*/ 116145 h 130951"/>
              <a:gd name="connsiteX44" fmla="*/ 78666 w 86560"/>
              <a:gd name="connsiteY44" fmla="*/ 116303 h 130951"/>
              <a:gd name="connsiteX45" fmla="*/ 79002 w 86560"/>
              <a:gd name="connsiteY45" fmla="*/ 118178 h 130951"/>
              <a:gd name="connsiteX46" fmla="*/ 73973 w 86560"/>
              <a:gd name="connsiteY46" fmla="*/ 123450 h 130951"/>
              <a:gd name="connsiteX47" fmla="*/ 73713 w 86560"/>
              <a:gd name="connsiteY47" fmla="*/ 123450 h 130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</a:cxnLst>
            <a:rect l="l" t="t" r="r" b="b"/>
            <a:pathLst>
              <a:path w="86560" h="130951">
                <a:moveTo>
                  <a:pt x="60488" y="57075"/>
                </a:moveTo>
                <a:lnTo>
                  <a:pt x="60488" y="19200"/>
                </a:lnTo>
                <a:cubicBezTo>
                  <a:pt x="60575" y="14613"/>
                  <a:pt x="62992" y="10381"/>
                  <a:pt x="66911" y="7950"/>
                </a:cubicBezTo>
                <a:cubicBezTo>
                  <a:pt x="68961" y="7025"/>
                  <a:pt x="69867" y="4626"/>
                  <a:pt x="68935" y="2592"/>
                </a:cubicBezTo>
                <a:cubicBezTo>
                  <a:pt x="68894" y="2501"/>
                  <a:pt x="68849" y="2412"/>
                  <a:pt x="68801" y="2325"/>
                </a:cubicBezTo>
                <a:cubicBezTo>
                  <a:pt x="68198" y="964"/>
                  <a:pt x="66867" y="62"/>
                  <a:pt x="65370" y="0"/>
                </a:cubicBezTo>
                <a:cubicBezTo>
                  <a:pt x="65126" y="2"/>
                  <a:pt x="64883" y="27"/>
                  <a:pt x="64644" y="75"/>
                </a:cubicBezTo>
                <a:lnTo>
                  <a:pt x="21571" y="75"/>
                </a:lnTo>
                <a:cubicBezTo>
                  <a:pt x="19215" y="-69"/>
                  <a:pt x="17189" y="1710"/>
                  <a:pt x="17044" y="4048"/>
                </a:cubicBezTo>
                <a:cubicBezTo>
                  <a:pt x="17041" y="4099"/>
                  <a:pt x="17038" y="4149"/>
                  <a:pt x="17037" y="4200"/>
                </a:cubicBezTo>
                <a:cubicBezTo>
                  <a:pt x="16905" y="5899"/>
                  <a:pt x="17793" y="7516"/>
                  <a:pt x="19304" y="8325"/>
                </a:cubicBezTo>
                <a:cubicBezTo>
                  <a:pt x="23344" y="10640"/>
                  <a:pt x="25803" y="14946"/>
                  <a:pt x="25727" y="19575"/>
                </a:cubicBezTo>
                <a:lnTo>
                  <a:pt x="25727" y="57450"/>
                </a:lnTo>
                <a:lnTo>
                  <a:pt x="1168" y="112950"/>
                </a:lnTo>
                <a:cubicBezTo>
                  <a:pt x="-1754" y="119214"/>
                  <a:pt x="994" y="126643"/>
                  <a:pt x="7306" y="129543"/>
                </a:cubicBezTo>
                <a:cubicBezTo>
                  <a:pt x="7524" y="129643"/>
                  <a:pt x="7745" y="129737"/>
                  <a:pt x="7969" y="129825"/>
                </a:cubicBezTo>
                <a:cubicBezTo>
                  <a:pt x="9624" y="130593"/>
                  <a:pt x="11433" y="130977"/>
                  <a:pt x="13259" y="130950"/>
                </a:cubicBezTo>
                <a:lnTo>
                  <a:pt x="73713" y="130950"/>
                </a:lnTo>
                <a:cubicBezTo>
                  <a:pt x="80749" y="131008"/>
                  <a:pt x="86500" y="125394"/>
                  <a:pt x="86559" y="118411"/>
                </a:cubicBezTo>
                <a:cubicBezTo>
                  <a:pt x="86560" y="118341"/>
                  <a:pt x="86560" y="118270"/>
                  <a:pt x="86559" y="118200"/>
                </a:cubicBezTo>
                <a:cubicBezTo>
                  <a:pt x="86586" y="116387"/>
                  <a:pt x="86199" y="114592"/>
                  <a:pt x="85425" y="112950"/>
                </a:cubicBezTo>
                <a:close/>
                <a:moveTo>
                  <a:pt x="56631" y="7575"/>
                </a:moveTo>
                <a:cubicBezTo>
                  <a:pt x="54256" y="10997"/>
                  <a:pt x="52968" y="15045"/>
                  <a:pt x="52932" y="19200"/>
                </a:cubicBezTo>
                <a:lnTo>
                  <a:pt x="52932" y="31950"/>
                </a:lnTo>
                <a:lnTo>
                  <a:pt x="33284" y="31950"/>
                </a:lnTo>
                <a:lnTo>
                  <a:pt x="33284" y="19575"/>
                </a:lnTo>
                <a:cubicBezTo>
                  <a:pt x="33303" y="15284"/>
                  <a:pt x="31983" y="11092"/>
                  <a:pt x="29506" y="7575"/>
                </a:cubicBezTo>
                <a:close/>
                <a:moveTo>
                  <a:pt x="73713" y="123450"/>
                </a:moveTo>
                <a:lnTo>
                  <a:pt x="13259" y="123450"/>
                </a:lnTo>
                <a:cubicBezTo>
                  <a:pt x="12613" y="123468"/>
                  <a:pt x="11970" y="123354"/>
                  <a:pt x="11370" y="123116"/>
                </a:cubicBezTo>
                <a:lnTo>
                  <a:pt x="11056" y="122962"/>
                </a:lnTo>
                <a:lnTo>
                  <a:pt x="10731" y="122835"/>
                </a:lnTo>
                <a:cubicBezTo>
                  <a:pt x="9454" y="122339"/>
                  <a:pt x="8445" y="121335"/>
                  <a:pt x="7946" y="120068"/>
                </a:cubicBezTo>
                <a:cubicBezTo>
                  <a:pt x="7427" y="118805"/>
                  <a:pt x="7456" y="117386"/>
                  <a:pt x="8026" y="116145"/>
                </a:cubicBezTo>
                <a:lnTo>
                  <a:pt x="8067" y="116055"/>
                </a:lnTo>
                <a:lnTo>
                  <a:pt x="8109" y="115965"/>
                </a:lnTo>
                <a:lnTo>
                  <a:pt x="32668" y="60465"/>
                </a:lnTo>
                <a:lnTo>
                  <a:pt x="33307" y="59025"/>
                </a:lnTo>
                <a:lnTo>
                  <a:pt x="33307" y="39450"/>
                </a:lnTo>
                <a:lnTo>
                  <a:pt x="52932" y="39450"/>
                </a:lnTo>
                <a:lnTo>
                  <a:pt x="52932" y="58658"/>
                </a:lnTo>
                <a:lnTo>
                  <a:pt x="53578" y="60109"/>
                </a:lnTo>
                <a:lnTo>
                  <a:pt x="78515" y="115984"/>
                </a:lnTo>
                <a:lnTo>
                  <a:pt x="78587" y="116145"/>
                </a:lnTo>
                <a:lnTo>
                  <a:pt x="78666" y="116303"/>
                </a:lnTo>
                <a:cubicBezTo>
                  <a:pt x="78907" y="116898"/>
                  <a:pt x="79021" y="117536"/>
                  <a:pt x="79002" y="118178"/>
                </a:cubicBezTo>
                <a:cubicBezTo>
                  <a:pt x="79080" y="121012"/>
                  <a:pt x="76829" y="123372"/>
                  <a:pt x="73973" y="123450"/>
                </a:cubicBezTo>
                <a:cubicBezTo>
                  <a:pt x="73886" y="123452"/>
                  <a:pt x="73799" y="123452"/>
                  <a:pt x="73713" y="1234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23" name="Freeform: Shape 522">
            <a:extLst>
              <a:ext uri="{FF2B5EF4-FFF2-40B4-BE49-F238E27FC236}">
                <a16:creationId xmlns:a16="http://schemas.microsoft.com/office/drawing/2014/main" id="{C2E52F84-2DF1-4BA3-B73F-1A37FB3B8D8F}"/>
              </a:ext>
            </a:extLst>
          </xdr:cNvPr>
          <xdr:cNvSpPr/>
        </xdr:nvSpPr>
        <xdr:spPr>
          <a:xfrm>
            <a:off x="14990583" y="9092839"/>
            <a:ext cx="12846" cy="12750"/>
          </a:xfrm>
          <a:custGeom>
            <a:avLst/>
            <a:gdLst>
              <a:gd name="connsiteX0" fmla="*/ 12846 w 12846"/>
              <a:gd name="connsiteY0" fmla="*/ 6375 h 12750"/>
              <a:gd name="connsiteX1" fmla="*/ 6423 w 12846"/>
              <a:gd name="connsiteY1" fmla="*/ 12750 h 12750"/>
              <a:gd name="connsiteX2" fmla="*/ 0 w 12846"/>
              <a:gd name="connsiteY2" fmla="*/ 6375 h 12750"/>
              <a:gd name="connsiteX3" fmla="*/ 6423 w 12846"/>
              <a:gd name="connsiteY3" fmla="*/ 0 h 12750"/>
              <a:gd name="connsiteX4" fmla="*/ 12846 w 12846"/>
              <a:gd name="connsiteY4" fmla="*/ 6375 h 127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846" h="12750">
                <a:moveTo>
                  <a:pt x="12846" y="6375"/>
                </a:moveTo>
                <a:cubicBezTo>
                  <a:pt x="12846" y="9896"/>
                  <a:pt x="9971" y="12750"/>
                  <a:pt x="6423" y="12750"/>
                </a:cubicBezTo>
                <a:cubicBezTo>
                  <a:pt x="2876" y="12750"/>
                  <a:pt x="0" y="9896"/>
                  <a:pt x="0" y="6375"/>
                </a:cubicBezTo>
                <a:cubicBezTo>
                  <a:pt x="0" y="2854"/>
                  <a:pt x="2876" y="0"/>
                  <a:pt x="6423" y="0"/>
                </a:cubicBezTo>
                <a:cubicBezTo>
                  <a:pt x="9971" y="0"/>
                  <a:pt x="12846" y="2854"/>
                  <a:pt x="12846" y="637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24" name="Freeform: Shape 523">
            <a:extLst>
              <a:ext uri="{FF2B5EF4-FFF2-40B4-BE49-F238E27FC236}">
                <a16:creationId xmlns:a16="http://schemas.microsoft.com/office/drawing/2014/main" id="{F9655123-A3DE-4602-BA0A-A9EA94D2FAB9}"/>
              </a:ext>
            </a:extLst>
          </xdr:cNvPr>
          <xdr:cNvSpPr/>
        </xdr:nvSpPr>
        <xdr:spPr>
          <a:xfrm>
            <a:off x="15001525" y="9112339"/>
            <a:ext cx="12846" cy="12749"/>
          </a:xfrm>
          <a:custGeom>
            <a:avLst/>
            <a:gdLst>
              <a:gd name="connsiteX0" fmla="*/ 0 w 12846"/>
              <a:gd name="connsiteY0" fmla="*/ 6375 h 12749"/>
              <a:gd name="connsiteX1" fmla="*/ 6423 w 12846"/>
              <a:gd name="connsiteY1" fmla="*/ 12750 h 12749"/>
              <a:gd name="connsiteX2" fmla="*/ 12846 w 12846"/>
              <a:gd name="connsiteY2" fmla="*/ 6375 h 12749"/>
              <a:gd name="connsiteX3" fmla="*/ 6423 w 12846"/>
              <a:gd name="connsiteY3" fmla="*/ 0 h 12749"/>
              <a:gd name="connsiteX4" fmla="*/ 0 w 12846"/>
              <a:gd name="connsiteY4" fmla="*/ 6375 h 1274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846" h="12749">
                <a:moveTo>
                  <a:pt x="0" y="6375"/>
                </a:moveTo>
                <a:cubicBezTo>
                  <a:pt x="0" y="9896"/>
                  <a:pt x="2876" y="12750"/>
                  <a:pt x="6423" y="12750"/>
                </a:cubicBezTo>
                <a:cubicBezTo>
                  <a:pt x="9971" y="12750"/>
                  <a:pt x="12846" y="9896"/>
                  <a:pt x="12846" y="6375"/>
                </a:cubicBezTo>
                <a:cubicBezTo>
                  <a:pt x="12846" y="2854"/>
                  <a:pt x="9971" y="0"/>
                  <a:pt x="6423" y="0"/>
                </a:cubicBezTo>
                <a:cubicBezTo>
                  <a:pt x="2876" y="0"/>
                  <a:pt x="0" y="2854"/>
                  <a:pt x="0" y="637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25" name="Freeform: Shape 524">
            <a:extLst>
              <a:ext uri="{FF2B5EF4-FFF2-40B4-BE49-F238E27FC236}">
                <a16:creationId xmlns:a16="http://schemas.microsoft.com/office/drawing/2014/main" id="{4B612754-304D-4D48-B7FF-67C61FBE5432}"/>
              </a:ext>
            </a:extLst>
          </xdr:cNvPr>
          <xdr:cNvSpPr/>
        </xdr:nvSpPr>
        <xdr:spPr>
          <a:xfrm>
            <a:off x="14977721" y="9107839"/>
            <a:ext cx="12846" cy="12750"/>
          </a:xfrm>
          <a:custGeom>
            <a:avLst/>
            <a:gdLst>
              <a:gd name="connsiteX0" fmla="*/ 6423 w 12846"/>
              <a:gd name="connsiteY0" fmla="*/ 12750 h 12750"/>
              <a:gd name="connsiteX1" fmla="*/ 12846 w 12846"/>
              <a:gd name="connsiteY1" fmla="*/ 6375 h 12750"/>
              <a:gd name="connsiteX2" fmla="*/ 6423 w 12846"/>
              <a:gd name="connsiteY2" fmla="*/ 0 h 12750"/>
              <a:gd name="connsiteX3" fmla="*/ 0 w 12846"/>
              <a:gd name="connsiteY3" fmla="*/ 6375 h 12750"/>
              <a:gd name="connsiteX4" fmla="*/ 6423 w 12846"/>
              <a:gd name="connsiteY4" fmla="*/ 12750 h 127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846" h="12750">
                <a:moveTo>
                  <a:pt x="6423" y="12750"/>
                </a:moveTo>
                <a:cubicBezTo>
                  <a:pt x="9971" y="12750"/>
                  <a:pt x="12846" y="9896"/>
                  <a:pt x="12846" y="6375"/>
                </a:cubicBezTo>
                <a:cubicBezTo>
                  <a:pt x="12846" y="2854"/>
                  <a:pt x="9971" y="0"/>
                  <a:pt x="6423" y="0"/>
                </a:cubicBezTo>
                <a:cubicBezTo>
                  <a:pt x="2876" y="0"/>
                  <a:pt x="0" y="2854"/>
                  <a:pt x="0" y="6375"/>
                </a:cubicBezTo>
                <a:cubicBezTo>
                  <a:pt x="0" y="9896"/>
                  <a:pt x="2876" y="12750"/>
                  <a:pt x="6423" y="1275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56" name="Freeform: Shape 555">
            <a:extLst>
              <a:ext uri="{FF2B5EF4-FFF2-40B4-BE49-F238E27FC236}">
                <a16:creationId xmlns:a16="http://schemas.microsoft.com/office/drawing/2014/main" id="{C550A51E-E1A9-47D2-BC90-224AE4FDD2C2}"/>
              </a:ext>
            </a:extLst>
          </xdr:cNvPr>
          <xdr:cNvSpPr/>
        </xdr:nvSpPr>
        <xdr:spPr>
          <a:xfrm>
            <a:off x="14979610" y="9129214"/>
            <a:ext cx="17380" cy="17249"/>
          </a:xfrm>
          <a:custGeom>
            <a:avLst/>
            <a:gdLst>
              <a:gd name="connsiteX0" fmla="*/ 0 w 17380"/>
              <a:gd name="connsiteY0" fmla="*/ 8625 h 17249"/>
              <a:gd name="connsiteX1" fmla="*/ 8690 w 17380"/>
              <a:gd name="connsiteY1" fmla="*/ 17250 h 17249"/>
              <a:gd name="connsiteX2" fmla="*/ 17380 w 17380"/>
              <a:gd name="connsiteY2" fmla="*/ 8625 h 17249"/>
              <a:gd name="connsiteX3" fmla="*/ 8690 w 17380"/>
              <a:gd name="connsiteY3" fmla="*/ 0 h 17249"/>
              <a:gd name="connsiteX4" fmla="*/ 0 w 17380"/>
              <a:gd name="connsiteY4" fmla="*/ 8625 h 1724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7380" h="17249">
                <a:moveTo>
                  <a:pt x="0" y="8625"/>
                </a:moveTo>
                <a:cubicBezTo>
                  <a:pt x="0" y="13389"/>
                  <a:pt x="3891" y="17250"/>
                  <a:pt x="8690" y="17250"/>
                </a:cubicBezTo>
                <a:cubicBezTo>
                  <a:pt x="13490" y="17250"/>
                  <a:pt x="17380" y="13389"/>
                  <a:pt x="17380" y="8625"/>
                </a:cubicBezTo>
                <a:cubicBezTo>
                  <a:pt x="17380" y="3861"/>
                  <a:pt x="13490" y="0"/>
                  <a:pt x="8690" y="0"/>
                </a:cubicBezTo>
                <a:cubicBezTo>
                  <a:pt x="3891" y="0"/>
                  <a:pt x="0" y="3861"/>
                  <a:pt x="0" y="862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oneCellAnchor>
  <xdr:oneCellAnchor>
    <xdr:from>
      <xdr:col>2</xdr:col>
      <xdr:colOff>114376</xdr:colOff>
      <xdr:row>19</xdr:row>
      <xdr:rowOff>135812</xdr:rowOff>
    </xdr:from>
    <xdr:ext cx="340050" cy="303869"/>
    <xdr:grpSp>
      <xdr:nvGrpSpPr>
        <xdr:cNvPr id="557" name="cloud_IT" descr="Internet Of Things outline">
          <a:extLst>
            <a:ext uri="{FF2B5EF4-FFF2-40B4-BE49-F238E27FC236}">
              <a16:creationId xmlns:a16="http://schemas.microsoft.com/office/drawing/2014/main" id="{E52FF11C-4A09-44E2-B257-AC715BF7AC7E}"/>
            </a:ext>
          </a:extLst>
        </xdr:cNvPr>
        <xdr:cNvGrpSpPr>
          <a:grpSpLocks noChangeAspect="1"/>
        </xdr:cNvGrpSpPr>
      </xdr:nvGrpSpPr>
      <xdr:grpSpPr>
        <a:xfrm>
          <a:off x="1543126" y="9946562"/>
          <a:ext cx="340050" cy="303869"/>
          <a:chOff x="14300060" y="9654454"/>
          <a:chExt cx="340050" cy="303869"/>
        </a:xfrm>
        <a:solidFill>
          <a:srgbClr val="1F4E78"/>
        </a:solidFill>
      </xdr:grpSpPr>
      <xdr:sp macro="" textlink="">
        <xdr:nvSpPr>
          <xdr:cNvPr id="558" name="Freeform: Shape 557">
            <a:extLst>
              <a:ext uri="{FF2B5EF4-FFF2-40B4-BE49-F238E27FC236}">
                <a16:creationId xmlns:a16="http://schemas.microsoft.com/office/drawing/2014/main" id="{76355A41-7026-48A4-AA9F-16822B65B701}"/>
              </a:ext>
            </a:extLst>
          </xdr:cNvPr>
          <xdr:cNvSpPr/>
        </xdr:nvSpPr>
        <xdr:spPr>
          <a:xfrm>
            <a:off x="14330287" y="9699562"/>
            <a:ext cx="68013" cy="72858"/>
          </a:xfrm>
          <a:custGeom>
            <a:avLst/>
            <a:gdLst>
              <a:gd name="connsiteX0" fmla="*/ 15117 w 68013"/>
              <a:gd name="connsiteY0" fmla="*/ 29951 h 72858"/>
              <a:gd name="connsiteX1" fmla="*/ 29694 w 68013"/>
              <a:gd name="connsiteY1" fmla="*/ 18701 h 72858"/>
              <a:gd name="connsiteX2" fmla="*/ 49122 w 68013"/>
              <a:gd name="connsiteY2" fmla="*/ 18701 h 72858"/>
              <a:gd name="connsiteX3" fmla="*/ 60457 w 68013"/>
              <a:gd name="connsiteY3" fmla="*/ 29951 h 72858"/>
              <a:gd name="connsiteX4" fmla="*/ 60457 w 68013"/>
              <a:gd name="connsiteY4" fmla="*/ 72859 h 72858"/>
              <a:gd name="connsiteX5" fmla="*/ 65565 w 68013"/>
              <a:gd name="connsiteY5" fmla="*/ 71557 h 72858"/>
              <a:gd name="connsiteX6" fmla="*/ 68014 w 68013"/>
              <a:gd name="connsiteY6" fmla="*/ 65224 h 72858"/>
              <a:gd name="connsiteX7" fmla="*/ 68014 w 68013"/>
              <a:gd name="connsiteY7" fmla="*/ 29951 h 72858"/>
              <a:gd name="connsiteX8" fmla="*/ 49122 w 68013"/>
              <a:gd name="connsiteY8" fmla="*/ 11201 h 72858"/>
              <a:gd name="connsiteX9" fmla="*/ 29690 w 68013"/>
              <a:gd name="connsiteY9" fmla="*/ 11201 h 72858"/>
              <a:gd name="connsiteX10" fmla="*/ 11286 w 68013"/>
              <a:gd name="connsiteY10" fmla="*/ 488 h 72858"/>
              <a:gd name="connsiteX11" fmla="*/ 491 w 68013"/>
              <a:gd name="connsiteY11" fmla="*/ 18754 h 72858"/>
              <a:gd name="connsiteX12" fmla="*/ 15117 w 68013"/>
              <a:gd name="connsiteY12" fmla="*/ 29951 h 7285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68013" h="72858">
                <a:moveTo>
                  <a:pt x="15117" y="29951"/>
                </a:moveTo>
                <a:cubicBezTo>
                  <a:pt x="21987" y="29926"/>
                  <a:pt x="27976" y="25304"/>
                  <a:pt x="29694" y="18701"/>
                </a:cubicBezTo>
                <a:lnTo>
                  <a:pt x="49122" y="18701"/>
                </a:lnTo>
                <a:cubicBezTo>
                  <a:pt x="55382" y="18701"/>
                  <a:pt x="60457" y="23738"/>
                  <a:pt x="60457" y="29951"/>
                </a:cubicBezTo>
                <a:lnTo>
                  <a:pt x="60457" y="72859"/>
                </a:lnTo>
                <a:cubicBezTo>
                  <a:pt x="62135" y="72349"/>
                  <a:pt x="63835" y="71906"/>
                  <a:pt x="65565" y="71557"/>
                </a:cubicBezTo>
                <a:cubicBezTo>
                  <a:pt x="66260" y="69402"/>
                  <a:pt x="67077" y="67287"/>
                  <a:pt x="68014" y="65224"/>
                </a:cubicBezTo>
                <a:lnTo>
                  <a:pt x="68014" y="29951"/>
                </a:lnTo>
                <a:cubicBezTo>
                  <a:pt x="68001" y="19601"/>
                  <a:pt x="59551" y="11213"/>
                  <a:pt x="49122" y="11201"/>
                </a:cubicBezTo>
                <a:lnTo>
                  <a:pt x="29690" y="11201"/>
                </a:lnTo>
                <a:cubicBezTo>
                  <a:pt x="27588" y="3199"/>
                  <a:pt x="19349" y="-1598"/>
                  <a:pt x="11286" y="488"/>
                </a:cubicBezTo>
                <a:cubicBezTo>
                  <a:pt x="3223" y="2573"/>
                  <a:pt x="-1610" y="10751"/>
                  <a:pt x="491" y="18754"/>
                </a:cubicBezTo>
                <a:cubicBezTo>
                  <a:pt x="2226" y="25358"/>
                  <a:pt x="8240" y="29963"/>
                  <a:pt x="15117" y="29951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59" name="Freeform: Shape 558">
            <a:extLst>
              <a:ext uri="{FF2B5EF4-FFF2-40B4-BE49-F238E27FC236}">
                <a16:creationId xmlns:a16="http://schemas.microsoft.com/office/drawing/2014/main" id="{3D44C32A-1CCB-4CC7-B30A-7DEB0770185A}"/>
              </a:ext>
            </a:extLst>
          </xdr:cNvPr>
          <xdr:cNvSpPr/>
        </xdr:nvSpPr>
        <xdr:spPr>
          <a:xfrm>
            <a:off x="14300060" y="9781954"/>
            <a:ext cx="62576" cy="71309"/>
          </a:xfrm>
          <a:custGeom>
            <a:avLst/>
            <a:gdLst>
              <a:gd name="connsiteX0" fmla="*/ 58073 w 62576"/>
              <a:gd name="connsiteY0" fmla="*/ 63810 h 71309"/>
              <a:gd name="connsiteX1" fmla="*/ 30230 w 62576"/>
              <a:gd name="connsiteY1" fmla="*/ 63810 h 71309"/>
              <a:gd name="connsiteX2" fmla="*/ 18895 w 62576"/>
              <a:gd name="connsiteY2" fmla="*/ 52560 h 71309"/>
              <a:gd name="connsiteX3" fmla="*/ 18895 w 62576"/>
              <a:gd name="connsiteY3" fmla="*/ 29527 h 71309"/>
              <a:gd name="connsiteX4" fmla="*/ 29751 w 62576"/>
              <a:gd name="connsiteY4" fmla="*/ 11254 h 71309"/>
              <a:gd name="connsiteX5" fmla="*/ 11339 w 62576"/>
              <a:gd name="connsiteY5" fmla="*/ 480 h 71309"/>
              <a:gd name="connsiteX6" fmla="*/ 484 w 62576"/>
              <a:gd name="connsiteY6" fmla="*/ 18754 h 71309"/>
              <a:gd name="connsiteX7" fmla="*/ 11339 w 62576"/>
              <a:gd name="connsiteY7" fmla="*/ 29527 h 71309"/>
              <a:gd name="connsiteX8" fmla="*/ 11339 w 62576"/>
              <a:gd name="connsiteY8" fmla="*/ 52560 h 71309"/>
              <a:gd name="connsiteX9" fmla="*/ 30230 w 62576"/>
              <a:gd name="connsiteY9" fmla="*/ 71310 h 71309"/>
              <a:gd name="connsiteX10" fmla="*/ 62577 w 62576"/>
              <a:gd name="connsiteY10" fmla="*/ 71310 h 71309"/>
              <a:gd name="connsiteX11" fmla="*/ 58073 w 62576"/>
              <a:gd name="connsiteY11" fmla="*/ 63810 h 713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62576" h="71309">
                <a:moveTo>
                  <a:pt x="58073" y="63810"/>
                </a:moveTo>
                <a:lnTo>
                  <a:pt x="30230" y="63810"/>
                </a:lnTo>
                <a:cubicBezTo>
                  <a:pt x="23970" y="63810"/>
                  <a:pt x="18895" y="58773"/>
                  <a:pt x="18895" y="52560"/>
                </a:cubicBezTo>
                <a:lnTo>
                  <a:pt x="18895" y="29527"/>
                </a:lnTo>
                <a:cubicBezTo>
                  <a:pt x="26977" y="27456"/>
                  <a:pt x="31837" y="19275"/>
                  <a:pt x="29751" y="11254"/>
                </a:cubicBezTo>
                <a:cubicBezTo>
                  <a:pt x="27664" y="3232"/>
                  <a:pt x="19421" y="-1591"/>
                  <a:pt x="11339" y="480"/>
                </a:cubicBezTo>
                <a:cubicBezTo>
                  <a:pt x="3257" y="2551"/>
                  <a:pt x="-1603" y="10732"/>
                  <a:pt x="484" y="18754"/>
                </a:cubicBezTo>
                <a:cubicBezTo>
                  <a:pt x="1858" y="24037"/>
                  <a:pt x="6015" y="28163"/>
                  <a:pt x="11339" y="29527"/>
                </a:cubicBezTo>
                <a:lnTo>
                  <a:pt x="11339" y="52560"/>
                </a:lnTo>
                <a:cubicBezTo>
                  <a:pt x="11351" y="62910"/>
                  <a:pt x="19802" y="71297"/>
                  <a:pt x="30230" y="71310"/>
                </a:cubicBezTo>
                <a:lnTo>
                  <a:pt x="62577" y="71310"/>
                </a:lnTo>
                <a:cubicBezTo>
                  <a:pt x="60869" y="68938"/>
                  <a:pt x="59363" y="66429"/>
                  <a:pt x="58073" y="6381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60" name="Freeform: Shape 559">
            <a:extLst>
              <a:ext uri="{FF2B5EF4-FFF2-40B4-BE49-F238E27FC236}">
                <a16:creationId xmlns:a16="http://schemas.microsoft.com/office/drawing/2014/main" id="{BECB427E-33B1-44D7-9DE7-E3DFB93C03B2}"/>
              </a:ext>
            </a:extLst>
          </xdr:cNvPr>
          <xdr:cNvSpPr/>
        </xdr:nvSpPr>
        <xdr:spPr>
          <a:xfrm>
            <a:off x="14447415" y="9654454"/>
            <a:ext cx="30234" cy="76357"/>
          </a:xfrm>
          <a:custGeom>
            <a:avLst/>
            <a:gdLst>
              <a:gd name="connsiteX0" fmla="*/ 11339 w 30234"/>
              <a:gd name="connsiteY0" fmla="*/ 29527 h 76357"/>
              <a:gd name="connsiteX1" fmla="*/ 11339 w 30234"/>
              <a:gd name="connsiteY1" fmla="*/ 75326 h 76357"/>
              <a:gd name="connsiteX2" fmla="*/ 18895 w 30234"/>
              <a:gd name="connsiteY2" fmla="*/ 76357 h 76357"/>
              <a:gd name="connsiteX3" fmla="*/ 18895 w 30234"/>
              <a:gd name="connsiteY3" fmla="*/ 29527 h 76357"/>
              <a:gd name="connsiteX4" fmla="*/ 29751 w 30234"/>
              <a:gd name="connsiteY4" fmla="*/ 11254 h 76357"/>
              <a:gd name="connsiteX5" fmla="*/ 11339 w 30234"/>
              <a:gd name="connsiteY5" fmla="*/ 480 h 76357"/>
              <a:gd name="connsiteX6" fmla="*/ 484 w 30234"/>
              <a:gd name="connsiteY6" fmla="*/ 18754 h 76357"/>
              <a:gd name="connsiteX7" fmla="*/ 11339 w 30234"/>
              <a:gd name="connsiteY7" fmla="*/ 29527 h 763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30234" h="76357">
                <a:moveTo>
                  <a:pt x="11339" y="29527"/>
                </a:moveTo>
                <a:lnTo>
                  <a:pt x="11339" y="75326"/>
                </a:lnTo>
                <a:cubicBezTo>
                  <a:pt x="13877" y="75513"/>
                  <a:pt x="16401" y="75857"/>
                  <a:pt x="18895" y="76357"/>
                </a:cubicBezTo>
                <a:lnTo>
                  <a:pt x="18895" y="29527"/>
                </a:lnTo>
                <a:cubicBezTo>
                  <a:pt x="26977" y="27456"/>
                  <a:pt x="31837" y="19275"/>
                  <a:pt x="29751" y="11254"/>
                </a:cubicBezTo>
                <a:cubicBezTo>
                  <a:pt x="27664" y="3232"/>
                  <a:pt x="19421" y="-1591"/>
                  <a:pt x="11339" y="480"/>
                </a:cubicBezTo>
                <a:cubicBezTo>
                  <a:pt x="3257" y="2551"/>
                  <a:pt x="-1603" y="10732"/>
                  <a:pt x="484" y="18754"/>
                </a:cubicBezTo>
                <a:cubicBezTo>
                  <a:pt x="1858" y="24037"/>
                  <a:pt x="6015" y="28163"/>
                  <a:pt x="11339" y="29527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61" name="Freeform: Shape 560">
            <a:extLst>
              <a:ext uri="{FF2B5EF4-FFF2-40B4-BE49-F238E27FC236}">
                <a16:creationId xmlns:a16="http://schemas.microsoft.com/office/drawing/2014/main" id="{64F8C9A6-F9A7-4568-BD92-22107D340041}"/>
              </a:ext>
            </a:extLst>
          </xdr:cNvPr>
          <xdr:cNvSpPr/>
        </xdr:nvSpPr>
        <xdr:spPr>
          <a:xfrm>
            <a:off x="14522986" y="9684454"/>
            <a:ext cx="71792" cy="73184"/>
          </a:xfrm>
          <a:custGeom>
            <a:avLst/>
            <a:gdLst>
              <a:gd name="connsiteX0" fmla="*/ 7557 w 71792"/>
              <a:gd name="connsiteY0" fmla="*/ 67560 h 73184"/>
              <a:gd name="connsiteX1" fmla="*/ 18892 w 71792"/>
              <a:gd name="connsiteY1" fmla="*/ 56310 h 73184"/>
              <a:gd name="connsiteX2" fmla="*/ 41562 w 71792"/>
              <a:gd name="connsiteY2" fmla="*/ 56310 h 73184"/>
              <a:gd name="connsiteX3" fmla="*/ 60454 w 71792"/>
              <a:gd name="connsiteY3" fmla="*/ 37560 h 73184"/>
              <a:gd name="connsiteX4" fmla="*/ 60454 w 71792"/>
              <a:gd name="connsiteY4" fmla="*/ 29527 h 73184"/>
              <a:gd name="connsiteX5" fmla="*/ 71309 w 71792"/>
              <a:gd name="connsiteY5" fmla="*/ 11254 h 73184"/>
              <a:gd name="connsiteX6" fmla="*/ 52897 w 71792"/>
              <a:gd name="connsiteY6" fmla="*/ 480 h 73184"/>
              <a:gd name="connsiteX7" fmla="*/ 42042 w 71792"/>
              <a:gd name="connsiteY7" fmla="*/ 18754 h 73184"/>
              <a:gd name="connsiteX8" fmla="*/ 52897 w 71792"/>
              <a:gd name="connsiteY8" fmla="*/ 29527 h 73184"/>
              <a:gd name="connsiteX9" fmla="*/ 52897 w 71792"/>
              <a:gd name="connsiteY9" fmla="*/ 37560 h 73184"/>
              <a:gd name="connsiteX10" fmla="*/ 41562 w 71792"/>
              <a:gd name="connsiteY10" fmla="*/ 48810 h 73184"/>
              <a:gd name="connsiteX11" fmla="*/ 18892 w 71792"/>
              <a:gd name="connsiteY11" fmla="*/ 48810 h 73184"/>
              <a:gd name="connsiteX12" fmla="*/ 0 w 71792"/>
              <a:gd name="connsiteY12" fmla="*/ 67560 h 73184"/>
              <a:gd name="connsiteX13" fmla="*/ 0 w 71792"/>
              <a:gd name="connsiteY13" fmla="*/ 69352 h 73184"/>
              <a:gd name="connsiteX14" fmla="*/ 7557 w 71792"/>
              <a:gd name="connsiteY14" fmla="*/ 73185 h 7318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71792" h="73184">
                <a:moveTo>
                  <a:pt x="7557" y="67560"/>
                </a:moveTo>
                <a:cubicBezTo>
                  <a:pt x="7557" y="61347"/>
                  <a:pt x="12631" y="56310"/>
                  <a:pt x="18892" y="56310"/>
                </a:cubicBezTo>
                <a:lnTo>
                  <a:pt x="41562" y="56310"/>
                </a:lnTo>
                <a:cubicBezTo>
                  <a:pt x="51990" y="56298"/>
                  <a:pt x="60441" y="47910"/>
                  <a:pt x="60454" y="37560"/>
                </a:cubicBezTo>
                <a:lnTo>
                  <a:pt x="60454" y="29527"/>
                </a:lnTo>
                <a:cubicBezTo>
                  <a:pt x="68535" y="27456"/>
                  <a:pt x="73395" y="19275"/>
                  <a:pt x="71309" y="11254"/>
                </a:cubicBezTo>
                <a:cubicBezTo>
                  <a:pt x="69222" y="3232"/>
                  <a:pt x="60979" y="-1591"/>
                  <a:pt x="52897" y="480"/>
                </a:cubicBezTo>
                <a:cubicBezTo>
                  <a:pt x="44815" y="2551"/>
                  <a:pt x="39955" y="10732"/>
                  <a:pt x="42042" y="18754"/>
                </a:cubicBezTo>
                <a:cubicBezTo>
                  <a:pt x="43416" y="24037"/>
                  <a:pt x="47573" y="28163"/>
                  <a:pt x="52897" y="29527"/>
                </a:cubicBezTo>
                <a:lnTo>
                  <a:pt x="52897" y="37560"/>
                </a:lnTo>
                <a:cubicBezTo>
                  <a:pt x="52897" y="43773"/>
                  <a:pt x="47822" y="48810"/>
                  <a:pt x="41562" y="48810"/>
                </a:cubicBezTo>
                <a:lnTo>
                  <a:pt x="18892" y="48810"/>
                </a:lnTo>
                <a:cubicBezTo>
                  <a:pt x="8463" y="48822"/>
                  <a:pt x="12" y="57210"/>
                  <a:pt x="0" y="67560"/>
                </a:cubicBezTo>
                <a:lnTo>
                  <a:pt x="0" y="69352"/>
                </a:lnTo>
                <a:cubicBezTo>
                  <a:pt x="2616" y="70432"/>
                  <a:pt x="5143" y="71713"/>
                  <a:pt x="7557" y="7318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62" name="Freeform: Shape 561">
            <a:extLst>
              <a:ext uri="{FF2B5EF4-FFF2-40B4-BE49-F238E27FC236}">
                <a16:creationId xmlns:a16="http://schemas.microsoft.com/office/drawing/2014/main" id="{C428790E-5C3C-4423-8E69-B3DAC0B3F16E}"/>
              </a:ext>
            </a:extLst>
          </xdr:cNvPr>
          <xdr:cNvSpPr/>
        </xdr:nvSpPr>
        <xdr:spPr>
          <a:xfrm>
            <a:off x="14466307" y="9875764"/>
            <a:ext cx="30234" cy="82559"/>
          </a:xfrm>
          <a:custGeom>
            <a:avLst/>
            <a:gdLst>
              <a:gd name="connsiteX0" fmla="*/ 18895 w 30234"/>
              <a:gd name="connsiteY0" fmla="*/ 53032 h 82559"/>
              <a:gd name="connsiteX1" fmla="*/ 18895 w 30234"/>
              <a:gd name="connsiteY1" fmla="*/ 0 h 82559"/>
              <a:gd name="connsiteX2" fmla="*/ 11339 w 30234"/>
              <a:gd name="connsiteY2" fmla="*/ 0 h 82559"/>
              <a:gd name="connsiteX3" fmla="*/ 11339 w 30234"/>
              <a:gd name="connsiteY3" fmla="*/ 53032 h 82559"/>
              <a:gd name="connsiteX4" fmla="*/ 484 w 30234"/>
              <a:gd name="connsiteY4" fmla="*/ 71306 h 82559"/>
              <a:gd name="connsiteX5" fmla="*/ 18895 w 30234"/>
              <a:gd name="connsiteY5" fmla="*/ 82080 h 82559"/>
              <a:gd name="connsiteX6" fmla="*/ 29751 w 30234"/>
              <a:gd name="connsiteY6" fmla="*/ 63806 h 82559"/>
              <a:gd name="connsiteX7" fmla="*/ 18895 w 30234"/>
              <a:gd name="connsiteY7" fmla="*/ 53032 h 8255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30234" h="82559">
                <a:moveTo>
                  <a:pt x="18895" y="53032"/>
                </a:moveTo>
                <a:lnTo>
                  <a:pt x="18895" y="0"/>
                </a:lnTo>
                <a:lnTo>
                  <a:pt x="11339" y="0"/>
                </a:lnTo>
                <a:lnTo>
                  <a:pt x="11339" y="53032"/>
                </a:lnTo>
                <a:cubicBezTo>
                  <a:pt x="3257" y="55104"/>
                  <a:pt x="-1603" y="63285"/>
                  <a:pt x="484" y="71306"/>
                </a:cubicBezTo>
                <a:cubicBezTo>
                  <a:pt x="2570" y="79328"/>
                  <a:pt x="10814" y="84151"/>
                  <a:pt x="18895" y="82080"/>
                </a:cubicBezTo>
                <a:cubicBezTo>
                  <a:pt x="26977" y="80009"/>
                  <a:pt x="31837" y="71828"/>
                  <a:pt x="29751" y="63806"/>
                </a:cubicBezTo>
                <a:cubicBezTo>
                  <a:pt x="28376" y="58523"/>
                  <a:pt x="24219" y="54397"/>
                  <a:pt x="18895" y="53032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63" name="Freeform: Shape 562">
            <a:extLst>
              <a:ext uri="{FF2B5EF4-FFF2-40B4-BE49-F238E27FC236}">
                <a16:creationId xmlns:a16="http://schemas.microsoft.com/office/drawing/2014/main" id="{078CCDCE-4819-40EF-ACB9-2147D1EBFEC8}"/>
              </a:ext>
            </a:extLst>
          </xdr:cNvPr>
          <xdr:cNvSpPr/>
        </xdr:nvSpPr>
        <xdr:spPr>
          <a:xfrm>
            <a:off x="14356735" y="9875764"/>
            <a:ext cx="71792" cy="71309"/>
          </a:xfrm>
          <a:custGeom>
            <a:avLst/>
            <a:gdLst>
              <a:gd name="connsiteX0" fmla="*/ 64236 w 71792"/>
              <a:gd name="connsiteY0" fmla="*/ 3750 h 71309"/>
              <a:gd name="connsiteX1" fmla="*/ 52901 w 71792"/>
              <a:gd name="connsiteY1" fmla="*/ 15000 h 71309"/>
              <a:gd name="connsiteX2" fmla="*/ 30230 w 71792"/>
              <a:gd name="connsiteY2" fmla="*/ 15000 h 71309"/>
              <a:gd name="connsiteX3" fmla="*/ 11339 w 71792"/>
              <a:gd name="connsiteY3" fmla="*/ 33750 h 71309"/>
              <a:gd name="connsiteX4" fmla="*/ 11339 w 71792"/>
              <a:gd name="connsiteY4" fmla="*/ 41782 h 71309"/>
              <a:gd name="connsiteX5" fmla="*/ 484 w 71792"/>
              <a:gd name="connsiteY5" fmla="*/ 60056 h 71309"/>
              <a:gd name="connsiteX6" fmla="*/ 18895 w 71792"/>
              <a:gd name="connsiteY6" fmla="*/ 70830 h 71309"/>
              <a:gd name="connsiteX7" fmla="*/ 29751 w 71792"/>
              <a:gd name="connsiteY7" fmla="*/ 52556 h 71309"/>
              <a:gd name="connsiteX8" fmla="*/ 18895 w 71792"/>
              <a:gd name="connsiteY8" fmla="*/ 41782 h 71309"/>
              <a:gd name="connsiteX9" fmla="*/ 18895 w 71792"/>
              <a:gd name="connsiteY9" fmla="*/ 33750 h 71309"/>
              <a:gd name="connsiteX10" fmla="*/ 30230 w 71792"/>
              <a:gd name="connsiteY10" fmla="*/ 22500 h 71309"/>
              <a:gd name="connsiteX11" fmla="*/ 52901 w 71792"/>
              <a:gd name="connsiteY11" fmla="*/ 22500 h 71309"/>
              <a:gd name="connsiteX12" fmla="*/ 71792 w 71792"/>
              <a:gd name="connsiteY12" fmla="*/ 3750 h 71309"/>
              <a:gd name="connsiteX13" fmla="*/ 71792 w 71792"/>
              <a:gd name="connsiteY13" fmla="*/ 0 h 71309"/>
              <a:gd name="connsiteX14" fmla="*/ 64236 w 71792"/>
              <a:gd name="connsiteY14" fmla="*/ 0 h 7130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71792" h="71309">
                <a:moveTo>
                  <a:pt x="64236" y="3750"/>
                </a:moveTo>
                <a:cubicBezTo>
                  <a:pt x="64236" y="9963"/>
                  <a:pt x="59161" y="15000"/>
                  <a:pt x="52901" y="15000"/>
                </a:cubicBezTo>
                <a:lnTo>
                  <a:pt x="30230" y="15000"/>
                </a:lnTo>
                <a:cubicBezTo>
                  <a:pt x="19802" y="15012"/>
                  <a:pt x="11351" y="23400"/>
                  <a:pt x="11339" y="33750"/>
                </a:cubicBezTo>
                <a:lnTo>
                  <a:pt x="11339" y="41782"/>
                </a:lnTo>
                <a:cubicBezTo>
                  <a:pt x="3257" y="43854"/>
                  <a:pt x="-1603" y="52035"/>
                  <a:pt x="484" y="60056"/>
                </a:cubicBezTo>
                <a:cubicBezTo>
                  <a:pt x="2570" y="68078"/>
                  <a:pt x="10814" y="72901"/>
                  <a:pt x="18895" y="70830"/>
                </a:cubicBezTo>
                <a:cubicBezTo>
                  <a:pt x="26977" y="68759"/>
                  <a:pt x="31837" y="60577"/>
                  <a:pt x="29751" y="52556"/>
                </a:cubicBezTo>
                <a:cubicBezTo>
                  <a:pt x="28376" y="47273"/>
                  <a:pt x="24219" y="43147"/>
                  <a:pt x="18895" y="41782"/>
                </a:cubicBezTo>
                <a:lnTo>
                  <a:pt x="18895" y="33750"/>
                </a:lnTo>
                <a:cubicBezTo>
                  <a:pt x="18895" y="27537"/>
                  <a:pt x="23970" y="22500"/>
                  <a:pt x="30230" y="22500"/>
                </a:cubicBezTo>
                <a:lnTo>
                  <a:pt x="52901" y="22500"/>
                </a:lnTo>
                <a:cubicBezTo>
                  <a:pt x="63329" y="22488"/>
                  <a:pt x="71780" y="14100"/>
                  <a:pt x="71792" y="3750"/>
                </a:cubicBezTo>
                <a:lnTo>
                  <a:pt x="71792" y="0"/>
                </a:lnTo>
                <a:lnTo>
                  <a:pt x="64236" y="0"/>
                </a:ln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94" name="Freeform: Shape 593">
            <a:extLst>
              <a:ext uri="{FF2B5EF4-FFF2-40B4-BE49-F238E27FC236}">
                <a16:creationId xmlns:a16="http://schemas.microsoft.com/office/drawing/2014/main" id="{0B211975-7F18-4FC1-86F6-7E2D6E235D9C}"/>
              </a:ext>
            </a:extLst>
          </xdr:cNvPr>
          <xdr:cNvSpPr/>
        </xdr:nvSpPr>
        <xdr:spPr>
          <a:xfrm>
            <a:off x="14578339" y="9793263"/>
            <a:ext cx="61771" cy="29951"/>
          </a:xfrm>
          <a:custGeom>
            <a:avLst/>
            <a:gdLst>
              <a:gd name="connsiteX0" fmla="*/ 46663 w 61771"/>
              <a:gd name="connsiteY0" fmla="*/ 0 h 29951"/>
              <a:gd name="connsiteX1" fmla="*/ 32086 w 61771"/>
              <a:gd name="connsiteY1" fmla="*/ 11250 h 29951"/>
              <a:gd name="connsiteX2" fmla="*/ 0 w 61771"/>
              <a:gd name="connsiteY2" fmla="*/ 11250 h 29951"/>
              <a:gd name="connsiteX3" fmla="*/ 4092 w 61771"/>
              <a:gd name="connsiteY3" fmla="*/ 18750 h 29951"/>
              <a:gd name="connsiteX4" fmla="*/ 32082 w 61771"/>
              <a:gd name="connsiteY4" fmla="*/ 18750 h 29951"/>
              <a:gd name="connsiteX5" fmla="*/ 50486 w 61771"/>
              <a:gd name="connsiteY5" fmla="*/ 29463 h 29951"/>
              <a:gd name="connsiteX6" fmla="*/ 61281 w 61771"/>
              <a:gd name="connsiteY6" fmla="*/ 11198 h 29951"/>
              <a:gd name="connsiteX7" fmla="*/ 46663 w 61771"/>
              <a:gd name="connsiteY7" fmla="*/ 0 h 29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61771" h="29951">
                <a:moveTo>
                  <a:pt x="46663" y="0"/>
                </a:moveTo>
                <a:cubicBezTo>
                  <a:pt x="39792" y="26"/>
                  <a:pt x="33803" y="4647"/>
                  <a:pt x="32086" y="11250"/>
                </a:cubicBezTo>
                <a:lnTo>
                  <a:pt x="0" y="11250"/>
                </a:lnTo>
                <a:cubicBezTo>
                  <a:pt x="1594" y="13620"/>
                  <a:pt x="2964" y="16130"/>
                  <a:pt x="4092" y="18750"/>
                </a:cubicBezTo>
                <a:lnTo>
                  <a:pt x="32082" y="18750"/>
                </a:lnTo>
                <a:cubicBezTo>
                  <a:pt x="34183" y="26753"/>
                  <a:pt x="42423" y="31549"/>
                  <a:pt x="50486" y="29463"/>
                </a:cubicBezTo>
                <a:cubicBezTo>
                  <a:pt x="58549" y="27378"/>
                  <a:pt x="63382" y="19200"/>
                  <a:pt x="61281" y="11198"/>
                </a:cubicBezTo>
                <a:cubicBezTo>
                  <a:pt x="59547" y="4596"/>
                  <a:pt x="53536" y="-8"/>
                  <a:pt x="46663" y="0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605" name="Freeform: Shape 604">
            <a:extLst>
              <a:ext uri="{FF2B5EF4-FFF2-40B4-BE49-F238E27FC236}">
                <a16:creationId xmlns:a16="http://schemas.microsoft.com/office/drawing/2014/main" id="{3F4F43F6-E549-4DA7-A453-4195FA4488AF}"/>
              </a:ext>
            </a:extLst>
          </xdr:cNvPr>
          <xdr:cNvSpPr/>
        </xdr:nvSpPr>
        <xdr:spPr>
          <a:xfrm>
            <a:off x="14538099" y="9875298"/>
            <a:ext cx="68009" cy="49166"/>
          </a:xfrm>
          <a:custGeom>
            <a:avLst/>
            <a:gdLst>
              <a:gd name="connsiteX0" fmla="*/ 52897 w 68009"/>
              <a:gd name="connsiteY0" fmla="*/ 19215 h 49166"/>
              <a:gd name="connsiteX1" fmla="*/ 38320 w 68009"/>
              <a:gd name="connsiteY1" fmla="*/ 30465 h 49166"/>
              <a:gd name="connsiteX2" fmla="*/ 18892 w 68009"/>
              <a:gd name="connsiteY2" fmla="*/ 30465 h 49166"/>
              <a:gd name="connsiteX3" fmla="*/ 7557 w 68009"/>
              <a:gd name="connsiteY3" fmla="*/ 19215 h 49166"/>
              <a:gd name="connsiteX4" fmla="*/ 7557 w 68009"/>
              <a:gd name="connsiteY4" fmla="*/ 0 h 49166"/>
              <a:gd name="connsiteX5" fmla="*/ 1285 w 68009"/>
              <a:gd name="connsiteY5" fmla="*/ 465 h 49166"/>
              <a:gd name="connsiteX6" fmla="*/ 0 w 68009"/>
              <a:gd name="connsiteY6" fmla="*/ 465 h 49166"/>
              <a:gd name="connsiteX7" fmla="*/ 0 w 68009"/>
              <a:gd name="connsiteY7" fmla="*/ 19215 h 49166"/>
              <a:gd name="connsiteX8" fmla="*/ 18892 w 68009"/>
              <a:gd name="connsiteY8" fmla="*/ 37965 h 49166"/>
              <a:gd name="connsiteX9" fmla="*/ 38320 w 68009"/>
              <a:gd name="connsiteY9" fmla="*/ 37965 h 49166"/>
              <a:gd name="connsiteX10" fmla="*/ 56724 w 68009"/>
              <a:gd name="connsiteY10" fmla="*/ 48678 h 49166"/>
              <a:gd name="connsiteX11" fmla="*/ 67519 w 68009"/>
              <a:gd name="connsiteY11" fmla="*/ 30413 h 49166"/>
              <a:gd name="connsiteX12" fmla="*/ 52897 w 68009"/>
              <a:gd name="connsiteY12" fmla="*/ 19215 h 4916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68009" h="49166">
                <a:moveTo>
                  <a:pt x="52897" y="19215"/>
                </a:moveTo>
                <a:cubicBezTo>
                  <a:pt x="46026" y="19240"/>
                  <a:pt x="40038" y="23862"/>
                  <a:pt x="38320" y="30465"/>
                </a:cubicBezTo>
                <a:lnTo>
                  <a:pt x="18892" y="30465"/>
                </a:lnTo>
                <a:cubicBezTo>
                  <a:pt x="12631" y="30465"/>
                  <a:pt x="7557" y="25428"/>
                  <a:pt x="7557" y="19215"/>
                </a:cubicBezTo>
                <a:lnTo>
                  <a:pt x="7557" y="0"/>
                </a:lnTo>
                <a:cubicBezTo>
                  <a:pt x="5479" y="294"/>
                  <a:pt x="3384" y="449"/>
                  <a:pt x="1285" y="465"/>
                </a:cubicBezTo>
                <a:lnTo>
                  <a:pt x="0" y="465"/>
                </a:lnTo>
                <a:lnTo>
                  <a:pt x="0" y="19215"/>
                </a:lnTo>
                <a:cubicBezTo>
                  <a:pt x="12" y="29565"/>
                  <a:pt x="8463" y="37953"/>
                  <a:pt x="18892" y="37965"/>
                </a:cubicBezTo>
                <a:lnTo>
                  <a:pt x="38320" y="37965"/>
                </a:lnTo>
                <a:cubicBezTo>
                  <a:pt x="40421" y="45968"/>
                  <a:pt x="48661" y="50764"/>
                  <a:pt x="56724" y="48678"/>
                </a:cubicBezTo>
                <a:cubicBezTo>
                  <a:pt x="64787" y="46593"/>
                  <a:pt x="69620" y="38415"/>
                  <a:pt x="67519" y="30413"/>
                </a:cubicBezTo>
                <a:cubicBezTo>
                  <a:pt x="65785" y="23809"/>
                  <a:pt x="59772" y="19205"/>
                  <a:pt x="52897" y="19215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606" name="Freeform: Shape 605">
            <a:extLst>
              <a:ext uri="{FF2B5EF4-FFF2-40B4-BE49-F238E27FC236}">
                <a16:creationId xmlns:a16="http://schemas.microsoft.com/office/drawing/2014/main" id="{74769E5B-D48F-4B80-BB3D-5CF28DB1FCFE}"/>
              </a:ext>
            </a:extLst>
          </xdr:cNvPr>
          <xdr:cNvSpPr/>
        </xdr:nvSpPr>
        <xdr:spPr>
          <a:xfrm>
            <a:off x="14364142" y="9740763"/>
            <a:ext cx="210595" cy="123744"/>
          </a:xfrm>
          <a:custGeom>
            <a:avLst/>
            <a:gdLst>
              <a:gd name="connsiteX0" fmla="*/ 8496 w 210595"/>
              <a:gd name="connsiteY0" fmla="*/ 57154 h 123744"/>
              <a:gd name="connsiteX1" fmla="*/ 4110 w 210595"/>
              <a:gd name="connsiteY1" fmla="*/ 99934 h 123744"/>
              <a:gd name="connsiteX2" fmla="*/ 40522 w 210595"/>
              <a:gd name="connsiteY2" fmla="*/ 123630 h 123744"/>
              <a:gd name="connsiteX3" fmla="*/ 40763 w 210595"/>
              <a:gd name="connsiteY3" fmla="*/ 123630 h 123744"/>
              <a:gd name="connsiteX4" fmla="*/ 51876 w 210595"/>
              <a:gd name="connsiteY4" fmla="*/ 123743 h 123744"/>
              <a:gd name="connsiteX5" fmla="*/ 175238 w 210595"/>
              <a:gd name="connsiteY5" fmla="*/ 123743 h 123744"/>
              <a:gd name="connsiteX6" fmla="*/ 210594 w 210595"/>
              <a:gd name="connsiteY6" fmla="*/ 89380 h 123744"/>
              <a:gd name="connsiteX7" fmla="*/ 179822 w 210595"/>
              <a:gd name="connsiteY7" fmla="*/ 54540 h 123744"/>
              <a:gd name="connsiteX8" fmla="*/ 162555 w 210595"/>
              <a:gd name="connsiteY8" fmla="*/ 27795 h 123744"/>
              <a:gd name="connsiteX9" fmla="*/ 138162 w 210595"/>
              <a:gd name="connsiteY9" fmla="*/ 20198 h 123744"/>
              <a:gd name="connsiteX10" fmla="*/ 130102 w 210595"/>
              <a:gd name="connsiteY10" fmla="*/ 20948 h 123744"/>
              <a:gd name="connsiteX11" fmla="*/ 89512 w 210595"/>
              <a:gd name="connsiteY11" fmla="*/ 0 h 123744"/>
              <a:gd name="connsiteX12" fmla="*/ 78052 w 210595"/>
              <a:gd name="connsiteY12" fmla="*/ 1328 h 123744"/>
              <a:gd name="connsiteX13" fmla="*/ 40873 w 210595"/>
              <a:gd name="connsiteY13" fmla="*/ 40575 h 123744"/>
              <a:gd name="connsiteX14" fmla="*/ 8496 w 210595"/>
              <a:gd name="connsiteY14" fmla="*/ 57154 h 123744"/>
              <a:gd name="connsiteX15" fmla="*/ 42328 w 210595"/>
              <a:gd name="connsiteY15" fmla="*/ 48049 h 123744"/>
              <a:gd name="connsiteX16" fmla="*/ 47750 w 210595"/>
              <a:gd name="connsiteY16" fmla="*/ 48469 h 123744"/>
              <a:gd name="connsiteX17" fmla="*/ 47790 w 210595"/>
              <a:gd name="connsiteY17" fmla="*/ 48444 h 123744"/>
              <a:gd name="connsiteX18" fmla="*/ 47791 w 210595"/>
              <a:gd name="connsiteY18" fmla="*/ 48435 h 123744"/>
              <a:gd name="connsiteX19" fmla="*/ 47791 w 210595"/>
              <a:gd name="connsiteY19" fmla="*/ 47258 h 123744"/>
              <a:gd name="connsiteX20" fmla="*/ 79775 w 210595"/>
              <a:gd name="connsiteY20" fmla="*/ 8633 h 123744"/>
              <a:gd name="connsiteX21" fmla="*/ 126547 w 210595"/>
              <a:gd name="connsiteY21" fmla="*/ 29633 h 123744"/>
              <a:gd name="connsiteX22" fmla="*/ 126592 w 210595"/>
              <a:gd name="connsiteY22" fmla="*/ 29633 h 123744"/>
              <a:gd name="connsiteX23" fmla="*/ 158213 w 210595"/>
              <a:gd name="connsiteY23" fmla="*/ 33945 h 123744"/>
              <a:gd name="connsiteX24" fmla="*/ 172915 w 210595"/>
              <a:gd name="connsiteY24" fmla="*/ 61125 h 123744"/>
              <a:gd name="connsiteX25" fmla="*/ 172915 w 210595"/>
              <a:gd name="connsiteY25" fmla="*/ 61830 h 123744"/>
              <a:gd name="connsiteX26" fmla="*/ 172956 w 210595"/>
              <a:gd name="connsiteY26" fmla="*/ 61860 h 123744"/>
              <a:gd name="connsiteX27" fmla="*/ 175223 w 210595"/>
              <a:gd name="connsiteY27" fmla="*/ 61755 h 123744"/>
              <a:gd name="connsiteX28" fmla="*/ 202997 w 210595"/>
              <a:gd name="connsiteY28" fmla="*/ 88682 h 123744"/>
              <a:gd name="connsiteX29" fmla="*/ 175868 w 210595"/>
              <a:gd name="connsiteY29" fmla="*/ 116247 h 123744"/>
              <a:gd name="connsiteX30" fmla="*/ 175223 w 210595"/>
              <a:gd name="connsiteY30" fmla="*/ 116247 h 123744"/>
              <a:gd name="connsiteX31" fmla="*/ 51951 w 210595"/>
              <a:gd name="connsiteY31" fmla="*/ 116247 h 123744"/>
              <a:gd name="connsiteX32" fmla="*/ 40843 w 210595"/>
              <a:gd name="connsiteY32" fmla="*/ 116134 h 123744"/>
              <a:gd name="connsiteX33" fmla="*/ 10922 w 210595"/>
              <a:gd name="connsiteY33" fmla="*/ 96687 h 123744"/>
              <a:gd name="connsiteX34" fmla="*/ 14511 w 210595"/>
              <a:gd name="connsiteY34" fmla="*/ 61688 h 123744"/>
              <a:gd name="connsiteX35" fmla="*/ 42328 w 210595"/>
              <a:gd name="connsiteY35" fmla="*/ 48049 h 12374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</a:cxnLst>
            <a:rect l="l" t="t" r="r" b="b"/>
            <a:pathLst>
              <a:path w="210595" h="123744">
                <a:moveTo>
                  <a:pt x="8496" y="57154"/>
                </a:moveTo>
                <a:cubicBezTo>
                  <a:pt x="-969" y="69455"/>
                  <a:pt x="-2665" y="85993"/>
                  <a:pt x="4110" y="99934"/>
                </a:cubicBezTo>
                <a:cubicBezTo>
                  <a:pt x="10893" y="113912"/>
                  <a:pt x="24901" y="123029"/>
                  <a:pt x="40522" y="123630"/>
                </a:cubicBezTo>
                <a:lnTo>
                  <a:pt x="40763" y="123630"/>
                </a:lnTo>
                <a:lnTo>
                  <a:pt x="51876" y="123743"/>
                </a:lnTo>
                <a:lnTo>
                  <a:pt x="175238" y="123743"/>
                </a:lnTo>
                <a:cubicBezTo>
                  <a:pt x="194562" y="123944"/>
                  <a:pt x="210392" y="108559"/>
                  <a:pt x="210594" y="89380"/>
                </a:cubicBezTo>
                <a:cubicBezTo>
                  <a:pt x="210781" y="71680"/>
                  <a:pt x="197526" y="56673"/>
                  <a:pt x="179822" y="54540"/>
                </a:cubicBezTo>
                <a:cubicBezTo>
                  <a:pt x="177863" y="43707"/>
                  <a:pt x="171653" y="34088"/>
                  <a:pt x="162555" y="27795"/>
                </a:cubicBezTo>
                <a:cubicBezTo>
                  <a:pt x="155405" y="22832"/>
                  <a:pt x="146887" y="20179"/>
                  <a:pt x="138162" y="20198"/>
                </a:cubicBezTo>
                <a:cubicBezTo>
                  <a:pt x="135457" y="20195"/>
                  <a:pt x="132759" y="20446"/>
                  <a:pt x="130102" y="20948"/>
                </a:cubicBezTo>
                <a:cubicBezTo>
                  <a:pt x="120864" y="7768"/>
                  <a:pt x="105689" y="-63"/>
                  <a:pt x="89512" y="0"/>
                </a:cubicBezTo>
                <a:cubicBezTo>
                  <a:pt x="85653" y="2"/>
                  <a:pt x="81807" y="447"/>
                  <a:pt x="78052" y="1328"/>
                </a:cubicBezTo>
                <a:cubicBezTo>
                  <a:pt x="58799" y="5738"/>
                  <a:pt x="44122" y="21231"/>
                  <a:pt x="40873" y="40575"/>
                </a:cubicBezTo>
                <a:cubicBezTo>
                  <a:pt x="28127" y="41025"/>
                  <a:pt x="16252" y="47106"/>
                  <a:pt x="8496" y="57154"/>
                </a:cubicBezTo>
                <a:close/>
                <a:moveTo>
                  <a:pt x="42328" y="48049"/>
                </a:moveTo>
                <a:cubicBezTo>
                  <a:pt x="44143" y="48050"/>
                  <a:pt x="45956" y="48190"/>
                  <a:pt x="47750" y="48469"/>
                </a:cubicBezTo>
                <a:cubicBezTo>
                  <a:pt x="47768" y="48473"/>
                  <a:pt x="47786" y="48462"/>
                  <a:pt x="47790" y="48444"/>
                </a:cubicBezTo>
                <a:cubicBezTo>
                  <a:pt x="47791" y="48441"/>
                  <a:pt x="47791" y="48438"/>
                  <a:pt x="47791" y="48435"/>
                </a:cubicBezTo>
                <a:cubicBezTo>
                  <a:pt x="47791" y="48233"/>
                  <a:pt x="47791" y="47524"/>
                  <a:pt x="47791" y="47258"/>
                </a:cubicBezTo>
                <a:cubicBezTo>
                  <a:pt x="48393" y="28674"/>
                  <a:pt x="61522" y="12819"/>
                  <a:pt x="79775" y="8633"/>
                </a:cubicBezTo>
                <a:cubicBezTo>
                  <a:pt x="98364" y="4249"/>
                  <a:pt x="117591" y="12881"/>
                  <a:pt x="126547" y="29633"/>
                </a:cubicBezTo>
                <a:cubicBezTo>
                  <a:pt x="126561" y="29643"/>
                  <a:pt x="126579" y="29643"/>
                  <a:pt x="126592" y="29633"/>
                </a:cubicBezTo>
                <a:cubicBezTo>
                  <a:pt x="137221" y="25966"/>
                  <a:pt x="148976" y="27569"/>
                  <a:pt x="158213" y="33945"/>
                </a:cubicBezTo>
                <a:cubicBezTo>
                  <a:pt x="167219" y="40144"/>
                  <a:pt x="172686" y="50251"/>
                  <a:pt x="172915" y="61125"/>
                </a:cubicBezTo>
                <a:cubicBezTo>
                  <a:pt x="172915" y="61249"/>
                  <a:pt x="172915" y="61695"/>
                  <a:pt x="172915" y="61830"/>
                </a:cubicBezTo>
                <a:cubicBezTo>
                  <a:pt x="172915" y="61853"/>
                  <a:pt x="172915" y="61864"/>
                  <a:pt x="172956" y="61860"/>
                </a:cubicBezTo>
                <a:cubicBezTo>
                  <a:pt x="173709" y="61773"/>
                  <a:pt x="174466" y="61738"/>
                  <a:pt x="175223" y="61755"/>
                </a:cubicBezTo>
                <a:cubicBezTo>
                  <a:pt x="190384" y="61579"/>
                  <a:pt x="202819" y="73634"/>
                  <a:pt x="202997" y="88682"/>
                </a:cubicBezTo>
                <a:cubicBezTo>
                  <a:pt x="203175" y="103729"/>
                  <a:pt x="191029" y="116070"/>
                  <a:pt x="175868" y="116247"/>
                </a:cubicBezTo>
                <a:cubicBezTo>
                  <a:pt x="175653" y="116249"/>
                  <a:pt x="175438" y="116249"/>
                  <a:pt x="175223" y="116247"/>
                </a:cubicBezTo>
                <a:lnTo>
                  <a:pt x="51951" y="116247"/>
                </a:lnTo>
                <a:lnTo>
                  <a:pt x="40843" y="116134"/>
                </a:lnTo>
                <a:cubicBezTo>
                  <a:pt x="28016" y="115632"/>
                  <a:pt x="16512" y="108155"/>
                  <a:pt x="10922" y="96687"/>
                </a:cubicBezTo>
                <a:cubicBezTo>
                  <a:pt x="5400" y="85277"/>
                  <a:pt x="6787" y="71759"/>
                  <a:pt x="14511" y="61688"/>
                </a:cubicBezTo>
                <a:cubicBezTo>
                  <a:pt x="21127" y="53078"/>
                  <a:pt x="31418" y="48032"/>
                  <a:pt x="42328" y="48049"/>
                </a:cubicBezTo>
                <a:close/>
              </a:path>
            </a:pathLst>
          </a:custGeom>
          <a:solidFill>
            <a:srgbClr val="1F4E78"/>
          </a:solidFill>
          <a:ln w="3770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oneCellAnchor>
  <xdr:twoCellAnchor editAs="oneCell">
    <xdr:from>
      <xdr:col>7</xdr:col>
      <xdr:colOff>628650</xdr:colOff>
      <xdr:row>1</xdr:row>
      <xdr:rowOff>28575</xdr:rowOff>
    </xdr:from>
    <xdr:to>
      <xdr:col>9</xdr:col>
      <xdr:colOff>349634</xdr:colOff>
      <xdr:row>2</xdr:row>
      <xdr:rowOff>292018</xdr:rowOff>
    </xdr:to>
    <xdr:sp macro="" textlink="">
      <xdr:nvSpPr>
        <xdr:cNvPr id="431" name="headerinfobox">
          <a:extLst>
            <a:ext uri="{FF2B5EF4-FFF2-40B4-BE49-F238E27FC236}">
              <a16:creationId xmlns:a16="http://schemas.microsoft.com/office/drawing/2014/main" id="{083AD658-7546-4C68-9EF8-3484730DF477}"/>
            </a:ext>
          </a:extLst>
        </xdr:cNvPr>
        <xdr:cNvSpPr txBox="1"/>
      </xdr:nvSpPr>
      <xdr:spPr>
        <a:xfrm>
          <a:off x="6562725" y="114300"/>
          <a:ext cx="1616459" cy="5110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6000" tIns="36000" rIns="36000" bIns="36000" rtlCol="0" anchor="t">
          <a:spAutoFit/>
        </a:bodyPr>
        <a:lstStyle/>
        <a:p>
          <a:pPr algn="r"/>
          <a:r>
            <a:rPr lang="tr-TR" sz="1050">
              <a:solidFill>
                <a:schemeClr val="bg1">
                  <a:lumMod val="95000"/>
                </a:schemeClr>
              </a:solidFill>
            </a:rPr>
            <a:t>For more templates, </a:t>
          </a:r>
          <a:r>
            <a:rPr lang="tr-TR" sz="1050" b="1">
              <a:solidFill>
                <a:schemeClr val="bg1">
                  <a:lumMod val="95000"/>
                </a:schemeClr>
              </a:solidFill>
            </a:rPr>
            <a:t>click →</a:t>
          </a:r>
        </a:p>
        <a:p>
          <a:pPr algn="r"/>
          <a:endParaRPr lang="tr-TR" sz="600">
            <a:solidFill>
              <a:schemeClr val="bg1">
                <a:lumMod val="95000"/>
              </a:schemeClr>
            </a:solidFill>
          </a:endParaRPr>
        </a:p>
        <a:p>
          <a:pPr algn="r"/>
          <a:r>
            <a:rPr lang="tr-TR" sz="1050" i="1">
              <a:solidFill>
                <a:schemeClr val="bg1">
                  <a:lumMod val="95000"/>
                </a:schemeClr>
              </a:solidFill>
            </a:rPr>
            <a:t/>
          </a:r>
        </a:p>
      </xdr:txBody>
    </xdr:sp>
    <xdr:clientData fPrintsWithSheet="0"/>
  </xdr:twoCellAnchor>
  <xdr:oneCellAnchor>
    <xdr:from>
      <xdr:col>9</xdr:col>
      <xdr:colOff>475129</xdr:colOff>
      <xdr:row>1</xdr:row>
      <xdr:rowOff>47625</xdr:rowOff>
    </xdr:from>
    <xdr:ext cx="1325166" cy="381000"/>
    <xdr:pic>
      <xdr:nvPicPr>
        <xdr:cNvPr id="1644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</xdr:row>
      <xdr:rowOff>9525</xdr:rowOff>
    </xdr:from>
    <xdr:to>
      <xdr:col>3</xdr:col>
      <xdr:colOff>580494</xdr:colOff>
      <xdr:row>2</xdr:row>
      <xdr:rowOff>239636</xdr:rowOff>
    </xdr:to>
    <xdr:grpSp>
      <xdr:nvGrpSpPr>
        <xdr:cNvPr id="7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F586219F-297F-44AD-B67B-EA8BAD781DFB}"/>
            </a:ext>
          </a:extLst>
        </xdr:cNvPr>
        <xdr:cNvGrpSpPr/>
      </xdr:nvGrpSpPr>
      <xdr:grpSpPr>
        <a:xfrm>
          <a:off x="10144125" y="95250"/>
          <a:ext cx="1085319" cy="477761"/>
          <a:chOff x="7332133" y="217525"/>
          <a:chExt cx="1131771" cy="451203"/>
        </a:xfrm>
      </xdr:grpSpPr>
      <xdr:sp macro="" textlink="">
        <xdr:nvSpPr>
          <xdr:cNvPr id="8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6402113C-E0E0-4143-827E-866694E77C5D}"/>
              </a:ext>
            </a:extLst>
          </xdr:cNvPr>
          <xdr:cNvSpPr/>
        </xdr:nvSpPr>
        <xdr:spPr>
          <a:xfrm>
            <a:off x="7332133" y="222010"/>
            <a:ext cx="1116756" cy="446718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9" name="Picture 8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942B95A4-C1E3-42C7-90B4-A9B8D371ED71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388041" y="217525"/>
            <a:ext cx="496172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" name="TextBox 9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54B3EF4A-7BC7-4259-9772-EF2F4866D00E}"/>
              </a:ext>
            </a:extLst>
          </xdr:cNvPr>
          <xdr:cNvSpPr txBox="1"/>
        </xdr:nvSpPr>
        <xdr:spPr>
          <a:xfrm>
            <a:off x="7792377" y="255855"/>
            <a:ext cx="671527" cy="36819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36000" tIns="36000" rIns="36000" bIns="36000" rtlCol="0" anchor="ctr">
            <a:spAutoFit/>
          </a:bodyPr>
          <a:lstStyle/>
          <a:p>
            <a:pPr algn="ctr"/>
            <a:r>
              <a:rPr lang="tr-TR" sz="1000" b="1" i="1">
                <a:solidFill>
                  <a:srgbClr val="FFFFFF"/>
                </a:solidFill>
              </a:rPr>
              <a:t>Back</a:t>
            </a:r>
            <a:r>
              <a:rPr lang="tr-TR" sz="1000" b="1" i="1" baseline="0">
                <a:solidFill>
                  <a:srgbClr val="FFFFFF"/>
                </a:solidFill>
              </a:rPr>
              <a:t> to </a:t>
            </a:r>
          </a:p>
          <a:p>
            <a:pPr algn="ctr"/>
            <a:r>
              <a:rPr lang="tr-TR" sz="1000" b="1" i="1" baseline="0">
                <a:solidFill>
                  <a:srgbClr val="FFFFFF"/>
                </a:solidFill>
              </a:rPr>
              <a:t>Menu</a:t>
            </a:r>
            <a:endParaRPr lang="tr-TR" sz="1000" b="1" i="1"/>
          </a:p>
        </xdr:txBody>
      </xdr:sp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E2D818-E127-42DF-9BD9-1C15131CF5F0}" name="Table1" displayName="Table1" ref="B5:E255" totalsRowShown="0">
  <tableColumns count="4">
    <tableColumn id="1" xr3:uid="{465C8D63-D502-40B6-B87E-683966989CC6}" name="EVENT" dataDxfId="3"/>
    <tableColumn id="2" xr3:uid="{F28EC3E8-4330-4B27-B646-85627E345CAA}" name="START DATE" dataDxfId="2"/>
    <tableColumn id="3" xr3:uid="{9D5BB8F8-9F27-4390-A6C4-77AFD47D7EFE}" name=" END DATE_x000a_(Optional)" dataDxfId="1"/>
    <tableColumn id="4" xr3:uid="{A4F8541C-6204-461E-B022-16976CE0DA77}" name="ICON_x000a_(Optional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C8478-8579-43F5-AB6C-37B03126AE96}">
  <sheetPr codeName="Sheet1">
    <pageSetUpPr fitToPage="1"/>
  </sheetPr>
  <dimension ref="B1:N257"/>
  <sheetViews>
    <sheetView showGridLines="0" showRowColHeaders="0" tabSelected="1" zoomScaleNormal="100" workbookViewId="0">
      <pane ySplit="5" topLeftCell="A6" activePane="bottomLeft" state="frozen"/>
      <selection pane="bottomLeft" activeCell="A6" sqref="A6"/>
    </sheetView>
  </sheetViews>
  <sheetFormatPr defaultRowHeight="15" outlineLevelRow="1" x14ac:dyDescent="0.25"/>
  <cols>
    <col min="1" max="1" width="3.7109375" style="16" customWidth="1"/>
    <col min="2" max="2" width="40.7109375" style="20" customWidth="1"/>
    <col min="3" max="5" width="16.7109375" style="20" customWidth="1"/>
    <col min="6" max="6" width="5.7109375" style="16" customWidth="1"/>
    <col min="7" max="7" width="22.7109375" style="16" customWidth="1"/>
    <col min="8" max="8" width="21.5703125" style="16" customWidth="1"/>
    <col min="9" max="9" width="13.42578125" style="16" customWidth="1"/>
    <col min="10" max="10" width="9.5703125" style="16" customWidth="1"/>
    <col min="11" max="11" width="9.85546875" style="16" bestFit="1" customWidth="1"/>
    <col min="12" max="16384" width="9.140625" style="16"/>
  </cols>
  <sheetData>
    <row r="1" spans="2:14" s="9" customFormat="1" ht="6.75" customHeight="1" x14ac:dyDescent="0.25">
      <c r="B1" s="10"/>
      <c r="E1" s="11"/>
      <c r="F1" s="11"/>
    </row>
    <row r="2" spans="2:14" s="12" customFormat="1" ht="20.100000000000001" customHeight="1" x14ac:dyDescent="0.25">
      <c r="B2" s="171" t="s">
        <v>183</v>
      </c>
      <c r="C2" s="1"/>
      <c r="D2" s="2"/>
      <c r="E2" s="2"/>
      <c r="F2" s="2"/>
      <c r="G2" s="2"/>
      <c r="H2" s="2"/>
      <c r="I2" s="13"/>
      <c r="J2" s="13"/>
      <c r="K2" s="13"/>
      <c r="L2" s="13"/>
    </row>
    <row r="3" spans="2:14" s="14" customFormat="1" ht="24" customHeight="1" x14ac:dyDescent="0.25">
      <c r="B3" s="21" t="s">
        <v>118</v>
      </c>
      <c r="C3" s="3"/>
      <c r="D3" s="4"/>
      <c r="E3" s="4"/>
      <c r="F3" s="4"/>
      <c r="G3" s="4"/>
      <c r="H3" s="4"/>
      <c r="I3" s="15"/>
      <c r="J3" s="15"/>
      <c r="K3" s="15"/>
      <c r="L3" s="15"/>
    </row>
    <row r="4" spans="2:14" ht="5.0999999999999996" customHeight="1" x14ac:dyDescent="0.25"/>
    <row r="5" spans="2:14" s="17" customFormat="1" ht="30" customHeight="1" x14ac:dyDescent="0.25">
      <c r="B5" s="66" t="s">
        <v>160</v>
      </c>
      <c r="C5" s="67" t="s">
        <v>161</v>
      </c>
      <c r="D5" s="68" t="s">
        <v>162</v>
      </c>
      <c r="E5" s="69" t="s">
        <v>163</v>
      </c>
      <c r="G5" s="62" t="s">
        <v>165</v>
      </c>
      <c r="H5" s="63"/>
      <c r="I5" s="16"/>
      <c r="J5" s="16"/>
      <c r="M5" s="16"/>
    </row>
    <row r="6" spans="2:14" x14ac:dyDescent="0.25">
      <c r="B6" s="70" t="s">
        <v>176</v>
      </c>
      <c r="C6" s="71">
        <v>38076</v>
      </c>
      <c r="D6" s="71"/>
      <c r="E6" s="72" t="s">
        <v>106</v>
      </c>
      <c r="G6" s="64" t="s">
        <v>166</v>
      </c>
      <c r="H6" s="76" t="s">
        <v>164</v>
      </c>
      <c r="N6" s="18"/>
    </row>
    <row r="7" spans="2:14" x14ac:dyDescent="0.25">
      <c r="B7" s="70" t="s">
        <v>177</v>
      </c>
      <c r="C7" s="71">
        <v>38153</v>
      </c>
      <c r="D7" s="71"/>
      <c r="E7" s="72"/>
      <c r="G7" s="64" t="s">
        <v>167</v>
      </c>
      <c r="H7" s="76" t="s">
        <v>138</v>
      </c>
      <c r="N7" s="19"/>
    </row>
    <row r="8" spans="2:14" x14ac:dyDescent="0.25">
      <c r="B8" s="70" t="s">
        <v>178</v>
      </c>
      <c r="C8" s="71">
        <v>38261</v>
      </c>
      <c r="D8" s="71"/>
      <c r="E8" s="72"/>
      <c r="G8" s="64" t="s">
        <v>168</v>
      </c>
      <c r="H8" s="76">
        <v>6</v>
      </c>
      <c r="N8" s="19"/>
    </row>
    <row r="9" spans="2:14" x14ac:dyDescent="0.25">
      <c r="B9" s="70" t="s">
        <v>179</v>
      </c>
      <c r="C9" s="71">
        <v>40302</v>
      </c>
      <c r="D9" s="71"/>
      <c r="E9" s="72"/>
      <c r="G9" s="65" t="s">
        <v>169</v>
      </c>
      <c r="H9" s="77">
        <v>6</v>
      </c>
      <c r="M9" s="17"/>
    </row>
    <row r="10" spans="2:14" x14ac:dyDescent="0.25">
      <c r="B10" s="70" t="s">
        <v>180</v>
      </c>
      <c r="C10" s="71">
        <v>40407</v>
      </c>
      <c r="D10" s="71"/>
      <c r="E10" s="72"/>
      <c r="G10" s="64" t="s">
        <v>170</v>
      </c>
      <c r="H10" s="76">
        <v>4</v>
      </c>
    </row>
    <row r="11" spans="2:14" x14ac:dyDescent="0.25">
      <c r="B11" s="70" t="s">
        <v>181</v>
      </c>
      <c r="C11" s="71">
        <v>40407</v>
      </c>
      <c r="D11" s="71">
        <v>42964</v>
      </c>
      <c r="E11" s="72" t="s">
        <v>101</v>
      </c>
      <c r="G11" s="64" t="s">
        <v>171</v>
      </c>
      <c r="H11" s="76">
        <v>7</v>
      </c>
    </row>
    <row r="12" spans="2:14" x14ac:dyDescent="0.25">
      <c r="B12" s="70" t="s">
        <v>182</v>
      </c>
      <c r="C12" s="71">
        <v>42840</v>
      </c>
      <c r="D12" s="71"/>
      <c r="E12" s="72"/>
      <c r="G12" s="64" t="s">
        <v>172</v>
      </c>
      <c r="H12" s="76">
        <v>6</v>
      </c>
    </row>
    <row r="13" spans="2:14" x14ac:dyDescent="0.25">
      <c r="B13" s="73"/>
      <c r="C13" s="74"/>
      <c r="D13" s="74"/>
      <c r="E13" s="75"/>
      <c r="G13" s="64" t="s">
        <v>173</v>
      </c>
      <c r="H13" s="76">
        <v>11</v>
      </c>
    </row>
    <row r="14" spans="2:14" x14ac:dyDescent="0.25">
      <c r="B14" s="79"/>
      <c r="C14" s="80"/>
      <c r="D14" s="80"/>
      <c r="E14" s="81"/>
      <c r="G14" s="64" t="s">
        <v>174</v>
      </c>
      <c r="H14" s="76">
        <v>11</v>
      </c>
    </row>
    <row r="15" spans="2:14" x14ac:dyDescent="0.25">
      <c r="B15" s="82"/>
      <c r="C15" s="83"/>
      <c r="D15" s="83"/>
      <c r="E15" s="84"/>
      <c r="G15" s="64" t="s">
        <v>175</v>
      </c>
      <c r="H15" s="76" t="s">
        <v>151</v>
      </c>
    </row>
    <row r="16" spans="2:14" x14ac:dyDescent="0.25">
      <c r="B16" s="82"/>
      <c r="C16" s="83"/>
      <c r="D16" s="83"/>
      <c r="E16" s="84"/>
    </row>
    <row r="17" spans="2:8" x14ac:dyDescent="0.25">
      <c r="B17" s="82"/>
      <c r="C17" s="83"/>
      <c r="D17" s="83"/>
      <c r="E17" s="84"/>
      <c r="G17" s="53"/>
      <c r="H17" s="54"/>
    </row>
    <row r="18" spans="2:8" x14ac:dyDescent="0.25">
      <c r="B18" s="82"/>
      <c r="C18" s="83"/>
      <c r="D18" s="83"/>
      <c r="E18" s="84"/>
      <c r="G18" s="55"/>
      <c r="H18" s="56"/>
    </row>
    <row r="19" spans="2:8" x14ac:dyDescent="0.25">
      <c r="B19" s="82"/>
      <c r="C19" s="83"/>
      <c r="D19" s="83"/>
      <c r="E19" s="84"/>
      <c r="G19" s="55"/>
      <c r="H19" s="56"/>
    </row>
    <row r="20" spans="2:8" x14ac:dyDescent="0.25">
      <c r="B20" s="82"/>
      <c r="C20" s="85"/>
      <c r="D20" s="83"/>
      <c r="E20" s="84"/>
      <c r="G20" s="55"/>
      <c r="H20" s="56"/>
    </row>
    <row r="21" spans="2:8" x14ac:dyDescent="0.25">
      <c r="B21" s="82"/>
      <c r="C21" s="83"/>
      <c r="D21" s="83"/>
      <c r="E21" s="84"/>
      <c r="G21" s="55"/>
      <c r="H21" s="56"/>
    </row>
    <row r="22" spans="2:8" x14ac:dyDescent="0.25">
      <c r="B22" s="82"/>
      <c r="C22" s="83"/>
      <c r="D22" s="83"/>
      <c r="E22" s="84"/>
      <c r="G22" s="57"/>
      <c r="H22" s="58"/>
    </row>
    <row r="23" spans="2:8" x14ac:dyDescent="0.25">
      <c r="B23" s="82"/>
      <c r="C23" s="83"/>
      <c r="D23" s="83"/>
      <c r="E23" s="84"/>
    </row>
    <row r="24" spans="2:8" x14ac:dyDescent="0.25">
      <c r="B24" s="82"/>
      <c r="C24" s="83"/>
      <c r="D24" s="83"/>
      <c r="E24" s="84"/>
    </row>
    <row r="25" spans="2:8" x14ac:dyDescent="0.25">
      <c r="B25" s="82"/>
      <c r="C25" s="83"/>
      <c r="D25" s="83"/>
      <c r="E25" s="84"/>
    </row>
    <row r="26" spans="2:8" x14ac:dyDescent="0.25">
      <c r="B26" s="82"/>
      <c r="C26" s="83"/>
      <c r="D26" s="83"/>
      <c r="E26" s="84"/>
    </row>
    <row r="27" spans="2:8" x14ac:dyDescent="0.25">
      <c r="B27" s="82"/>
      <c r="C27" s="83"/>
      <c r="D27" s="83"/>
      <c r="E27" s="84"/>
    </row>
    <row r="28" spans="2:8" x14ac:dyDescent="0.25">
      <c r="B28" s="82"/>
      <c r="C28" s="83"/>
      <c r="D28" s="83"/>
      <c r="E28" s="84"/>
    </row>
    <row r="29" spans="2:8" x14ac:dyDescent="0.25">
      <c r="B29" s="82"/>
      <c r="C29" s="83"/>
      <c r="D29" s="83"/>
      <c r="E29" s="84"/>
    </row>
    <row r="30" spans="2:8" x14ac:dyDescent="0.25">
      <c r="B30" s="82"/>
      <c r="C30" s="83"/>
      <c r="D30" s="83"/>
      <c r="E30" s="84"/>
    </row>
    <row r="31" spans="2:8" hidden="1" outlineLevel="1" x14ac:dyDescent="0.25">
      <c r="B31" s="82"/>
      <c r="C31" s="83"/>
      <c r="D31" s="83"/>
      <c r="E31" s="84"/>
    </row>
    <row r="32" spans="2:8" hidden="1" outlineLevel="1" x14ac:dyDescent="0.25">
      <c r="B32" s="82"/>
      <c r="C32" s="83"/>
      <c r="D32" s="83"/>
      <c r="E32" s="84"/>
    </row>
    <row r="33" spans="2:5" hidden="1" outlineLevel="1" x14ac:dyDescent="0.25">
      <c r="B33" s="82"/>
      <c r="C33" s="83"/>
      <c r="D33" s="83"/>
      <c r="E33" s="84"/>
    </row>
    <row r="34" spans="2:5" hidden="1" outlineLevel="1" x14ac:dyDescent="0.25">
      <c r="B34" s="82"/>
      <c r="C34" s="83"/>
      <c r="D34" s="83"/>
      <c r="E34" s="84"/>
    </row>
    <row r="35" spans="2:5" hidden="1" outlineLevel="1" x14ac:dyDescent="0.25">
      <c r="B35" s="82"/>
      <c r="C35" s="83"/>
      <c r="D35" s="83"/>
      <c r="E35" s="84"/>
    </row>
    <row r="36" spans="2:5" hidden="1" outlineLevel="1" x14ac:dyDescent="0.25">
      <c r="B36" s="82"/>
      <c r="C36" s="83"/>
      <c r="D36" s="83"/>
      <c r="E36" s="84"/>
    </row>
    <row r="37" spans="2:5" hidden="1" outlineLevel="1" x14ac:dyDescent="0.25">
      <c r="B37" s="82"/>
      <c r="C37" s="83"/>
      <c r="D37" s="83"/>
      <c r="E37" s="84"/>
    </row>
    <row r="38" spans="2:5" hidden="1" outlineLevel="1" x14ac:dyDescent="0.25">
      <c r="B38" s="82"/>
      <c r="C38" s="83"/>
      <c r="D38" s="83"/>
      <c r="E38" s="84"/>
    </row>
    <row r="39" spans="2:5" hidden="1" outlineLevel="1" x14ac:dyDescent="0.25">
      <c r="B39" s="82"/>
      <c r="C39" s="83"/>
      <c r="D39" s="83"/>
      <c r="E39" s="84"/>
    </row>
    <row r="40" spans="2:5" hidden="1" outlineLevel="1" x14ac:dyDescent="0.25">
      <c r="B40" s="82"/>
      <c r="C40" s="83"/>
      <c r="D40" s="83"/>
      <c r="E40" s="84"/>
    </row>
    <row r="41" spans="2:5" hidden="1" outlineLevel="1" x14ac:dyDescent="0.25">
      <c r="B41" s="82"/>
      <c r="C41" s="83"/>
      <c r="D41" s="83"/>
      <c r="E41" s="84"/>
    </row>
    <row r="42" spans="2:5" hidden="1" outlineLevel="1" x14ac:dyDescent="0.25">
      <c r="B42" s="82"/>
      <c r="C42" s="83"/>
      <c r="D42" s="83"/>
      <c r="E42" s="84"/>
    </row>
    <row r="43" spans="2:5" hidden="1" outlineLevel="1" x14ac:dyDescent="0.25">
      <c r="B43" s="82"/>
      <c r="C43" s="83"/>
      <c r="D43" s="83"/>
      <c r="E43" s="84"/>
    </row>
    <row r="44" spans="2:5" hidden="1" outlineLevel="1" x14ac:dyDescent="0.25">
      <c r="B44" s="82"/>
      <c r="C44" s="83"/>
      <c r="D44" s="83"/>
      <c r="E44" s="84"/>
    </row>
    <row r="45" spans="2:5" hidden="1" outlineLevel="1" x14ac:dyDescent="0.25">
      <c r="B45" s="82"/>
      <c r="C45" s="83"/>
      <c r="D45" s="83"/>
      <c r="E45" s="84"/>
    </row>
    <row r="46" spans="2:5" hidden="1" outlineLevel="1" x14ac:dyDescent="0.25">
      <c r="B46" s="82"/>
      <c r="C46" s="83"/>
      <c r="D46" s="83"/>
      <c r="E46" s="84"/>
    </row>
    <row r="47" spans="2:5" hidden="1" outlineLevel="1" x14ac:dyDescent="0.25">
      <c r="B47" s="82"/>
      <c r="C47" s="83"/>
      <c r="D47" s="83"/>
      <c r="E47" s="84"/>
    </row>
    <row r="48" spans="2:5" hidden="1" outlineLevel="1" x14ac:dyDescent="0.25">
      <c r="B48" s="82"/>
      <c r="C48" s="83"/>
      <c r="D48" s="83"/>
      <c r="E48" s="84"/>
    </row>
    <row r="49" spans="2:5" hidden="1" outlineLevel="1" x14ac:dyDescent="0.25">
      <c r="B49" s="82"/>
      <c r="C49" s="83"/>
      <c r="D49" s="83"/>
      <c r="E49" s="84"/>
    </row>
    <row r="50" spans="2:5" hidden="1" outlineLevel="1" x14ac:dyDescent="0.25">
      <c r="B50" s="82"/>
      <c r="C50" s="83"/>
      <c r="D50" s="83"/>
      <c r="E50" s="84"/>
    </row>
    <row r="51" spans="2:5" hidden="1" outlineLevel="1" x14ac:dyDescent="0.25">
      <c r="B51" s="82"/>
      <c r="C51" s="83"/>
      <c r="D51" s="83"/>
      <c r="E51" s="84"/>
    </row>
    <row r="52" spans="2:5" hidden="1" outlineLevel="1" x14ac:dyDescent="0.25">
      <c r="B52" s="82"/>
      <c r="C52" s="83"/>
      <c r="D52" s="83"/>
      <c r="E52" s="84"/>
    </row>
    <row r="53" spans="2:5" hidden="1" outlineLevel="1" x14ac:dyDescent="0.25">
      <c r="B53" s="82"/>
      <c r="C53" s="83"/>
      <c r="D53" s="83"/>
      <c r="E53" s="84"/>
    </row>
    <row r="54" spans="2:5" hidden="1" outlineLevel="1" x14ac:dyDescent="0.25">
      <c r="B54" s="82"/>
      <c r="C54" s="83"/>
      <c r="D54" s="83"/>
      <c r="E54" s="84"/>
    </row>
    <row r="55" spans="2:5" hidden="1" outlineLevel="1" x14ac:dyDescent="0.25">
      <c r="B55" s="82"/>
      <c r="C55" s="83"/>
      <c r="D55" s="83"/>
      <c r="E55" s="84"/>
    </row>
    <row r="56" spans="2:5" hidden="1" outlineLevel="1" x14ac:dyDescent="0.25">
      <c r="B56" s="82"/>
      <c r="C56" s="83"/>
      <c r="D56" s="83"/>
      <c r="E56" s="84"/>
    </row>
    <row r="57" spans="2:5" hidden="1" outlineLevel="1" x14ac:dyDescent="0.25">
      <c r="B57" s="82"/>
      <c r="C57" s="83"/>
      <c r="D57" s="83"/>
      <c r="E57" s="84"/>
    </row>
    <row r="58" spans="2:5" hidden="1" outlineLevel="1" x14ac:dyDescent="0.25">
      <c r="B58" s="82"/>
      <c r="C58" s="83"/>
      <c r="D58" s="83"/>
      <c r="E58" s="84"/>
    </row>
    <row r="59" spans="2:5" hidden="1" outlineLevel="1" x14ac:dyDescent="0.25">
      <c r="B59" s="82"/>
      <c r="C59" s="83"/>
      <c r="D59" s="83"/>
      <c r="E59" s="84"/>
    </row>
    <row r="60" spans="2:5" hidden="1" outlineLevel="1" x14ac:dyDescent="0.25">
      <c r="B60" s="82"/>
      <c r="C60" s="83"/>
      <c r="D60" s="83"/>
      <c r="E60" s="84"/>
    </row>
    <row r="61" spans="2:5" hidden="1" outlineLevel="1" x14ac:dyDescent="0.25">
      <c r="B61" s="82"/>
      <c r="C61" s="83"/>
      <c r="D61" s="83"/>
      <c r="E61" s="84"/>
    </row>
    <row r="62" spans="2:5" hidden="1" outlineLevel="1" x14ac:dyDescent="0.25">
      <c r="B62" s="82"/>
      <c r="C62" s="83"/>
      <c r="D62" s="83"/>
      <c r="E62" s="84"/>
    </row>
    <row r="63" spans="2:5" hidden="1" outlineLevel="1" x14ac:dyDescent="0.25">
      <c r="B63" s="82"/>
      <c r="C63" s="83"/>
      <c r="D63" s="83"/>
      <c r="E63" s="84"/>
    </row>
    <row r="64" spans="2:5" hidden="1" outlineLevel="1" x14ac:dyDescent="0.25">
      <c r="B64" s="82"/>
      <c r="C64" s="83"/>
      <c r="D64" s="83"/>
      <c r="E64" s="84"/>
    </row>
    <row r="65" spans="2:5" hidden="1" outlineLevel="1" x14ac:dyDescent="0.25">
      <c r="B65" s="82"/>
      <c r="C65" s="83"/>
      <c r="D65" s="83"/>
      <c r="E65" s="84"/>
    </row>
    <row r="66" spans="2:5" hidden="1" outlineLevel="1" x14ac:dyDescent="0.25">
      <c r="B66" s="82"/>
      <c r="C66" s="83"/>
      <c r="D66" s="83"/>
      <c r="E66" s="84"/>
    </row>
    <row r="67" spans="2:5" hidden="1" outlineLevel="1" x14ac:dyDescent="0.25">
      <c r="B67" s="82"/>
      <c r="C67" s="83"/>
      <c r="D67" s="83"/>
      <c r="E67" s="84"/>
    </row>
    <row r="68" spans="2:5" hidden="1" outlineLevel="1" x14ac:dyDescent="0.25">
      <c r="B68" s="82"/>
      <c r="C68" s="83"/>
      <c r="D68" s="83"/>
      <c r="E68" s="84"/>
    </row>
    <row r="69" spans="2:5" hidden="1" outlineLevel="1" x14ac:dyDescent="0.25">
      <c r="B69" s="82"/>
      <c r="C69" s="83"/>
      <c r="D69" s="83"/>
      <c r="E69" s="84"/>
    </row>
    <row r="70" spans="2:5" hidden="1" outlineLevel="1" x14ac:dyDescent="0.25">
      <c r="B70" s="82"/>
      <c r="C70" s="83"/>
      <c r="D70" s="83"/>
      <c r="E70" s="84"/>
    </row>
    <row r="71" spans="2:5" hidden="1" outlineLevel="1" x14ac:dyDescent="0.25">
      <c r="B71" s="82"/>
      <c r="C71" s="83"/>
      <c r="D71" s="83"/>
      <c r="E71" s="84"/>
    </row>
    <row r="72" spans="2:5" hidden="1" outlineLevel="1" x14ac:dyDescent="0.25">
      <c r="B72" s="82"/>
      <c r="C72" s="83"/>
      <c r="D72" s="83"/>
      <c r="E72" s="84"/>
    </row>
    <row r="73" spans="2:5" hidden="1" outlineLevel="1" x14ac:dyDescent="0.25">
      <c r="B73" s="82"/>
      <c r="C73" s="83"/>
      <c r="D73" s="83"/>
      <c r="E73" s="84"/>
    </row>
    <row r="74" spans="2:5" hidden="1" outlineLevel="1" x14ac:dyDescent="0.25">
      <c r="B74" s="82"/>
      <c r="C74" s="83"/>
      <c r="D74" s="83"/>
      <c r="E74" s="84"/>
    </row>
    <row r="75" spans="2:5" hidden="1" outlineLevel="1" x14ac:dyDescent="0.25">
      <c r="B75" s="82"/>
      <c r="C75" s="83"/>
      <c r="D75" s="83"/>
      <c r="E75" s="84"/>
    </row>
    <row r="76" spans="2:5" hidden="1" outlineLevel="1" x14ac:dyDescent="0.25">
      <c r="B76" s="82"/>
      <c r="C76" s="83"/>
      <c r="D76" s="83"/>
      <c r="E76" s="84"/>
    </row>
    <row r="77" spans="2:5" hidden="1" outlineLevel="1" x14ac:dyDescent="0.25">
      <c r="B77" s="82"/>
      <c r="C77" s="83"/>
      <c r="D77" s="83"/>
      <c r="E77" s="84"/>
    </row>
    <row r="78" spans="2:5" hidden="1" outlineLevel="1" x14ac:dyDescent="0.25">
      <c r="B78" s="82"/>
      <c r="C78" s="83"/>
      <c r="D78" s="83"/>
      <c r="E78" s="84"/>
    </row>
    <row r="79" spans="2:5" hidden="1" outlineLevel="1" x14ac:dyDescent="0.25">
      <c r="B79" s="82"/>
      <c r="C79" s="83"/>
      <c r="D79" s="83"/>
      <c r="E79" s="84"/>
    </row>
    <row r="80" spans="2:5" hidden="1" outlineLevel="1" x14ac:dyDescent="0.25">
      <c r="B80" s="82"/>
      <c r="C80" s="83"/>
      <c r="D80" s="83"/>
      <c r="E80" s="84"/>
    </row>
    <row r="81" spans="2:5" hidden="1" outlineLevel="1" x14ac:dyDescent="0.25">
      <c r="B81" s="82"/>
      <c r="C81" s="83"/>
      <c r="D81" s="83"/>
      <c r="E81" s="84"/>
    </row>
    <row r="82" spans="2:5" hidden="1" outlineLevel="1" x14ac:dyDescent="0.25">
      <c r="B82" s="82"/>
      <c r="C82" s="83"/>
      <c r="D82" s="83"/>
      <c r="E82" s="84"/>
    </row>
    <row r="83" spans="2:5" hidden="1" outlineLevel="1" x14ac:dyDescent="0.25">
      <c r="B83" s="82"/>
      <c r="C83" s="83"/>
      <c r="D83" s="83"/>
      <c r="E83" s="84"/>
    </row>
    <row r="84" spans="2:5" hidden="1" outlineLevel="1" x14ac:dyDescent="0.25">
      <c r="B84" s="82"/>
      <c r="C84" s="83"/>
      <c r="D84" s="83"/>
      <c r="E84" s="84"/>
    </row>
    <row r="85" spans="2:5" hidden="1" outlineLevel="1" x14ac:dyDescent="0.25">
      <c r="B85" s="82"/>
      <c r="C85" s="83"/>
      <c r="D85" s="83"/>
      <c r="E85" s="84"/>
    </row>
    <row r="86" spans="2:5" hidden="1" outlineLevel="1" x14ac:dyDescent="0.25">
      <c r="B86" s="82"/>
      <c r="C86" s="83"/>
      <c r="D86" s="83"/>
      <c r="E86" s="84"/>
    </row>
    <row r="87" spans="2:5" hidden="1" outlineLevel="1" x14ac:dyDescent="0.25">
      <c r="B87" s="82"/>
      <c r="C87" s="83"/>
      <c r="D87" s="83"/>
      <c r="E87" s="84"/>
    </row>
    <row r="88" spans="2:5" hidden="1" outlineLevel="1" x14ac:dyDescent="0.25">
      <c r="B88" s="82"/>
      <c r="C88" s="83"/>
      <c r="D88" s="83"/>
      <c r="E88" s="84"/>
    </row>
    <row r="89" spans="2:5" hidden="1" outlineLevel="1" x14ac:dyDescent="0.25">
      <c r="B89" s="82"/>
      <c r="C89" s="83"/>
      <c r="D89" s="83"/>
      <c r="E89" s="84"/>
    </row>
    <row r="90" spans="2:5" hidden="1" outlineLevel="1" x14ac:dyDescent="0.25">
      <c r="B90" s="82"/>
      <c r="C90" s="83"/>
      <c r="D90" s="83"/>
      <c r="E90" s="84"/>
    </row>
    <row r="91" spans="2:5" hidden="1" outlineLevel="1" x14ac:dyDescent="0.25">
      <c r="B91" s="82"/>
      <c r="C91" s="83"/>
      <c r="D91" s="83"/>
      <c r="E91" s="84"/>
    </row>
    <row r="92" spans="2:5" hidden="1" outlineLevel="1" x14ac:dyDescent="0.25">
      <c r="B92" s="82"/>
      <c r="C92" s="83"/>
      <c r="D92" s="83"/>
      <c r="E92" s="84"/>
    </row>
    <row r="93" spans="2:5" hidden="1" outlineLevel="1" x14ac:dyDescent="0.25">
      <c r="B93" s="82"/>
      <c r="C93" s="83"/>
      <c r="D93" s="83"/>
      <c r="E93" s="84"/>
    </row>
    <row r="94" spans="2:5" hidden="1" outlineLevel="1" x14ac:dyDescent="0.25">
      <c r="B94" s="82"/>
      <c r="C94" s="83"/>
      <c r="D94" s="83"/>
      <c r="E94" s="84"/>
    </row>
    <row r="95" spans="2:5" hidden="1" outlineLevel="1" x14ac:dyDescent="0.25">
      <c r="B95" s="82"/>
      <c r="C95" s="83"/>
      <c r="D95" s="83"/>
      <c r="E95" s="84"/>
    </row>
    <row r="96" spans="2:5" hidden="1" outlineLevel="1" x14ac:dyDescent="0.25">
      <c r="B96" s="82"/>
      <c r="C96" s="83"/>
      <c r="D96" s="83"/>
      <c r="E96" s="84"/>
    </row>
    <row r="97" spans="2:5" hidden="1" outlineLevel="1" x14ac:dyDescent="0.25">
      <c r="B97" s="82"/>
      <c r="C97" s="83"/>
      <c r="D97" s="83"/>
      <c r="E97" s="84"/>
    </row>
    <row r="98" spans="2:5" hidden="1" outlineLevel="1" x14ac:dyDescent="0.25">
      <c r="B98" s="82"/>
      <c r="C98" s="83"/>
      <c r="D98" s="83"/>
      <c r="E98" s="84"/>
    </row>
    <row r="99" spans="2:5" hidden="1" outlineLevel="1" x14ac:dyDescent="0.25">
      <c r="B99" s="82"/>
      <c r="C99" s="83"/>
      <c r="D99" s="83"/>
      <c r="E99" s="84"/>
    </row>
    <row r="100" spans="2:5" hidden="1" outlineLevel="1" x14ac:dyDescent="0.25">
      <c r="B100" s="82"/>
      <c r="C100" s="83"/>
      <c r="D100" s="83"/>
      <c r="E100" s="84"/>
    </row>
    <row r="101" spans="2:5" hidden="1" outlineLevel="1" x14ac:dyDescent="0.25">
      <c r="B101" s="82"/>
      <c r="C101" s="83"/>
      <c r="D101" s="83"/>
      <c r="E101" s="84"/>
    </row>
    <row r="102" spans="2:5" hidden="1" outlineLevel="1" x14ac:dyDescent="0.25">
      <c r="B102" s="82"/>
      <c r="C102" s="83"/>
      <c r="D102" s="83"/>
      <c r="E102" s="84"/>
    </row>
    <row r="103" spans="2:5" hidden="1" outlineLevel="1" x14ac:dyDescent="0.25">
      <c r="B103" s="82"/>
      <c r="C103" s="83"/>
      <c r="D103" s="83"/>
      <c r="E103" s="84"/>
    </row>
    <row r="104" spans="2:5" hidden="1" outlineLevel="1" x14ac:dyDescent="0.25">
      <c r="B104" s="82"/>
      <c r="C104" s="83"/>
      <c r="D104" s="83"/>
      <c r="E104" s="84"/>
    </row>
    <row r="105" spans="2:5" hidden="1" outlineLevel="1" x14ac:dyDescent="0.25">
      <c r="B105" s="82"/>
      <c r="C105" s="83"/>
      <c r="D105" s="83"/>
      <c r="E105" s="84"/>
    </row>
    <row r="106" spans="2:5" hidden="1" outlineLevel="1" x14ac:dyDescent="0.25">
      <c r="B106" s="82"/>
      <c r="C106" s="83"/>
      <c r="D106" s="83"/>
      <c r="E106" s="84"/>
    </row>
    <row r="107" spans="2:5" hidden="1" outlineLevel="1" x14ac:dyDescent="0.25">
      <c r="B107" s="82"/>
      <c r="C107" s="83"/>
      <c r="D107" s="83"/>
      <c r="E107" s="84"/>
    </row>
    <row r="108" spans="2:5" hidden="1" outlineLevel="1" x14ac:dyDescent="0.25">
      <c r="B108" s="82"/>
      <c r="C108" s="83"/>
      <c r="D108" s="83"/>
      <c r="E108" s="84"/>
    </row>
    <row r="109" spans="2:5" hidden="1" outlineLevel="1" x14ac:dyDescent="0.25">
      <c r="B109" s="82"/>
      <c r="C109" s="83"/>
      <c r="D109" s="83"/>
      <c r="E109" s="84"/>
    </row>
    <row r="110" spans="2:5" hidden="1" outlineLevel="1" x14ac:dyDescent="0.25">
      <c r="B110" s="82"/>
      <c r="C110" s="83"/>
      <c r="D110" s="83"/>
      <c r="E110" s="84"/>
    </row>
    <row r="111" spans="2:5" hidden="1" outlineLevel="1" x14ac:dyDescent="0.25">
      <c r="B111" s="82"/>
      <c r="C111" s="83"/>
      <c r="D111" s="83"/>
      <c r="E111" s="84"/>
    </row>
    <row r="112" spans="2:5" hidden="1" outlineLevel="1" x14ac:dyDescent="0.25">
      <c r="B112" s="82"/>
      <c r="C112" s="83"/>
      <c r="D112" s="83"/>
      <c r="E112" s="84"/>
    </row>
    <row r="113" spans="2:5" hidden="1" outlineLevel="1" x14ac:dyDescent="0.25">
      <c r="B113" s="82"/>
      <c r="C113" s="83"/>
      <c r="D113" s="83"/>
      <c r="E113" s="84"/>
    </row>
    <row r="114" spans="2:5" hidden="1" outlineLevel="1" x14ac:dyDescent="0.25">
      <c r="B114" s="82"/>
      <c r="C114" s="83"/>
      <c r="D114" s="83"/>
      <c r="E114" s="84"/>
    </row>
    <row r="115" spans="2:5" hidden="1" outlineLevel="1" x14ac:dyDescent="0.25">
      <c r="B115" s="82"/>
      <c r="C115" s="83"/>
      <c r="D115" s="83"/>
      <c r="E115" s="84"/>
    </row>
    <row r="116" spans="2:5" hidden="1" outlineLevel="1" x14ac:dyDescent="0.25">
      <c r="B116" s="82"/>
      <c r="C116" s="83"/>
      <c r="D116" s="83"/>
      <c r="E116" s="84"/>
    </row>
    <row r="117" spans="2:5" hidden="1" outlineLevel="1" x14ac:dyDescent="0.25">
      <c r="B117" s="82"/>
      <c r="C117" s="83"/>
      <c r="D117" s="83"/>
      <c r="E117" s="84"/>
    </row>
    <row r="118" spans="2:5" hidden="1" outlineLevel="1" x14ac:dyDescent="0.25">
      <c r="B118" s="82"/>
      <c r="C118" s="83"/>
      <c r="D118" s="83"/>
      <c r="E118" s="84"/>
    </row>
    <row r="119" spans="2:5" hidden="1" outlineLevel="1" x14ac:dyDescent="0.25">
      <c r="B119" s="82"/>
      <c r="C119" s="83"/>
      <c r="D119" s="83"/>
      <c r="E119" s="84"/>
    </row>
    <row r="120" spans="2:5" hidden="1" outlineLevel="1" x14ac:dyDescent="0.25">
      <c r="B120" s="82"/>
      <c r="C120" s="83"/>
      <c r="D120" s="83"/>
      <c r="E120" s="84"/>
    </row>
    <row r="121" spans="2:5" hidden="1" outlineLevel="1" x14ac:dyDescent="0.25">
      <c r="B121" s="82"/>
      <c r="C121" s="83"/>
      <c r="D121" s="83"/>
      <c r="E121" s="84"/>
    </row>
    <row r="122" spans="2:5" hidden="1" outlineLevel="1" x14ac:dyDescent="0.25">
      <c r="B122" s="82"/>
      <c r="C122" s="83"/>
      <c r="D122" s="83"/>
      <c r="E122" s="84"/>
    </row>
    <row r="123" spans="2:5" hidden="1" outlineLevel="1" x14ac:dyDescent="0.25">
      <c r="B123" s="82"/>
      <c r="C123" s="83"/>
      <c r="D123" s="83"/>
      <c r="E123" s="84"/>
    </row>
    <row r="124" spans="2:5" hidden="1" outlineLevel="1" x14ac:dyDescent="0.25">
      <c r="B124" s="82"/>
      <c r="C124" s="83"/>
      <c r="D124" s="83"/>
      <c r="E124" s="84"/>
    </row>
    <row r="125" spans="2:5" hidden="1" outlineLevel="1" x14ac:dyDescent="0.25">
      <c r="B125" s="82"/>
      <c r="C125" s="83"/>
      <c r="D125" s="83"/>
      <c r="E125" s="84"/>
    </row>
    <row r="126" spans="2:5" hidden="1" outlineLevel="1" x14ac:dyDescent="0.25">
      <c r="B126" s="82"/>
      <c r="C126" s="83"/>
      <c r="D126" s="83"/>
      <c r="E126" s="84"/>
    </row>
    <row r="127" spans="2:5" hidden="1" outlineLevel="1" x14ac:dyDescent="0.25">
      <c r="B127" s="82"/>
      <c r="C127" s="83"/>
      <c r="D127" s="83"/>
      <c r="E127" s="84"/>
    </row>
    <row r="128" spans="2:5" hidden="1" outlineLevel="1" x14ac:dyDescent="0.25">
      <c r="B128" s="82"/>
      <c r="C128" s="83"/>
      <c r="D128" s="83"/>
      <c r="E128" s="84"/>
    </row>
    <row r="129" spans="2:5" hidden="1" outlineLevel="1" x14ac:dyDescent="0.25">
      <c r="B129" s="82"/>
      <c r="C129" s="83"/>
      <c r="D129" s="83"/>
      <c r="E129" s="84"/>
    </row>
    <row r="130" spans="2:5" hidden="1" outlineLevel="1" x14ac:dyDescent="0.25">
      <c r="B130" s="82"/>
      <c r="C130" s="83"/>
      <c r="D130" s="83"/>
      <c r="E130" s="84"/>
    </row>
    <row r="131" spans="2:5" hidden="1" outlineLevel="1" x14ac:dyDescent="0.25">
      <c r="B131" s="82"/>
      <c r="C131" s="83"/>
      <c r="D131" s="83"/>
      <c r="E131" s="84"/>
    </row>
    <row r="132" spans="2:5" hidden="1" outlineLevel="1" x14ac:dyDescent="0.25">
      <c r="B132" s="82"/>
      <c r="C132" s="83"/>
      <c r="D132" s="83"/>
      <c r="E132" s="84"/>
    </row>
    <row r="133" spans="2:5" hidden="1" outlineLevel="1" x14ac:dyDescent="0.25">
      <c r="B133" s="82"/>
      <c r="C133" s="83"/>
      <c r="D133" s="83"/>
      <c r="E133" s="84"/>
    </row>
    <row r="134" spans="2:5" hidden="1" outlineLevel="1" x14ac:dyDescent="0.25">
      <c r="B134" s="82"/>
      <c r="C134" s="83"/>
      <c r="D134" s="83"/>
      <c r="E134" s="84"/>
    </row>
    <row r="135" spans="2:5" hidden="1" outlineLevel="1" x14ac:dyDescent="0.25">
      <c r="B135" s="82"/>
      <c r="C135" s="83"/>
      <c r="D135" s="83"/>
      <c r="E135" s="84"/>
    </row>
    <row r="136" spans="2:5" hidden="1" outlineLevel="1" x14ac:dyDescent="0.25">
      <c r="B136" s="82"/>
      <c r="C136" s="83"/>
      <c r="D136" s="83"/>
      <c r="E136" s="84"/>
    </row>
    <row r="137" spans="2:5" hidden="1" outlineLevel="1" x14ac:dyDescent="0.25">
      <c r="B137" s="82"/>
      <c r="C137" s="83"/>
      <c r="D137" s="83"/>
      <c r="E137" s="84"/>
    </row>
    <row r="138" spans="2:5" hidden="1" outlineLevel="1" x14ac:dyDescent="0.25">
      <c r="B138" s="82"/>
      <c r="C138" s="83"/>
      <c r="D138" s="83"/>
      <c r="E138" s="84"/>
    </row>
    <row r="139" spans="2:5" hidden="1" outlineLevel="1" x14ac:dyDescent="0.25">
      <c r="B139" s="82"/>
      <c r="C139" s="83"/>
      <c r="D139" s="83"/>
      <c r="E139" s="84"/>
    </row>
    <row r="140" spans="2:5" hidden="1" outlineLevel="1" x14ac:dyDescent="0.25">
      <c r="B140" s="82"/>
      <c r="C140" s="83"/>
      <c r="D140" s="83"/>
      <c r="E140" s="84"/>
    </row>
    <row r="141" spans="2:5" hidden="1" outlineLevel="1" x14ac:dyDescent="0.25">
      <c r="B141" s="82"/>
      <c r="C141" s="83"/>
      <c r="D141" s="83"/>
      <c r="E141" s="84"/>
    </row>
    <row r="142" spans="2:5" hidden="1" outlineLevel="1" x14ac:dyDescent="0.25">
      <c r="B142" s="82"/>
      <c r="C142" s="83"/>
      <c r="D142" s="83"/>
      <c r="E142" s="84"/>
    </row>
    <row r="143" spans="2:5" hidden="1" outlineLevel="1" x14ac:dyDescent="0.25">
      <c r="B143" s="82"/>
      <c r="C143" s="83"/>
      <c r="D143" s="83"/>
      <c r="E143" s="84"/>
    </row>
    <row r="144" spans="2:5" hidden="1" outlineLevel="1" x14ac:dyDescent="0.25">
      <c r="B144" s="82"/>
      <c r="C144" s="83"/>
      <c r="D144" s="83"/>
      <c r="E144" s="84"/>
    </row>
    <row r="145" spans="2:5" hidden="1" outlineLevel="1" x14ac:dyDescent="0.25">
      <c r="B145" s="82"/>
      <c r="C145" s="83"/>
      <c r="D145" s="83"/>
      <c r="E145" s="84"/>
    </row>
    <row r="146" spans="2:5" hidden="1" outlineLevel="1" x14ac:dyDescent="0.25">
      <c r="B146" s="82"/>
      <c r="C146" s="83"/>
      <c r="D146" s="83"/>
      <c r="E146" s="84"/>
    </row>
    <row r="147" spans="2:5" hidden="1" outlineLevel="1" x14ac:dyDescent="0.25">
      <c r="B147" s="82"/>
      <c r="C147" s="83"/>
      <c r="D147" s="83"/>
      <c r="E147" s="84"/>
    </row>
    <row r="148" spans="2:5" hidden="1" outlineLevel="1" x14ac:dyDescent="0.25">
      <c r="B148" s="82"/>
      <c r="C148" s="83"/>
      <c r="D148" s="83"/>
      <c r="E148" s="84"/>
    </row>
    <row r="149" spans="2:5" hidden="1" outlineLevel="1" x14ac:dyDescent="0.25">
      <c r="B149" s="82"/>
      <c r="C149" s="83"/>
      <c r="D149" s="83"/>
      <c r="E149" s="84"/>
    </row>
    <row r="150" spans="2:5" hidden="1" outlineLevel="1" x14ac:dyDescent="0.25">
      <c r="B150" s="82"/>
      <c r="C150" s="83"/>
      <c r="D150" s="83"/>
      <c r="E150" s="84"/>
    </row>
    <row r="151" spans="2:5" hidden="1" outlineLevel="1" x14ac:dyDescent="0.25">
      <c r="B151" s="82"/>
      <c r="C151" s="83"/>
      <c r="D151" s="83"/>
      <c r="E151" s="84"/>
    </row>
    <row r="152" spans="2:5" hidden="1" outlineLevel="1" x14ac:dyDescent="0.25">
      <c r="B152" s="82"/>
      <c r="C152" s="83"/>
      <c r="D152" s="83"/>
      <c r="E152" s="84"/>
    </row>
    <row r="153" spans="2:5" hidden="1" outlineLevel="1" x14ac:dyDescent="0.25">
      <c r="B153" s="82"/>
      <c r="C153" s="83"/>
      <c r="D153" s="83"/>
      <c r="E153" s="84"/>
    </row>
    <row r="154" spans="2:5" hidden="1" outlineLevel="1" x14ac:dyDescent="0.25">
      <c r="B154" s="82"/>
      <c r="C154" s="83"/>
      <c r="D154" s="83"/>
      <c r="E154" s="84"/>
    </row>
    <row r="155" spans="2:5" hidden="1" outlineLevel="1" x14ac:dyDescent="0.25">
      <c r="B155" s="82"/>
      <c r="C155" s="83"/>
      <c r="D155" s="83"/>
      <c r="E155" s="84"/>
    </row>
    <row r="156" spans="2:5" hidden="1" outlineLevel="1" x14ac:dyDescent="0.25">
      <c r="B156" s="82"/>
      <c r="C156" s="83"/>
      <c r="D156" s="83"/>
      <c r="E156" s="84"/>
    </row>
    <row r="157" spans="2:5" hidden="1" outlineLevel="1" x14ac:dyDescent="0.25">
      <c r="B157" s="82"/>
      <c r="C157" s="83"/>
      <c r="D157" s="83"/>
      <c r="E157" s="84"/>
    </row>
    <row r="158" spans="2:5" hidden="1" outlineLevel="1" x14ac:dyDescent="0.25">
      <c r="B158" s="82"/>
      <c r="C158" s="83"/>
      <c r="D158" s="83"/>
      <c r="E158" s="84"/>
    </row>
    <row r="159" spans="2:5" hidden="1" outlineLevel="1" x14ac:dyDescent="0.25">
      <c r="B159" s="82"/>
      <c r="C159" s="83"/>
      <c r="D159" s="83"/>
      <c r="E159" s="84"/>
    </row>
    <row r="160" spans="2:5" hidden="1" outlineLevel="1" x14ac:dyDescent="0.25">
      <c r="B160" s="82"/>
      <c r="C160" s="83"/>
      <c r="D160" s="83"/>
      <c r="E160" s="84"/>
    </row>
    <row r="161" spans="2:5" hidden="1" outlineLevel="1" x14ac:dyDescent="0.25">
      <c r="B161" s="82"/>
      <c r="C161" s="83"/>
      <c r="D161" s="83"/>
      <c r="E161" s="84"/>
    </row>
    <row r="162" spans="2:5" hidden="1" outlineLevel="1" x14ac:dyDescent="0.25">
      <c r="B162" s="82"/>
      <c r="C162" s="83"/>
      <c r="D162" s="83"/>
      <c r="E162" s="84"/>
    </row>
    <row r="163" spans="2:5" hidden="1" outlineLevel="1" x14ac:dyDescent="0.25">
      <c r="B163" s="82"/>
      <c r="C163" s="83"/>
      <c r="D163" s="83"/>
      <c r="E163" s="84"/>
    </row>
    <row r="164" spans="2:5" hidden="1" outlineLevel="1" x14ac:dyDescent="0.25">
      <c r="B164" s="82"/>
      <c r="C164" s="83"/>
      <c r="D164" s="83"/>
      <c r="E164" s="84"/>
    </row>
    <row r="165" spans="2:5" hidden="1" outlineLevel="1" x14ac:dyDescent="0.25">
      <c r="B165" s="82"/>
      <c r="C165" s="83"/>
      <c r="D165" s="83"/>
      <c r="E165" s="84"/>
    </row>
    <row r="166" spans="2:5" hidden="1" outlineLevel="1" x14ac:dyDescent="0.25">
      <c r="B166" s="82"/>
      <c r="C166" s="83"/>
      <c r="D166" s="83"/>
      <c r="E166" s="84"/>
    </row>
    <row r="167" spans="2:5" hidden="1" outlineLevel="1" x14ac:dyDescent="0.25">
      <c r="B167" s="82"/>
      <c r="C167" s="83"/>
      <c r="D167" s="83"/>
      <c r="E167" s="84"/>
    </row>
    <row r="168" spans="2:5" hidden="1" outlineLevel="1" x14ac:dyDescent="0.25">
      <c r="B168" s="82"/>
      <c r="C168" s="83"/>
      <c r="D168" s="83"/>
      <c r="E168" s="84"/>
    </row>
    <row r="169" spans="2:5" hidden="1" outlineLevel="1" x14ac:dyDescent="0.25">
      <c r="B169" s="82"/>
      <c r="C169" s="83"/>
      <c r="D169" s="83"/>
      <c r="E169" s="84"/>
    </row>
    <row r="170" spans="2:5" hidden="1" outlineLevel="1" x14ac:dyDescent="0.25">
      <c r="B170" s="82"/>
      <c r="C170" s="83"/>
      <c r="D170" s="83"/>
      <c r="E170" s="84"/>
    </row>
    <row r="171" spans="2:5" hidden="1" outlineLevel="1" x14ac:dyDescent="0.25">
      <c r="B171" s="82"/>
      <c r="C171" s="83"/>
      <c r="D171" s="83"/>
      <c r="E171" s="84"/>
    </row>
    <row r="172" spans="2:5" hidden="1" outlineLevel="1" x14ac:dyDescent="0.25">
      <c r="B172" s="82"/>
      <c r="C172" s="83"/>
      <c r="D172" s="83"/>
      <c r="E172" s="84"/>
    </row>
    <row r="173" spans="2:5" hidden="1" outlineLevel="1" x14ac:dyDescent="0.25">
      <c r="B173" s="82"/>
      <c r="C173" s="83"/>
      <c r="D173" s="83"/>
      <c r="E173" s="84"/>
    </row>
    <row r="174" spans="2:5" hidden="1" outlineLevel="1" x14ac:dyDescent="0.25">
      <c r="B174" s="82"/>
      <c r="C174" s="83"/>
      <c r="D174" s="83"/>
      <c r="E174" s="84"/>
    </row>
    <row r="175" spans="2:5" hidden="1" outlineLevel="1" x14ac:dyDescent="0.25">
      <c r="B175" s="82"/>
      <c r="C175" s="83"/>
      <c r="D175" s="83"/>
      <c r="E175" s="84"/>
    </row>
    <row r="176" spans="2:5" hidden="1" outlineLevel="1" x14ac:dyDescent="0.25">
      <c r="B176" s="82"/>
      <c r="C176" s="83"/>
      <c r="D176" s="83"/>
      <c r="E176" s="84"/>
    </row>
    <row r="177" spans="2:5" hidden="1" outlineLevel="1" x14ac:dyDescent="0.25">
      <c r="B177" s="82"/>
      <c r="C177" s="83"/>
      <c r="D177" s="83"/>
      <c r="E177" s="84"/>
    </row>
    <row r="178" spans="2:5" hidden="1" outlineLevel="1" x14ac:dyDescent="0.25">
      <c r="B178" s="82"/>
      <c r="C178" s="83"/>
      <c r="D178" s="83"/>
      <c r="E178" s="84"/>
    </row>
    <row r="179" spans="2:5" hidden="1" outlineLevel="1" x14ac:dyDescent="0.25">
      <c r="B179" s="82"/>
      <c r="C179" s="83"/>
      <c r="D179" s="83"/>
      <c r="E179" s="84"/>
    </row>
    <row r="180" spans="2:5" hidden="1" outlineLevel="1" x14ac:dyDescent="0.25">
      <c r="B180" s="82"/>
      <c r="C180" s="83"/>
      <c r="D180" s="83"/>
      <c r="E180" s="84"/>
    </row>
    <row r="181" spans="2:5" hidden="1" outlineLevel="1" x14ac:dyDescent="0.25">
      <c r="B181" s="82"/>
      <c r="C181" s="83"/>
      <c r="D181" s="83"/>
      <c r="E181" s="84"/>
    </row>
    <row r="182" spans="2:5" hidden="1" outlineLevel="1" x14ac:dyDescent="0.25">
      <c r="B182" s="82"/>
      <c r="C182" s="83"/>
      <c r="D182" s="83"/>
      <c r="E182" s="84"/>
    </row>
    <row r="183" spans="2:5" hidden="1" outlineLevel="1" x14ac:dyDescent="0.25">
      <c r="B183" s="82"/>
      <c r="C183" s="83"/>
      <c r="D183" s="83"/>
      <c r="E183" s="84"/>
    </row>
    <row r="184" spans="2:5" hidden="1" outlineLevel="1" x14ac:dyDescent="0.25">
      <c r="B184" s="82"/>
      <c r="C184" s="83"/>
      <c r="D184" s="83"/>
      <c r="E184" s="84"/>
    </row>
    <row r="185" spans="2:5" hidden="1" outlineLevel="1" x14ac:dyDescent="0.25">
      <c r="B185" s="82"/>
      <c r="C185" s="83"/>
      <c r="D185" s="83"/>
      <c r="E185" s="84"/>
    </row>
    <row r="186" spans="2:5" hidden="1" outlineLevel="1" x14ac:dyDescent="0.25">
      <c r="B186" s="82"/>
      <c r="C186" s="83"/>
      <c r="D186" s="83"/>
      <c r="E186" s="84"/>
    </row>
    <row r="187" spans="2:5" hidden="1" outlineLevel="1" x14ac:dyDescent="0.25">
      <c r="B187" s="82"/>
      <c r="C187" s="83"/>
      <c r="D187" s="83"/>
      <c r="E187" s="84"/>
    </row>
    <row r="188" spans="2:5" hidden="1" outlineLevel="1" x14ac:dyDescent="0.25">
      <c r="B188" s="82"/>
      <c r="C188" s="83"/>
      <c r="D188" s="83"/>
      <c r="E188" s="84"/>
    </row>
    <row r="189" spans="2:5" hidden="1" outlineLevel="1" x14ac:dyDescent="0.25">
      <c r="B189" s="82"/>
      <c r="C189" s="83"/>
      <c r="D189" s="83"/>
      <c r="E189" s="84"/>
    </row>
    <row r="190" spans="2:5" hidden="1" outlineLevel="1" x14ac:dyDescent="0.25">
      <c r="B190" s="82"/>
      <c r="C190" s="83"/>
      <c r="D190" s="83"/>
      <c r="E190" s="84"/>
    </row>
    <row r="191" spans="2:5" hidden="1" outlineLevel="1" x14ac:dyDescent="0.25">
      <c r="B191" s="82"/>
      <c r="C191" s="83"/>
      <c r="D191" s="83"/>
      <c r="E191" s="84"/>
    </row>
    <row r="192" spans="2:5" hidden="1" outlineLevel="1" x14ac:dyDescent="0.25">
      <c r="B192" s="82"/>
      <c r="C192" s="83"/>
      <c r="D192" s="83"/>
      <c r="E192" s="84"/>
    </row>
    <row r="193" spans="2:5" hidden="1" outlineLevel="1" x14ac:dyDescent="0.25">
      <c r="B193" s="82"/>
      <c r="C193" s="83"/>
      <c r="D193" s="83"/>
      <c r="E193" s="84"/>
    </row>
    <row r="194" spans="2:5" hidden="1" outlineLevel="1" x14ac:dyDescent="0.25">
      <c r="B194" s="82"/>
      <c r="C194" s="83"/>
      <c r="D194" s="83"/>
      <c r="E194" s="84"/>
    </row>
    <row r="195" spans="2:5" hidden="1" outlineLevel="1" x14ac:dyDescent="0.25">
      <c r="B195" s="82"/>
      <c r="C195" s="83"/>
      <c r="D195" s="83"/>
      <c r="E195" s="84"/>
    </row>
    <row r="196" spans="2:5" hidden="1" outlineLevel="1" x14ac:dyDescent="0.25">
      <c r="B196" s="82"/>
      <c r="C196" s="83"/>
      <c r="D196" s="83"/>
      <c r="E196" s="84"/>
    </row>
    <row r="197" spans="2:5" hidden="1" outlineLevel="1" x14ac:dyDescent="0.25">
      <c r="B197" s="82"/>
      <c r="C197" s="83"/>
      <c r="D197" s="83"/>
      <c r="E197" s="84"/>
    </row>
    <row r="198" spans="2:5" hidden="1" outlineLevel="1" x14ac:dyDescent="0.25">
      <c r="B198" s="82"/>
      <c r="C198" s="83"/>
      <c r="D198" s="83"/>
      <c r="E198" s="84"/>
    </row>
    <row r="199" spans="2:5" hidden="1" outlineLevel="1" x14ac:dyDescent="0.25">
      <c r="B199" s="82"/>
      <c r="C199" s="83"/>
      <c r="D199" s="83"/>
      <c r="E199" s="84"/>
    </row>
    <row r="200" spans="2:5" hidden="1" outlineLevel="1" x14ac:dyDescent="0.25">
      <c r="B200" s="82"/>
      <c r="C200" s="83"/>
      <c r="D200" s="83"/>
      <c r="E200" s="84"/>
    </row>
    <row r="201" spans="2:5" hidden="1" outlineLevel="1" x14ac:dyDescent="0.25">
      <c r="B201" s="82"/>
      <c r="C201" s="83"/>
      <c r="D201" s="83"/>
      <c r="E201" s="84"/>
    </row>
    <row r="202" spans="2:5" hidden="1" outlineLevel="1" x14ac:dyDescent="0.25">
      <c r="B202" s="82"/>
      <c r="C202" s="83"/>
      <c r="D202" s="83"/>
      <c r="E202" s="84"/>
    </row>
    <row r="203" spans="2:5" hidden="1" outlineLevel="1" x14ac:dyDescent="0.25">
      <c r="B203" s="82"/>
      <c r="C203" s="83"/>
      <c r="D203" s="83"/>
      <c r="E203" s="84"/>
    </row>
    <row r="204" spans="2:5" hidden="1" outlineLevel="1" x14ac:dyDescent="0.25">
      <c r="B204" s="82"/>
      <c r="C204" s="83"/>
      <c r="D204" s="83"/>
      <c r="E204" s="84"/>
    </row>
    <row r="205" spans="2:5" hidden="1" outlineLevel="1" x14ac:dyDescent="0.25">
      <c r="B205" s="82"/>
      <c r="C205" s="83"/>
      <c r="D205" s="83"/>
      <c r="E205" s="84"/>
    </row>
    <row r="206" spans="2:5" hidden="1" outlineLevel="1" x14ac:dyDescent="0.25">
      <c r="B206" s="82"/>
      <c r="C206" s="83"/>
      <c r="D206" s="83"/>
      <c r="E206" s="84"/>
    </row>
    <row r="207" spans="2:5" hidden="1" outlineLevel="1" x14ac:dyDescent="0.25">
      <c r="B207" s="82"/>
      <c r="C207" s="83"/>
      <c r="D207" s="83"/>
      <c r="E207" s="84"/>
    </row>
    <row r="208" spans="2:5" hidden="1" outlineLevel="1" x14ac:dyDescent="0.25">
      <c r="B208" s="82"/>
      <c r="C208" s="83"/>
      <c r="D208" s="83"/>
      <c r="E208" s="84"/>
    </row>
    <row r="209" spans="2:5" hidden="1" outlineLevel="1" x14ac:dyDescent="0.25">
      <c r="B209" s="82"/>
      <c r="C209" s="83"/>
      <c r="D209" s="83"/>
      <c r="E209" s="84"/>
    </row>
    <row r="210" spans="2:5" hidden="1" outlineLevel="1" x14ac:dyDescent="0.25">
      <c r="B210" s="82"/>
      <c r="C210" s="83"/>
      <c r="D210" s="83"/>
      <c r="E210" s="84"/>
    </row>
    <row r="211" spans="2:5" hidden="1" outlineLevel="1" x14ac:dyDescent="0.25">
      <c r="B211" s="82"/>
      <c r="C211" s="83"/>
      <c r="D211" s="83"/>
      <c r="E211" s="84"/>
    </row>
    <row r="212" spans="2:5" hidden="1" outlineLevel="1" x14ac:dyDescent="0.25">
      <c r="B212" s="82"/>
      <c r="C212" s="83"/>
      <c r="D212" s="83"/>
      <c r="E212" s="84"/>
    </row>
    <row r="213" spans="2:5" hidden="1" outlineLevel="1" x14ac:dyDescent="0.25">
      <c r="B213" s="82"/>
      <c r="C213" s="83"/>
      <c r="D213" s="83"/>
      <c r="E213" s="84"/>
    </row>
    <row r="214" spans="2:5" hidden="1" outlineLevel="1" x14ac:dyDescent="0.25">
      <c r="B214" s="82"/>
      <c r="C214" s="83"/>
      <c r="D214" s="83"/>
      <c r="E214" s="84"/>
    </row>
    <row r="215" spans="2:5" hidden="1" outlineLevel="1" x14ac:dyDescent="0.25">
      <c r="B215" s="82"/>
      <c r="C215" s="83"/>
      <c r="D215" s="83"/>
      <c r="E215" s="84"/>
    </row>
    <row r="216" spans="2:5" hidden="1" outlineLevel="1" x14ac:dyDescent="0.25">
      <c r="B216" s="82"/>
      <c r="C216" s="83"/>
      <c r="D216" s="83"/>
      <c r="E216" s="84"/>
    </row>
    <row r="217" spans="2:5" hidden="1" outlineLevel="1" x14ac:dyDescent="0.25">
      <c r="B217" s="82"/>
      <c r="C217" s="83"/>
      <c r="D217" s="83"/>
      <c r="E217" s="84"/>
    </row>
    <row r="218" spans="2:5" hidden="1" outlineLevel="1" x14ac:dyDescent="0.25">
      <c r="B218" s="82"/>
      <c r="C218" s="83"/>
      <c r="D218" s="83"/>
      <c r="E218" s="84"/>
    </row>
    <row r="219" spans="2:5" hidden="1" outlineLevel="1" x14ac:dyDescent="0.25">
      <c r="B219" s="82"/>
      <c r="C219" s="83"/>
      <c r="D219" s="83"/>
      <c r="E219" s="84"/>
    </row>
    <row r="220" spans="2:5" hidden="1" outlineLevel="1" x14ac:dyDescent="0.25">
      <c r="B220" s="82"/>
      <c r="C220" s="83"/>
      <c r="D220" s="83"/>
      <c r="E220" s="84"/>
    </row>
    <row r="221" spans="2:5" hidden="1" outlineLevel="1" x14ac:dyDescent="0.25">
      <c r="B221" s="82"/>
      <c r="C221" s="83"/>
      <c r="D221" s="83"/>
      <c r="E221" s="84"/>
    </row>
    <row r="222" spans="2:5" hidden="1" outlineLevel="1" x14ac:dyDescent="0.25">
      <c r="B222" s="82"/>
      <c r="C222" s="83"/>
      <c r="D222" s="83"/>
      <c r="E222" s="84"/>
    </row>
    <row r="223" spans="2:5" hidden="1" outlineLevel="1" x14ac:dyDescent="0.25">
      <c r="B223" s="82"/>
      <c r="C223" s="83"/>
      <c r="D223" s="83"/>
      <c r="E223" s="84"/>
    </row>
    <row r="224" spans="2:5" hidden="1" outlineLevel="1" x14ac:dyDescent="0.25">
      <c r="B224" s="82"/>
      <c r="C224" s="83"/>
      <c r="D224" s="83"/>
      <c r="E224" s="84"/>
    </row>
    <row r="225" spans="2:5" hidden="1" outlineLevel="1" x14ac:dyDescent="0.25">
      <c r="B225" s="82"/>
      <c r="C225" s="83"/>
      <c r="D225" s="83"/>
      <c r="E225" s="84"/>
    </row>
    <row r="226" spans="2:5" hidden="1" outlineLevel="1" x14ac:dyDescent="0.25">
      <c r="B226" s="82"/>
      <c r="C226" s="83"/>
      <c r="D226" s="83"/>
      <c r="E226" s="84"/>
    </row>
    <row r="227" spans="2:5" hidden="1" outlineLevel="1" x14ac:dyDescent="0.25">
      <c r="B227" s="82"/>
      <c r="C227" s="83"/>
      <c r="D227" s="83"/>
      <c r="E227" s="84"/>
    </row>
    <row r="228" spans="2:5" hidden="1" outlineLevel="1" x14ac:dyDescent="0.25">
      <c r="B228" s="82"/>
      <c r="C228" s="83"/>
      <c r="D228" s="83"/>
      <c r="E228" s="84"/>
    </row>
    <row r="229" spans="2:5" hidden="1" outlineLevel="1" x14ac:dyDescent="0.25">
      <c r="B229" s="82"/>
      <c r="C229" s="83"/>
      <c r="D229" s="83"/>
      <c r="E229" s="84"/>
    </row>
    <row r="230" spans="2:5" hidden="1" outlineLevel="1" x14ac:dyDescent="0.25">
      <c r="B230" s="82"/>
      <c r="C230" s="83"/>
      <c r="D230" s="83"/>
      <c r="E230" s="84"/>
    </row>
    <row r="231" spans="2:5" hidden="1" outlineLevel="1" x14ac:dyDescent="0.25">
      <c r="B231" s="82"/>
      <c r="C231" s="83"/>
      <c r="D231" s="83"/>
      <c r="E231" s="84"/>
    </row>
    <row r="232" spans="2:5" hidden="1" outlineLevel="1" x14ac:dyDescent="0.25">
      <c r="B232" s="82"/>
      <c r="C232" s="83"/>
      <c r="D232" s="83"/>
      <c r="E232" s="84"/>
    </row>
    <row r="233" spans="2:5" hidden="1" outlineLevel="1" x14ac:dyDescent="0.25">
      <c r="B233" s="82"/>
      <c r="C233" s="83"/>
      <c r="D233" s="83"/>
      <c r="E233" s="84"/>
    </row>
    <row r="234" spans="2:5" hidden="1" outlineLevel="1" x14ac:dyDescent="0.25">
      <c r="B234" s="82"/>
      <c r="C234" s="83"/>
      <c r="D234" s="83"/>
      <c r="E234" s="84"/>
    </row>
    <row r="235" spans="2:5" hidden="1" outlineLevel="1" x14ac:dyDescent="0.25">
      <c r="B235" s="82"/>
      <c r="C235" s="83"/>
      <c r="D235" s="83"/>
      <c r="E235" s="84"/>
    </row>
    <row r="236" spans="2:5" hidden="1" outlineLevel="1" x14ac:dyDescent="0.25">
      <c r="B236" s="82"/>
      <c r="C236" s="83"/>
      <c r="D236" s="83"/>
      <c r="E236" s="84"/>
    </row>
    <row r="237" spans="2:5" hidden="1" outlineLevel="1" x14ac:dyDescent="0.25">
      <c r="B237" s="82"/>
      <c r="C237" s="83"/>
      <c r="D237" s="83"/>
      <c r="E237" s="84"/>
    </row>
    <row r="238" spans="2:5" hidden="1" outlineLevel="1" x14ac:dyDescent="0.25">
      <c r="B238" s="82"/>
      <c r="C238" s="83"/>
      <c r="D238" s="83"/>
      <c r="E238" s="84"/>
    </row>
    <row r="239" spans="2:5" hidden="1" outlineLevel="1" x14ac:dyDescent="0.25">
      <c r="B239" s="82"/>
      <c r="C239" s="83"/>
      <c r="D239" s="83"/>
      <c r="E239" s="84"/>
    </row>
    <row r="240" spans="2:5" hidden="1" outlineLevel="1" x14ac:dyDescent="0.25">
      <c r="B240" s="82"/>
      <c r="C240" s="83"/>
      <c r="D240" s="83"/>
      <c r="E240" s="84"/>
    </row>
    <row r="241" spans="2:5" hidden="1" outlineLevel="1" x14ac:dyDescent="0.25">
      <c r="B241" s="82"/>
      <c r="C241" s="83"/>
      <c r="D241" s="83"/>
      <c r="E241" s="84"/>
    </row>
    <row r="242" spans="2:5" hidden="1" outlineLevel="1" x14ac:dyDescent="0.25">
      <c r="B242" s="82"/>
      <c r="C242" s="83"/>
      <c r="D242" s="83"/>
      <c r="E242" s="84"/>
    </row>
    <row r="243" spans="2:5" hidden="1" outlineLevel="1" x14ac:dyDescent="0.25">
      <c r="B243" s="82"/>
      <c r="C243" s="83"/>
      <c r="D243" s="83"/>
      <c r="E243" s="84"/>
    </row>
    <row r="244" spans="2:5" hidden="1" outlineLevel="1" x14ac:dyDescent="0.25">
      <c r="B244" s="82"/>
      <c r="C244" s="83"/>
      <c r="D244" s="83"/>
      <c r="E244" s="84"/>
    </row>
    <row r="245" spans="2:5" hidden="1" outlineLevel="1" x14ac:dyDescent="0.25">
      <c r="B245" s="82"/>
      <c r="C245" s="83"/>
      <c r="D245" s="83"/>
      <c r="E245" s="84"/>
    </row>
    <row r="246" spans="2:5" hidden="1" outlineLevel="1" x14ac:dyDescent="0.25">
      <c r="B246" s="82"/>
      <c r="C246" s="83"/>
      <c r="D246" s="83"/>
      <c r="E246" s="84"/>
    </row>
    <row r="247" spans="2:5" hidden="1" outlineLevel="1" x14ac:dyDescent="0.25">
      <c r="B247" s="82"/>
      <c r="C247" s="83"/>
      <c r="D247" s="83"/>
      <c r="E247" s="84"/>
    </row>
    <row r="248" spans="2:5" hidden="1" outlineLevel="1" x14ac:dyDescent="0.25">
      <c r="B248" s="82"/>
      <c r="C248" s="83"/>
      <c r="D248" s="83"/>
      <c r="E248" s="84"/>
    </row>
    <row r="249" spans="2:5" hidden="1" outlineLevel="1" x14ac:dyDescent="0.25">
      <c r="B249" s="82"/>
      <c r="C249" s="83"/>
      <c r="D249" s="83"/>
      <c r="E249" s="84"/>
    </row>
    <row r="250" spans="2:5" hidden="1" outlineLevel="1" x14ac:dyDescent="0.25">
      <c r="B250" s="82"/>
      <c r="C250" s="83"/>
      <c r="D250" s="83"/>
      <c r="E250" s="84"/>
    </row>
    <row r="251" spans="2:5" hidden="1" outlineLevel="1" x14ac:dyDescent="0.25">
      <c r="B251" s="82"/>
      <c r="C251" s="83"/>
      <c r="D251" s="83"/>
      <c r="E251" s="84"/>
    </row>
    <row r="252" spans="2:5" hidden="1" outlineLevel="1" x14ac:dyDescent="0.25">
      <c r="B252" s="82"/>
      <c r="C252" s="83"/>
      <c r="D252" s="83"/>
      <c r="E252" s="84"/>
    </row>
    <row r="253" spans="2:5" hidden="1" outlineLevel="1" x14ac:dyDescent="0.25">
      <c r="B253" s="82"/>
      <c r="C253" s="83"/>
      <c r="D253" s="83"/>
      <c r="E253" s="84"/>
    </row>
    <row r="254" spans="2:5" hidden="1" outlineLevel="1" x14ac:dyDescent="0.25">
      <c r="B254" s="82"/>
      <c r="C254" s="83"/>
      <c r="D254" s="83"/>
      <c r="E254" s="84"/>
    </row>
    <row r="255" spans="2:5" hidden="1" outlineLevel="1" x14ac:dyDescent="0.25">
      <c r="B255" s="86"/>
      <c r="C255" s="87"/>
      <c r="D255" s="87"/>
      <c r="E255" s="88"/>
    </row>
    <row r="256" spans="2:5" s="22" customFormat="1" collapsed="1" x14ac:dyDescent="0.25">
      <c r="B256" s="78"/>
      <c r="C256" s="78"/>
      <c r="D256" s="78"/>
      <c r="E256" s="78"/>
    </row>
    <row r="257" spans="2:8" s="17" customFormat="1" ht="22.9" customHeight="1" x14ac:dyDescent="0.25">
      <c r="B257" s="23"/>
      <c r="C257" s="23"/>
      <c r="D257" s="24"/>
      <c r="E257" s="25"/>
      <c r="F257" s="25"/>
      <c r="G257" s="25"/>
      <c r="H257" s="23"/>
    </row>
  </sheetData>
  <sheetProtection algorithmName="SHA-512" hashValue="qbslQEw0EPanSATCDW71k/dExDrT4+RdZGa+L9DSPElVxv1FbPFXDVJHi8A8XwcvGXLdUYTbM7ZT4fpVoRsSPw==" saltValue="8g0ezbdbUGflMzYsB/HUNw==" spinCount="100000" sheet="1" objects="1" scenarios="1"/>
  <sortState xmlns:xlrd2="http://schemas.microsoft.com/office/spreadsheetml/2017/richdata2" ref="M1:M257">
    <sortCondition ref="M1:M257"/>
  </sortState>
  <phoneticPr fontId="23" type="noConversion"/>
  <dataValidations count="7">
    <dataValidation type="list" allowBlank="1" showInputMessage="1" showErrorMessage="1" sqref="H6" xr:uid="{5BD41C34-051A-481D-9DF1-7B18547BB6E6}">
      <formula1>"Horizontal, Vertical"</formula1>
    </dataValidation>
    <dataValidation type="date" operator="greaterThanOrEqual" allowBlank="1" showInputMessage="1" showErrorMessage="1" errorTitle="Date" error="End date must be later than start date." sqref="D6:D255" xr:uid="{EE8DBEFE-ABEF-4DDA-A2A2-3109A2368501}">
      <formula1>C6</formula1>
    </dataValidation>
    <dataValidation type="list" allowBlank="1" showInputMessage="1" showErrorMessage="1" promptTitle="Default" prompt="No" sqref="H15" xr:uid="{85C1FBDB-7200-4490-A062-A351EF1E4F1F}">
      <formula1>"Yes,No"</formula1>
    </dataValidation>
    <dataValidation allowBlank="1" showInputMessage="1" showErrorMessage="1" promptTitle="Default" prompt="6" sqref="H8:H9 H12" xr:uid="{DF92736E-3088-42A2-85D4-C1DC6AB13F09}"/>
    <dataValidation allowBlank="1" showInputMessage="1" showErrorMessage="1" promptTitle="Default" prompt="4" sqref="H10" xr:uid="{B6DFDF87-7FF8-4B76-BDE8-82612ED2A718}"/>
    <dataValidation allowBlank="1" showInputMessage="1" showErrorMessage="1" promptTitle="Default" prompt="11" sqref="H13:H14" xr:uid="{61EF43FA-DAE2-44EE-8FB1-6EEDE36D78FE}"/>
    <dataValidation allowBlank="1" showInputMessage="1" showErrorMessage="1" promptTitle="Default" prompt="7" sqref="H11" xr:uid="{116161A9-AFE3-4311-A02B-76410C883AC5}"/>
  </dataValidations>
  <printOptions horizontalCentered="1"/>
  <pageMargins left="0.31496062992125984" right="0.31496062992125984" top="0.31496062992125984" bottom="0.31496062992125984" header="0.31496062992125984" footer="0.31496062992125984"/>
  <pageSetup scale="80" fitToHeight="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Default" prompt="Peach-Blue" xr:uid="{E2FBD5B9-EE9F-4975-A19E-A1845B9ADB66}">
          <x14:formula1>
            <xm:f>Calculations!$AO$4:$AO$13</xm:f>
          </x14:formula1>
          <xm:sqref>H7</xm:sqref>
        </x14:dataValidation>
        <x14:dataValidation type="list" allowBlank="1" showInputMessage="1" showErrorMessage="1" xr:uid="{D386D2D2-DE87-4F9E-ACFF-E052CAD212A7}">
          <x14:formula1>
            <xm:f>OFFSET(Calculations!$AZ$4,0,0,Calculations!$AZ$2,1)</xm:f>
          </x14:formula1>
          <xm:sqref>E6:E255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3AC95-2111-46A3-98B1-731C5FC6E867}">
  <sheetPr codeName="Sheet3">
    <pageSetUpPr fitToPage="1"/>
  </sheetPr>
  <dimension ref="B1:DE23"/>
  <sheetViews>
    <sheetView showGridLines="0" showRowColHeaders="0" zoomScaleNormal="100" workbookViewId="0">
      <pane ySplit="4" topLeftCell="A5" activePane="bottomLeft" state="frozen"/>
      <selection pane="bottomLeft" activeCell="A5" sqref="A5"/>
    </sheetView>
  </sheetViews>
  <sheetFormatPr defaultColWidth="2.85546875" defaultRowHeight="15" customHeight="1" x14ac:dyDescent="0.25"/>
  <cols>
    <col min="1" max="1" width="3.7109375" style="169" customWidth="1"/>
    <col min="2" max="15" width="2.85546875" style="169"/>
    <col min="16" max="16" width="2.85546875" style="169" customWidth="1"/>
    <col min="17" max="16384" width="2.85546875" style="169"/>
  </cols>
  <sheetData>
    <row r="1" spans="2:109" s="9" customFormat="1" ht="6.75" customHeight="1" x14ac:dyDescent="0.25">
      <c r="B1" s="49"/>
    </row>
    <row r="2" spans="2:109" s="12" customFormat="1" ht="20.100000000000001" customHeight="1" x14ac:dyDescent="0.25">
      <c r="B2" s="1"/>
      <c r="C2" s="1"/>
      <c r="D2" s="1"/>
      <c r="E2" s="5"/>
      <c r="F2" s="1" t="s">
        <v>183</v>
      </c>
      <c r="G2" s="1"/>
      <c r="H2" s="5"/>
      <c r="I2" s="5"/>
      <c r="J2" s="5"/>
      <c r="K2" s="6"/>
      <c r="L2" s="6"/>
      <c r="M2" s="5"/>
      <c r="N2" s="5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</row>
    <row r="3" spans="2:109" s="14" customFormat="1" ht="24" customHeight="1" x14ac:dyDescent="0.25">
      <c r="B3" s="3"/>
      <c r="C3" s="3"/>
      <c r="D3" s="7"/>
      <c r="E3" s="7"/>
      <c r="F3" s="7" t="s">
        <v>37</v>
      </c>
      <c r="G3" s="7"/>
      <c r="H3" s="7"/>
      <c r="I3" s="7"/>
      <c r="J3" s="7"/>
      <c r="K3" s="8"/>
      <c r="L3" s="8"/>
      <c r="M3" s="7"/>
      <c r="N3" s="7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</row>
    <row r="4" spans="2:109" s="16" customFormat="1" ht="5.0999999999999996" customHeight="1" x14ac:dyDescent="0.25"/>
    <row r="5" spans="2:109" ht="5.0999999999999996" customHeight="1" x14ac:dyDescent="0.25"/>
    <row r="6" spans="2:109" ht="15" customHeight="1" x14ac:dyDescent="0.25">
      <c r="B6" s="160"/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1"/>
      <c r="AR6" s="161"/>
      <c r="AS6" s="161"/>
      <c r="AT6" s="161"/>
      <c r="AU6" s="161"/>
      <c r="AV6" s="161"/>
      <c r="AW6" s="162"/>
    </row>
    <row r="7" spans="2:109" ht="15" customHeight="1" x14ac:dyDescent="0.25">
      <c r="B7" s="163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64"/>
      <c r="AF7" s="164"/>
      <c r="AG7" s="164"/>
      <c r="AH7" s="164"/>
      <c r="AI7" s="164"/>
      <c r="AJ7" s="164"/>
      <c r="AK7" s="164"/>
      <c r="AL7" s="164"/>
      <c r="AM7" s="164"/>
      <c r="AN7" s="164"/>
      <c r="AO7" s="164"/>
      <c r="AP7" s="164"/>
      <c r="AQ7" s="164"/>
      <c r="AR7" s="164"/>
      <c r="AS7" s="164"/>
      <c r="AT7" s="164"/>
      <c r="AU7" s="164"/>
      <c r="AV7" s="164"/>
      <c r="AW7" s="165"/>
    </row>
    <row r="8" spans="2:109" ht="15" customHeight="1" x14ac:dyDescent="0.25">
      <c r="B8" s="163"/>
      <c r="C8" s="164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5"/>
    </row>
    <row r="9" spans="2:109" ht="15" customHeight="1" x14ac:dyDescent="0.25">
      <c r="B9" s="163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64"/>
      <c r="X9" s="164"/>
      <c r="Y9" s="164"/>
      <c r="Z9" s="164"/>
      <c r="AA9" s="164"/>
      <c r="AB9" s="164"/>
      <c r="AC9" s="164"/>
      <c r="AD9" s="164"/>
      <c r="AE9" s="164"/>
      <c r="AF9" s="164"/>
      <c r="AG9" s="164"/>
      <c r="AH9" s="164"/>
      <c r="AI9" s="164"/>
      <c r="AJ9" s="164"/>
      <c r="AK9" s="164"/>
      <c r="AL9" s="164"/>
      <c r="AM9" s="164"/>
      <c r="AN9" s="164"/>
      <c r="AO9" s="164"/>
      <c r="AP9" s="164"/>
      <c r="AQ9" s="164"/>
      <c r="AR9" s="164"/>
      <c r="AS9" s="164"/>
      <c r="AT9" s="164"/>
      <c r="AU9" s="164"/>
      <c r="AV9" s="164"/>
      <c r="AW9" s="165"/>
    </row>
    <row r="10" spans="2:109" ht="15" customHeight="1" x14ac:dyDescent="0.25">
      <c r="B10" s="163"/>
      <c r="C10" s="164"/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/>
      <c r="AJ10" s="164"/>
      <c r="AK10" s="164"/>
      <c r="AL10" s="164"/>
      <c r="AM10" s="164"/>
      <c r="AN10" s="164"/>
      <c r="AO10" s="164"/>
      <c r="AP10" s="164"/>
      <c r="AQ10" s="164"/>
      <c r="AR10" s="164"/>
      <c r="AS10" s="164"/>
      <c r="AT10" s="164"/>
      <c r="AU10" s="164"/>
      <c r="AV10" s="164"/>
      <c r="AW10" s="165"/>
    </row>
    <row r="11" spans="2:109" ht="15" customHeight="1" x14ac:dyDescent="0.25">
      <c r="B11" s="163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/>
      <c r="AJ11" s="164"/>
      <c r="AK11" s="164"/>
      <c r="AL11" s="164"/>
      <c r="AM11" s="164"/>
      <c r="AN11" s="164"/>
      <c r="AO11" s="164"/>
      <c r="AP11" s="164"/>
      <c r="AQ11" s="164"/>
      <c r="AR11" s="164"/>
      <c r="AS11" s="164"/>
      <c r="AT11" s="164"/>
      <c r="AU11" s="164"/>
      <c r="AV11" s="164"/>
      <c r="AW11" s="165"/>
    </row>
    <row r="12" spans="2:109" ht="15" customHeight="1" x14ac:dyDescent="0.25">
      <c r="B12" s="163"/>
      <c r="C12" s="164"/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/>
      <c r="AJ12" s="164"/>
      <c r="AK12" s="164"/>
      <c r="AL12" s="164"/>
      <c r="AM12" s="164"/>
      <c r="AN12" s="164"/>
      <c r="AO12" s="164"/>
      <c r="AP12" s="164"/>
      <c r="AQ12" s="164"/>
      <c r="AR12" s="164"/>
      <c r="AS12" s="164"/>
      <c r="AT12" s="164"/>
      <c r="AU12" s="164"/>
      <c r="AV12" s="164"/>
      <c r="AW12" s="165"/>
    </row>
    <row r="13" spans="2:109" ht="15" customHeight="1" x14ac:dyDescent="0.25">
      <c r="B13" s="163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164"/>
      <c r="AG13" s="164"/>
      <c r="AH13" s="164"/>
      <c r="AI13" s="164"/>
      <c r="AJ13" s="164"/>
      <c r="AK13" s="164"/>
      <c r="AL13" s="164"/>
      <c r="AM13" s="164"/>
      <c r="AN13" s="164"/>
      <c r="AO13" s="164"/>
      <c r="AP13" s="164"/>
      <c r="AQ13" s="164"/>
      <c r="AR13" s="164"/>
      <c r="AS13" s="164"/>
      <c r="AT13" s="164"/>
      <c r="AU13" s="164"/>
      <c r="AV13" s="164"/>
      <c r="AW13" s="165"/>
    </row>
    <row r="14" spans="2:109" ht="15" customHeight="1" x14ac:dyDescent="0.25">
      <c r="B14" s="163"/>
      <c r="C14" s="164"/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  <c r="AD14" s="164"/>
      <c r="AE14" s="164"/>
      <c r="AF14" s="164"/>
      <c r="AG14" s="164"/>
      <c r="AH14" s="164"/>
      <c r="AI14" s="164"/>
      <c r="AJ14" s="164"/>
      <c r="AK14" s="164"/>
      <c r="AL14" s="164"/>
      <c r="AM14" s="164"/>
      <c r="AN14" s="164"/>
      <c r="AO14" s="164"/>
      <c r="AP14" s="164"/>
      <c r="AQ14" s="164"/>
      <c r="AR14" s="164"/>
      <c r="AS14" s="164"/>
      <c r="AT14" s="164"/>
      <c r="AU14" s="164"/>
      <c r="AV14" s="164"/>
      <c r="AW14" s="165"/>
    </row>
    <row r="15" spans="2:109" ht="15" customHeight="1" x14ac:dyDescent="0.25">
      <c r="B15" s="163"/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64"/>
      <c r="X15" s="164"/>
      <c r="Y15" s="164"/>
      <c r="Z15" s="164"/>
      <c r="AA15" s="164"/>
      <c r="AB15" s="164"/>
      <c r="AC15" s="164"/>
      <c r="AD15" s="164"/>
      <c r="AE15" s="164"/>
      <c r="AF15" s="164"/>
      <c r="AG15" s="164"/>
      <c r="AH15" s="164"/>
      <c r="AI15" s="164"/>
      <c r="AJ15" s="164"/>
      <c r="AK15" s="164"/>
      <c r="AL15" s="164"/>
      <c r="AM15" s="164"/>
      <c r="AN15" s="164"/>
      <c r="AO15" s="164"/>
      <c r="AP15" s="164"/>
      <c r="AQ15" s="164"/>
      <c r="AR15" s="164"/>
      <c r="AS15" s="164"/>
      <c r="AT15" s="164"/>
      <c r="AU15" s="164"/>
      <c r="AV15" s="164"/>
      <c r="AW15" s="165"/>
    </row>
    <row r="16" spans="2:109" ht="15" customHeight="1" x14ac:dyDescent="0.25">
      <c r="B16" s="163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164"/>
      <c r="AG16" s="164"/>
      <c r="AH16" s="164"/>
      <c r="AI16" s="164"/>
      <c r="AJ16" s="164"/>
      <c r="AK16" s="164"/>
      <c r="AL16" s="164"/>
      <c r="AM16" s="164"/>
      <c r="AN16" s="164"/>
      <c r="AO16" s="164"/>
      <c r="AP16" s="164"/>
      <c r="AQ16" s="164"/>
      <c r="AR16" s="164"/>
      <c r="AS16" s="164"/>
      <c r="AT16" s="164"/>
      <c r="AU16" s="164"/>
      <c r="AV16" s="164"/>
      <c r="AW16" s="165"/>
    </row>
    <row r="17" spans="2:49" ht="15" customHeight="1" x14ac:dyDescent="0.25">
      <c r="B17" s="163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164"/>
      <c r="AG17" s="164"/>
      <c r="AH17" s="164"/>
      <c r="AI17" s="164"/>
      <c r="AJ17" s="164"/>
      <c r="AK17" s="164"/>
      <c r="AL17" s="164"/>
      <c r="AM17" s="164"/>
      <c r="AN17" s="164"/>
      <c r="AO17" s="164"/>
      <c r="AP17" s="164"/>
      <c r="AQ17" s="164"/>
      <c r="AR17" s="164"/>
      <c r="AS17" s="164"/>
      <c r="AT17" s="164"/>
      <c r="AU17" s="164"/>
      <c r="AV17" s="164"/>
      <c r="AW17" s="165"/>
    </row>
    <row r="18" spans="2:49" ht="15" customHeight="1" x14ac:dyDescent="0.25">
      <c r="B18" s="163"/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64"/>
      <c r="X18" s="164"/>
      <c r="Y18" s="164"/>
      <c r="Z18" s="164"/>
      <c r="AA18" s="164"/>
      <c r="AB18" s="164"/>
      <c r="AC18" s="164"/>
      <c r="AD18" s="164"/>
      <c r="AE18" s="164"/>
      <c r="AF18" s="164"/>
      <c r="AG18" s="164"/>
      <c r="AH18" s="164"/>
      <c r="AI18" s="164"/>
      <c r="AJ18" s="164"/>
      <c r="AK18" s="164"/>
      <c r="AL18" s="164"/>
      <c r="AM18" s="164"/>
      <c r="AN18" s="164"/>
      <c r="AO18" s="164"/>
      <c r="AP18" s="164"/>
      <c r="AQ18" s="164"/>
      <c r="AR18" s="164"/>
      <c r="AS18" s="164"/>
      <c r="AT18" s="164"/>
      <c r="AU18" s="164"/>
      <c r="AV18" s="164"/>
      <c r="AW18" s="165"/>
    </row>
    <row r="19" spans="2:49" ht="15" customHeight="1" x14ac:dyDescent="0.25">
      <c r="B19" s="163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64"/>
      <c r="X19" s="164"/>
      <c r="Y19" s="164"/>
      <c r="Z19" s="164"/>
      <c r="AA19" s="164"/>
      <c r="AB19" s="164"/>
      <c r="AC19" s="164"/>
      <c r="AD19" s="164"/>
      <c r="AE19" s="164"/>
      <c r="AF19" s="164"/>
      <c r="AG19" s="164"/>
      <c r="AH19" s="164"/>
      <c r="AI19" s="164"/>
      <c r="AJ19" s="164"/>
      <c r="AK19" s="164"/>
      <c r="AL19" s="164"/>
      <c r="AM19" s="164"/>
      <c r="AN19" s="164"/>
      <c r="AO19" s="164"/>
      <c r="AP19" s="164"/>
      <c r="AQ19" s="164"/>
      <c r="AR19" s="164"/>
      <c r="AS19" s="164"/>
      <c r="AT19" s="164"/>
      <c r="AU19" s="164"/>
      <c r="AV19" s="164"/>
      <c r="AW19" s="165"/>
    </row>
    <row r="20" spans="2:49" ht="15" customHeight="1" x14ac:dyDescent="0.25">
      <c r="B20" s="163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64"/>
      <c r="X20" s="164"/>
      <c r="Y20" s="164"/>
      <c r="Z20" s="164"/>
      <c r="AA20" s="164"/>
      <c r="AB20" s="164"/>
      <c r="AC20" s="164"/>
      <c r="AD20" s="164"/>
      <c r="AE20" s="164"/>
      <c r="AF20" s="164"/>
      <c r="AG20" s="164"/>
      <c r="AH20" s="164"/>
      <c r="AI20" s="164"/>
      <c r="AJ20" s="164"/>
      <c r="AK20" s="164"/>
      <c r="AL20" s="164"/>
      <c r="AM20" s="164"/>
      <c r="AN20" s="164"/>
      <c r="AO20" s="164"/>
      <c r="AP20" s="164"/>
      <c r="AQ20" s="164"/>
      <c r="AR20" s="164"/>
      <c r="AS20" s="164"/>
      <c r="AT20" s="164"/>
      <c r="AU20" s="164"/>
      <c r="AV20" s="164"/>
      <c r="AW20" s="165"/>
    </row>
    <row r="21" spans="2:49" ht="15" customHeight="1" x14ac:dyDescent="0.25">
      <c r="B21" s="163"/>
      <c r="C21" s="164"/>
      <c r="D21" s="164"/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  <c r="AD21" s="164"/>
      <c r="AE21" s="164"/>
      <c r="AF21" s="164"/>
      <c r="AG21" s="164"/>
      <c r="AH21" s="164"/>
      <c r="AI21" s="164"/>
      <c r="AJ21" s="164"/>
      <c r="AK21" s="164"/>
      <c r="AL21" s="164"/>
      <c r="AM21" s="164"/>
      <c r="AN21" s="164"/>
      <c r="AO21" s="164"/>
      <c r="AP21" s="164"/>
      <c r="AQ21" s="164"/>
      <c r="AR21" s="164"/>
      <c r="AS21" s="164"/>
      <c r="AT21" s="164"/>
      <c r="AU21" s="164"/>
      <c r="AV21" s="164"/>
      <c r="AW21" s="165"/>
    </row>
    <row r="22" spans="2:49" ht="15" customHeight="1" x14ac:dyDescent="0.25">
      <c r="B22" s="163"/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  <c r="AD22" s="164"/>
      <c r="AE22" s="164"/>
      <c r="AF22" s="164"/>
      <c r="AG22" s="164"/>
      <c r="AH22" s="164"/>
      <c r="AI22" s="164"/>
      <c r="AJ22" s="164"/>
      <c r="AK22" s="164"/>
      <c r="AL22" s="164"/>
      <c r="AM22" s="164"/>
      <c r="AN22" s="164"/>
      <c r="AO22" s="164"/>
      <c r="AP22" s="164"/>
      <c r="AQ22" s="164"/>
      <c r="AR22" s="164"/>
      <c r="AS22" s="164"/>
      <c r="AT22" s="164"/>
      <c r="AU22" s="164"/>
      <c r="AV22" s="164"/>
      <c r="AW22" s="165"/>
    </row>
    <row r="23" spans="2:49" ht="15" customHeight="1" x14ac:dyDescent="0.25">
      <c r="B23" s="166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7"/>
      <c r="P23" s="167"/>
      <c r="Q23" s="167"/>
      <c r="R23" s="167"/>
      <c r="S23" s="167"/>
      <c r="T23" s="167"/>
      <c r="U23" s="167"/>
      <c r="V23" s="167"/>
      <c r="W23" s="167"/>
      <c r="X23" s="167"/>
      <c r="Y23" s="167"/>
      <c r="Z23" s="167"/>
      <c r="AA23" s="167"/>
      <c r="AB23" s="167"/>
      <c r="AC23" s="167"/>
      <c r="AD23" s="167"/>
      <c r="AE23" s="167"/>
      <c r="AF23" s="167"/>
      <c r="AG23" s="167"/>
      <c r="AH23" s="167"/>
      <c r="AI23" s="167"/>
      <c r="AJ23" s="167"/>
      <c r="AK23" s="167"/>
      <c r="AL23" s="167"/>
      <c r="AM23" s="167"/>
      <c r="AN23" s="167"/>
      <c r="AO23" s="167"/>
      <c r="AP23" s="167"/>
      <c r="AQ23" s="167"/>
      <c r="AR23" s="167"/>
      <c r="AS23" s="167"/>
      <c r="AT23" s="167"/>
      <c r="AU23" s="167"/>
      <c r="AV23" s="167"/>
      <c r="AW23" s="168"/>
    </row>
  </sheetData>
  <sheetProtection algorithmName="SHA-512" hashValue="7KT7DAkBAWPLJvIqK3jodIFn5kAx+EmxgP5QiBN4lLyvi04pjm9cYj9WzghDh1k5FNQmpczbSMVMzdmFrP4L+Q==" saltValue="G/cq6r7f59V3T5l0HiATAg==" spinCount="100000" sheet="1" objects="1" scenarios="1"/>
  <printOptions horizontalCentered="1" verticalCentered="1"/>
  <pageMargins left="0.31496062992125984" right="0.31496062992125984" top="0.31496062992125984" bottom="0.31496062992125984" header="0.31496062992125984" footer="0.31496062992125984"/>
  <pageSetup scale="9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23BDB-3E8F-43A1-A4F0-5B6A6B3B52F9}">
  <sheetPr codeName="Sheet7">
    <pageSetUpPr fitToPage="1"/>
  </sheetPr>
  <dimension ref="B1:BD27"/>
  <sheetViews>
    <sheetView showGridLines="0" showRowColHeaders="0" zoomScaleNormal="100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3.7109375" style="16" customWidth="1"/>
    <col min="2" max="2" width="17.7109375" style="16" customWidth="1"/>
    <col min="3" max="3" width="10.7109375" style="16" customWidth="1"/>
    <col min="4" max="4" width="17.7109375" style="16" customWidth="1"/>
    <col min="5" max="5" width="10.7109375" style="16" customWidth="1"/>
    <col min="6" max="6" width="17.7109375" style="16" customWidth="1"/>
    <col min="7" max="7" width="10.7109375" style="16" customWidth="1"/>
    <col min="8" max="8" width="17.7109375" style="16" customWidth="1"/>
    <col min="9" max="9" width="10.7109375" style="16" customWidth="1"/>
    <col min="10" max="10" width="17.7109375" style="16" customWidth="1"/>
    <col min="11" max="11" width="10.7109375" style="16" customWidth="1"/>
    <col min="12" max="16384" width="9.140625" style="16"/>
  </cols>
  <sheetData>
    <row r="1" spans="2:56" s="9" customFormat="1" ht="6.75" customHeight="1" x14ac:dyDescent="0.25">
      <c r="B1" s="49"/>
    </row>
    <row r="2" spans="2:56" s="12" customFormat="1" ht="20.100000000000001" customHeight="1" x14ac:dyDescent="0.25">
      <c r="B2" s="47" t="s">
        <v>183</v>
      </c>
      <c r="C2" s="1"/>
      <c r="D2" s="1"/>
      <c r="E2" s="5"/>
      <c r="F2" s="1"/>
      <c r="G2" s="1"/>
      <c r="H2" s="5"/>
      <c r="I2" s="5"/>
      <c r="J2" s="5"/>
      <c r="K2" s="6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</row>
    <row r="3" spans="2:56" s="14" customFormat="1" ht="24" customHeight="1" x14ac:dyDescent="0.25">
      <c r="B3" s="48" t="s">
        <v>128</v>
      </c>
      <c r="C3" s="3"/>
      <c r="D3" s="7"/>
      <c r="E3" s="7"/>
      <c r="F3" s="7"/>
      <c r="G3" s="7"/>
      <c r="H3" s="7"/>
      <c r="I3" s="7"/>
      <c r="J3" s="7"/>
      <c r="K3" s="8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</row>
    <row r="4" spans="2:56" ht="5.0999999999999996" customHeight="1" x14ac:dyDescent="0.25">
      <c r="B4" s="50"/>
      <c r="C4" s="50"/>
      <c r="D4" s="50"/>
      <c r="E4" s="50"/>
    </row>
    <row r="5" spans="2:56" ht="24.95" customHeight="1" x14ac:dyDescent="0.25">
      <c r="B5" s="60" t="s">
        <v>152</v>
      </c>
      <c r="C5" s="61" t="s">
        <v>153</v>
      </c>
      <c r="D5" s="60" t="s">
        <v>152</v>
      </c>
      <c r="E5" s="61" t="s">
        <v>153</v>
      </c>
      <c r="F5" s="60" t="s">
        <v>152</v>
      </c>
      <c r="G5" s="61" t="s">
        <v>153</v>
      </c>
      <c r="H5" s="60" t="s">
        <v>152</v>
      </c>
      <c r="I5" s="61" t="s">
        <v>153</v>
      </c>
      <c r="J5" s="60" t="s">
        <v>152</v>
      </c>
      <c r="K5" s="61" t="s">
        <v>153</v>
      </c>
    </row>
    <row r="6" spans="2:56" ht="50.1" customHeight="1" x14ac:dyDescent="0.25">
      <c r="B6" s="59" t="s">
        <v>92</v>
      </c>
      <c r="C6" s="59"/>
      <c r="D6" s="51" t="s">
        <v>55</v>
      </c>
      <c r="E6" s="51"/>
      <c r="F6" s="51" t="s">
        <v>106</v>
      </c>
      <c r="G6" s="51"/>
      <c r="H6" s="51" t="s">
        <v>45</v>
      </c>
      <c r="I6" s="51"/>
      <c r="J6" s="51" t="s">
        <v>71</v>
      </c>
      <c r="K6" s="51"/>
    </row>
    <row r="7" spans="2:56" ht="50.1" customHeight="1" x14ac:dyDescent="0.25">
      <c r="B7" s="51" t="s">
        <v>93</v>
      </c>
      <c r="C7" s="51"/>
      <c r="D7" s="51" t="s">
        <v>77</v>
      </c>
      <c r="E7" s="51"/>
      <c r="F7" s="51" t="s">
        <v>73</v>
      </c>
      <c r="G7" s="51"/>
      <c r="H7" s="51" t="s">
        <v>82</v>
      </c>
      <c r="I7" s="51"/>
      <c r="J7" s="51" t="s">
        <v>67</v>
      </c>
      <c r="K7" s="51"/>
    </row>
    <row r="8" spans="2:56" ht="50.1" customHeight="1" x14ac:dyDescent="0.25">
      <c r="B8" s="51" t="s">
        <v>101</v>
      </c>
      <c r="C8" s="51"/>
      <c r="D8" s="51" t="s">
        <v>102</v>
      </c>
      <c r="E8" s="51"/>
      <c r="F8" s="51" t="s">
        <v>98</v>
      </c>
      <c r="G8" s="51"/>
      <c r="H8" s="51" t="s">
        <v>47</v>
      </c>
      <c r="I8" s="51"/>
      <c r="J8" s="51" t="s">
        <v>79</v>
      </c>
      <c r="K8" s="51"/>
    </row>
    <row r="9" spans="2:56" ht="50.1" customHeight="1" x14ac:dyDescent="0.25">
      <c r="B9" s="51" t="s">
        <v>57</v>
      </c>
      <c r="C9" s="51"/>
      <c r="D9" s="51" t="s">
        <v>89</v>
      </c>
      <c r="E9" s="51"/>
      <c r="F9" s="51" t="s">
        <v>58</v>
      </c>
      <c r="G9" s="51"/>
      <c r="H9" s="51" t="s">
        <v>70</v>
      </c>
      <c r="I9" s="51"/>
      <c r="J9" s="51" t="s">
        <v>61</v>
      </c>
      <c r="K9" s="51"/>
    </row>
    <row r="10" spans="2:56" ht="50.1" customHeight="1" x14ac:dyDescent="0.25">
      <c r="B10" s="51" t="s">
        <v>74</v>
      </c>
      <c r="C10" s="51"/>
      <c r="D10" s="51" t="s">
        <v>54</v>
      </c>
      <c r="E10" s="51"/>
      <c r="F10" s="51" t="s">
        <v>81</v>
      </c>
      <c r="G10" s="51"/>
      <c r="H10" s="51" t="s">
        <v>68</v>
      </c>
      <c r="I10" s="51"/>
      <c r="J10" s="51" t="s">
        <v>109</v>
      </c>
      <c r="K10" s="51"/>
    </row>
    <row r="11" spans="2:56" ht="50.1" customHeight="1" x14ac:dyDescent="0.25">
      <c r="B11" s="51" t="s">
        <v>105</v>
      </c>
      <c r="C11" s="51"/>
      <c r="D11" s="52" t="s">
        <v>114</v>
      </c>
      <c r="E11" s="52"/>
      <c r="F11" s="52" t="s">
        <v>115</v>
      </c>
      <c r="G11" s="52"/>
      <c r="H11" s="51" t="s">
        <v>100</v>
      </c>
      <c r="I11" s="51"/>
      <c r="J11" s="51" t="s">
        <v>72</v>
      </c>
      <c r="K11" s="51"/>
    </row>
    <row r="12" spans="2:56" ht="50.1" customHeight="1" x14ac:dyDescent="0.25">
      <c r="B12" s="51" t="s">
        <v>46</v>
      </c>
      <c r="C12" s="51"/>
      <c r="D12" s="51" t="s">
        <v>88</v>
      </c>
      <c r="E12" s="51"/>
      <c r="F12" s="51" t="s">
        <v>107</v>
      </c>
      <c r="G12" s="51"/>
      <c r="H12" s="51" t="s">
        <v>60</v>
      </c>
      <c r="I12" s="51"/>
      <c r="J12" s="51" t="s">
        <v>95</v>
      </c>
      <c r="K12" s="51"/>
    </row>
    <row r="13" spans="2:56" ht="50.1" customHeight="1" x14ac:dyDescent="0.25">
      <c r="B13" s="51" t="s">
        <v>90</v>
      </c>
      <c r="C13" s="51"/>
      <c r="D13" s="51" t="s">
        <v>69</v>
      </c>
      <c r="E13" s="51"/>
      <c r="F13" s="51" t="s">
        <v>111</v>
      </c>
      <c r="G13" s="51"/>
      <c r="H13" s="51" t="s">
        <v>62</v>
      </c>
      <c r="I13" s="51"/>
      <c r="J13" s="51" t="s">
        <v>86</v>
      </c>
      <c r="K13" s="51"/>
    </row>
    <row r="14" spans="2:56" ht="50.1" customHeight="1" x14ac:dyDescent="0.25">
      <c r="B14" s="51" t="s">
        <v>64</v>
      </c>
      <c r="C14" s="51"/>
      <c r="D14" s="51" t="s">
        <v>94</v>
      </c>
      <c r="E14" s="51"/>
      <c r="F14" s="51" t="s">
        <v>66</v>
      </c>
      <c r="G14" s="51"/>
      <c r="H14" s="51" t="s">
        <v>83</v>
      </c>
      <c r="I14" s="51"/>
      <c r="J14" s="51" t="s">
        <v>87</v>
      </c>
      <c r="K14" s="51"/>
    </row>
    <row r="15" spans="2:56" ht="50.1" customHeight="1" x14ac:dyDescent="0.25">
      <c r="B15" s="51" t="s">
        <v>65</v>
      </c>
      <c r="C15" s="51"/>
      <c r="D15" s="51" t="s">
        <v>56</v>
      </c>
      <c r="E15" s="51"/>
      <c r="F15" s="51" t="s">
        <v>59</v>
      </c>
      <c r="G15" s="51"/>
      <c r="H15" s="51" t="s">
        <v>97</v>
      </c>
      <c r="I15" s="51"/>
      <c r="J15" s="51" t="s">
        <v>51</v>
      </c>
      <c r="K15" s="51"/>
    </row>
    <row r="16" spans="2:56" ht="50.1" customHeight="1" x14ac:dyDescent="0.25">
      <c r="B16" s="51" t="s">
        <v>48</v>
      </c>
      <c r="C16" s="51"/>
      <c r="D16" s="51" t="s">
        <v>78</v>
      </c>
      <c r="E16" s="51"/>
      <c r="F16" s="51" t="s">
        <v>43</v>
      </c>
      <c r="G16" s="51"/>
      <c r="H16" s="51" t="s">
        <v>112</v>
      </c>
      <c r="I16" s="51"/>
      <c r="J16" s="51" t="s">
        <v>52</v>
      </c>
      <c r="K16" s="51"/>
    </row>
    <row r="17" spans="2:11" ht="50.1" customHeight="1" x14ac:dyDescent="0.25">
      <c r="B17" s="51" t="s">
        <v>75</v>
      </c>
      <c r="C17" s="51"/>
      <c r="D17" s="51" t="s">
        <v>49</v>
      </c>
      <c r="E17" s="51"/>
      <c r="F17" s="51" t="s">
        <v>108</v>
      </c>
      <c r="G17" s="51"/>
      <c r="H17" s="51" t="s">
        <v>84</v>
      </c>
      <c r="I17" s="51"/>
      <c r="J17" s="51" t="s">
        <v>53</v>
      </c>
      <c r="K17" s="51"/>
    </row>
    <row r="18" spans="2:11" ht="50.1" customHeight="1" x14ac:dyDescent="0.25">
      <c r="B18" s="51" t="s">
        <v>76</v>
      </c>
      <c r="C18" s="51"/>
      <c r="D18" s="51" t="s">
        <v>80</v>
      </c>
      <c r="E18" s="51"/>
      <c r="F18" s="51" t="s">
        <v>63</v>
      </c>
      <c r="G18" s="51"/>
      <c r="H18" s="51" t="s">
        <v>50</v>
      </c>
      <c r="I18" s="51"/>
      <c r="J18" s="52" t="s">
        <v>116</v>
      </c>
      <c r="K18" s="52"/>
    </row>
    <row r="19" spans="2:11" ht="50.1" customHeight="1" x14ac:dyDescent="0.25">
      <c r="B19" s="51" t="s">
        <v>110</v>
      </c>
      <c r="C19" s="51"/>
      <c r="D19" s="51" t="s">
        <v>103</v>
      </c>
      <c r="E19" s="51"/>
      <c r="F19" s="51" t="s">
        <v>99</v>
      </c>
      <c r="G19" s="51"/>
      <c r="H19" s="51" t="s">
        <v>85</v>
      </c>
      <c r="I19" s="51"/>
      <c r="J19" s="52" t="s">
        <v>117</v>
      </c>
      <c r="K19" s="52"/>
    </row>
    <row r="20" spans="2:11" ht="50.1" customHeight="1" x14ac:dyDescent="0.25">
      <c r="B20" s="51" t="s">
        <v>104</v>
      </c>
      <c r="C20" s="51"/>
      <c r="D20" s="51" t="s">
        <v>91</v>
      </c>
      <c r="E20" s="51"/>
      <c r="F20" s="51" t="s">
        <v>42</v>
      </c>
      <c r="G20" s="51"/>
      <c r="H20" s="51" t="s">
        <v>44</v>
      </c>
      <c r="I20" s="51"/>
      <c r="J20" s="51" t="s">
        <v>96</v>
      </c>
      <c r="K20" s="51"/>
    </row>
    <row r="21" spans="2:11" ht="50.1" customHeight="1" x14ac:dyDescent="0.25">
      <c r="B21" s="51"/>
      <c r="C21" s="51"/>
      <c r="D21" s="51"/>
      <c r="E21" s="51"/>
      <c r="F21" s="51"/>
      <c r="G21" s="51"/>
      <c r="H21" s="51"/>
      <c r="I21" s="51"/>
      <c r="J21" s="51"/>
      <c r="K21" s="51"/>
    </row>
    <row r="22" spans="2:11" ht="50.1" customHeight="1" x14ac:dyDescent="0.25">
      <c r="B22" s="51"/>
      <c r="C22" s="51"/>
      <c r="D22" s="51"/>
      <c r="E22" s="51"/>
      <c r="F22" s="51"/>
      <c r="G22" s="51"/>
      <c r="H22" s="51"/>
      <c r="I22" s="51"/>
      <c r="J22" s="51"/>
      <c r="K22" s="51"/>
    </row>
    <row r="23" spans="2:11" ht="50.1" customHeight="1" x14ac:dyDescent="0.25">
      <c r="B23" s="51"/>
      <c r="C23" s="51"/>
      <c r="D23" s="51"/>
      <c r="E23" s="51"/>
      <c r="F23" s="51"/>
      <c r="G23" s="51"/>
      <c r="H23" s="51"/>
      <c r="I23" s="51"/>
      <c r="J23" s="51"/>
      <c r="K23" s="51"/>
    </row>
    <row r="24" spans="2:11" ht="50.1" customHeight="1" x14ac:dyDescent="0.25">
      <c r="B24" s="51"/>
      <c r="C24" s="51"/>
      <c r="D24" s="51"/>
      <c r="E24" s="51"/>
      <c r="F24" s="51"/>
      <c r="G24" s="51"/>
      <c r="H24" s="51"/>
      <c r="I24" s="51"/>
      <c r="J24" s="51"/>
      <c r="K24" s="51"/>
    </row>
    <row r="25" spans="2:11" ht="50.1" customHeight="1" x14ac:dyDescent="0.25">
      <c r="B25" s="51"/>
      <c r="C25" s="51"/>
      <c r="D25" s="51"/>
      <c r="E25" s="51"/>
      <c r="F25" s="51"/>
      <c r="G25" s="51"/>
      <c r="H25" s="51"/>
      <c r="I25" s="51"/>
      <c r="J25" s="51"/>
      <c r="K25" s="51"/>
    </row>
    <row r="26" spans="2:11" ht="6.75" customHeight="1" x14ac:dyDescent="0.25"/>
    <row r="27" spans="2:11" s="17" customFormat="1" ht="22.9" customHeight="1" x14ac:dyDescent="0.25">
      <c r="B27" s="23"/>
      <c r="C27" s="23"/>
      <c r="D27" s="24"/>
      <c r="E27" s="25"/>
      <c r="F27" s="25"/>
      <c r="G27" s="25"/>
      <c r="H27" s="25"/>
      <c r="I27" s="25"/>
      <c r="J27" s="25"/>
      <c r="K27" s="25"/>
    </row>
  </sheetData>
  <sheetProtection algorithmName="SHA-512" hashValue="VNrKd5/epxEIRIHzryyRfQoIh1EMsiEVSI5IZdBSVQ3r00tVg1mk5ZfMxaU0p5um24mquXUPf2aTrmFEOBxang==" saltValue="pnUUjxOor9yNMngl15JQEw==" spinCount="100000" sheet="1" objects="1" scenarios="1"/>
  <printOptions horizontalCentered="1" verticalCentered="1"/>
  <pageMargins left="0.31496062992125984" right="0.31496062992125984" top="0.31496062992125984" bottom="0.31496062992125984" header="0.31496062992125984" footer="0.31496062992125984"/>
  <pageSetup scale="8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A3A3F-12C6-4519-8D8A-471E38165BCB}">
  <sheetPr codeName="Sheet2"/>
  <dimension ref="B1:AZ1003"/>
  <sheetViews>
    <sheetView showGridLines="0" showRowColHeaders="0" zoomScaleNormal="100" workbookViewId="0">
      <pane ySplit="3" topLeftCell="A4" activePane="bottomLeft" state="frozen"/>
      <selection pane="bottomLeft" activeCell="A4" sqref="A4"/>
    </sheetView>
  </sheetViews>
  <sheetFormatPr defaultRowHeight="15" customHeight="1" x14ac:dyDescent="0.25"/>
  <cols>
    <col min="1" max="1" width="6.7109375" style="90" customWidth="1"/>
    <col min="2" max="2" width="27.28515625" style="89" bestFit="1" customWidth="1"/>
    <col min="3" max="3" width="6.28515625" style="89" bestFit="1" customWidth="1"/>
    <col min="4" max="4" width="6.7109375" style="90" customWidth="1"/>
    <col min="5" max="5" width="4" style="89" bestFit="1" customWidth="1"/>
    <col min="6" max="6" width="20.28515625" style="89" bestFit="1" customWidth="1"/>
    <col min="7" max="8" width="10.140625" style="91" bestFit="1" customWidth="1"/>
    <col min="9" max="9" width="9.28515625" style="89" bestFit="1" customWidth="1"/>
    <col min="10" max="10" width="6.7109375" style="90" customWidth="1"/>
    <col min="11" max="11" width="8.140625" style="90" bestFit="1" customWidth="1"/>
    <col min="12" max="12" width="10.140625" style="90" bestFit="1" customWidth="1"/>
    <col min="13" max="13" width="6.7109375" style="89" customWidth="1"/>
    <col min="14" max="14" width="14.42578125" style="92" customWidth="1"/>
    <col min="15" max="15" width="8.42578125" style="89" bestFit="1" customWidth="1"/>
    <col min="16" max="17" width="10.140625" style="89" bestFit="1" customWidth="1"/>
    <col min="18" max="18" width="8.85546875" style="89" customWidth="1"/>
    <col min="19" max="19" width="12" style="89" customWidth="1"/>
    <col min="20" max="20" width="7.140625" style="90" customWidth="1"/>
    <col min="21" max="21" width="18.140625" style="90" customWidth="1"/>
    <col min="22" max="22" width="7.28515625" style="90" customWidth="1"/>
    <col min="23" max="23" width="15.28515625" style="93" customWidth="1"/>
    <col min="24" max="24" width="10.140625" style="93" customWidth="1"/>
    <col min="25" max="25" width="17.5703125" style="89" customWidth="1"/>
    <col min="26" max="26" width="6.7109375" style="89" customWidth="1"/>
    <col min="27" max="27" width="16.28515625" style="89" bestFit="1" customWidth="1"/>
    <col min="28" max="31" width="12.7109375" style="89" customWidth="1"/>
    <col min="32" max="32" width="12.7109375" style="157" customWidth="1"/>
    <col min="33" max="33" width="14.7109375" style="157" customWidth="1"/>
    <col min="34" max="34" width="11.140625" style="157" bestFit="1" customWidth="1"/>
    <col min="35" max="39" width="10.7109375" style="156" customWidth="1"/>
    <col min="40" max="40" width="8.140625" style="150" customWidth="1"/>
    <col min="41" max="41" width="16.42578125" style="90" bestFit="1" customWidth="1"/>
    <col min="42" max="43" width="9" style="98" bestFit="1" customWidth="1"/>
    <col min="44" max="44" width="10.28515625" style="98" bestFit="1" customWidth="1"/>
    <col min="45" max="47" width="9" style="98" bestFit="1" customWidth="1"/>
    <col min="48" max="48" width="6.7109375" style="98" customWidth="1"/>
    <col min="49" max="49" width="9.140625" style="98" customWidth="1"/>
    <col min="50" max="50" width="15.7109375" style="99" customWidth="1"/>
    <col min="51" max="51" width="6.7109375" style="89" customWidth="1"/>
    <col min="52" max="52" width="15.7109375" style="89" customWidth="1"/>
    <col min="53" max="53" width="6.42578125" style="90" bestFit="1" customWidth="1"/>
    <col min="54" max="54" width="14" style="90" bestFit="1" customWidth="1"/>
    <col min="55" max="55" width="9.85546875" style="90" bestFit="1" customWidth="1"/>
    <col min="56" max="56" width="8.28515625" style="90" bestFit="1" customWidth="1"/>
    <col min="57" max="57" width="11.42578125" style="90" bestFit="1" customWidth="1"/>
    <col min="58" max="58" width="6.85546875" style="90" bestFit="1" customWidth="1"/>
    <col min="59" max="59" width="2.7109375" style="90" bestFit="1" customWidth="1"/>
    <col min="60" max="60" width="5" style="90" bestFit="1" customWidth="1"/>
    <col min="61" max="61" width="4.28515625" style="90" bestFit="1" customWidth="1"/>
    <col min="62" max="62" width="11.140625" style="90" bestFit="1" customWidth="1"/>
    <col min="63" max="63" width="9" style="90" bestFit="1" customWidth="1"/>
    <col min="64" max="64" width="12.140625" style="90" bestFit="1" customWidth="1"/>
    <col min="65" max="65" width="5.140625" style="90" bestFit="1" customWidth="1"/>
    <col min="66" max="66" width="11.28515625" style="90" bestFit="1" customWidth="1"/>
    <col min="67" max="16384" width="9.140625" style="90"/>
  </cols>
  <sheetData>
    <row r="1" spans="2:52" ht="15" customHeight="1" x14ac:dyDescent="0.25">
      <c r="AA1" s="94" t="s">
        <v>20</v>
      </c>
      <c r="AB1" s="95"/>
      <c r="AC1" s="96"/>
      <c r="AD1" s="96"/>
      <c r="AE1" s="96"/>
      <c r="AF1" s="96"/>
      <c r="AG1" s="96"/>
      <c r="AH1" s="97"/>
      <c r="AI1" s="90"/>
      <c r="AJ1" s="90"/>
      <c r="AK1" s="90"/>
      <c r="AL1" s="90"/>
      <c r="AM1" s="90"/>
      <c r="AN1" s="90"/>
    </row>
    <row r="2" spans="2:52" x14ac:dyDescent="0.25">
      <c r="F2" s="100">
        <f>COUNTA(F4:F253)</f>
        <v>8</v>
      </c>
      <c r="G2" s="100">
        <f>COUNT(G4:G253)</f>
        <v>7</v>
      </c>
      <c r="H2" s="101">
        <f>COUNT(H4:H253)</f>
        <v>1</v>
      </c>
      <c r="N2" s="102" t="s">
        <v>7</v>
      </c>
      <c r="O2" s="103" t="s">
        <v>7</v>
      </c>
      <c r="P2" s="104" t="s">
        <v>148</v>
      </c>
      <c r="Q2" s="105"/>
      <c r="R2" s="105"/>
      <c r="AA2" s="106">
        <f t="array" ref="AA2">SUMPRODUCT((L4:L1003&lt;&gt;"")/COUNTIF($L$4:$L$1003,$L$4:$L$1003&amp;""))</f>
        <v>7</v>
      </c>
      <c r="AB2" s="107"/>
      <c r="AC2" s="108" t="s">
        <v>15</v>
      </c>
      <c r="AD2" s="108"/>
      <c r="AE2" s="108" t="s">
        <v>16</v>
      </c>
      <c r="AF2" s="108"/>
      <c r="AG2" s="108"/>
      <c r="AH2" s="109" t="s">
        <v>32</v>
      </c>
      <c r="AI2" s="110"/>
      <c r="AJ2" s="110"/>
      <c r="AK2" s="111" t="s">
        <v>1</v>
      </c>
      <c r="AL2" s="111"/>
      <c r="AM2" s="111"/>
      <c r="AN2" s="90"/>
      <c r="AZ2" s="112">
        <f>100-IF(COUNTIF(AZ4:AZ103,"")=100,99,COUNTIF(AZ4:AZ103,""))</f>
        <v>70</v>
      </c>
    </row>
    <row r="3" spans="2:52" s="98" customFormat="1" ht="45" x14ac:dyDescent="0.25">
      <c r="B3" s="113" t="s">
        <v>137</v>
      </c>
      <c r="C3" s="114"/>
      <c r="E3" s="115" t="s">
        <v>2</v>
      </c>
      <c r="F3" s="115" t="s">
        <v>3</v>
      </c>
      <c r="G3" s="116" t="s">
        <v>0</v>
      </c>
      <c r="H3" s="116" t="s">
        <v>4</v>
      </c>
      <c r="I3" s="115" t="s">
        <v>1</v>
      </c>
      <c r="K3" s="115" t="s">
        <v>18</v>
      </c>
      <c r="L3" s="115" t="s">
        <v>8</v>
      </c>
      <c r="M3" s="117"/>
      <c r="N3" s="118" t="s">
        <v>27</v>
      </c>
      <c r="O3" s="115" t="s">
        <v>6</v>
      </c>
      <c r="P3" s="115" t="s">
        <v>28</v>
      </c>
      <c r="Q3" s="115" t="s">
        <v>5</v>
      </c>
      <c r="R3" s="115" t="s">
        <v>1</v>
      </c>
      <c r="S3" s="115" t="s">
        <v>29</v>
      </c>
      <c r="T3" s="115" t="s">
        <v>22</v>
      </c>
      <c r="U3" s="115" t="s">
        <v>30</v>
      </c>
      <c r="V3" s="115" t="s">
        <v>23</v>
      </c>
      <c r="W3" s="119" t="s">
        <v>131</v>
      </c>
      <c r="X3" s="119">
        <f>IFERROR(P4-1,"")</f>
        <v>38075</v>
      </c>
      <c r="Y3" s="115" t="s">
        <v>132</v>
      </c>
      <c r="Z3" s="99"/>
      <c r="AA3" s="120">
        <v>0</v>
      </c>
      <c r="AB3" s="110" t="s">
        <v>19</v>
      </c>
      <c r="AC3" s="110" t="s">
        <v>9</v>
      </c>
      <c r="AD3" s="110" t="s">
        <v>10</v>
      </c>
      <c r="AE3" s="110" t="s">
        <v>11</v>
      </c>
      <c r="AF3" s="110" t="s">
        <v>12</v>
      </c>
      <c r="AG3" s="110" t="s">
        <v>21</v>
      </c>
      <c r="AH3" s="121" t="s">
        <v>133</v>
      </c>
      <c r="AI3" s="122" t="s">
        <v>150</v>
      </c>
      <c r="AJ3" s="122" t="s">
        <v>149</v>
      </c>
      <c r="AK3" s="115" t="s">
        <v>158</v>
      </c>
      <c r="AL3" s="115" t="s">
        <v>156</v>
      </c>
      <c r="AM3" s="115" t="s">
        <v>157</v>
      </c>
      <c r="AO3" s="115" t="s">
        <v>36</v>
      </c>
      <c r="AP3" s="115" t="s">
        <v>33</v>
      </c>
      <c r="AQ3" s="115" t="s">
        <v>35</v>
      </c>
      <c r="AR3" s="115" t="s">
        <v>134</v>
      </c>
      <c r="AS3" s="115" t="s">
        <v>35</v>
      </c>
      <c r="AT3" s="115" t="s">
        <v>34</v>
      </c>
      <c r="AU3" s="115" t="s">
        <v>35</v>
      </c>
      <c r="AW3" s="123" t="s">
        <v>159</v>
      </c>
      <c r="AX3" s="115" t="s">
        <v>154</v>
      </c>
      <c r="AY3" s="115" t="s">
        <v>155</v>
      </c>
      <c r="AZ3" s="115" t="s">
        <v>113</v>
      </c>
    </row>
    <row r="4" spans="2:52" ht="15" customHeight="1" x14ac:dyDescent="0.25">
      <c r="B4" s="124" t="s">
        <v>26</v>
      </c>
      <c r="C4" s="123">
        <v>30</v>
      </c>
      <c r="D4" s="125"/>
      <c r="E4" s="126">
        <v>1</v>
      </c>
      <c r="F4" s="126" t="str">
        <f>IF(INDEX(Dashboard!B$6:B$255,$E4,1)="","",INDEX(Dashboard!B$6:B$255,$E4,1))</f>
        <v>Highschool prom</v>
      </c>
      <c r="G4" s="127">
        <f>IF(INDEX(Dashboard!C$6:C$255,$E4,1)="","",INDEX(Dashboard!C$6:C$255,$E4,1))</f>
        <v>38076</v>
      </c>
      <c r="H4" s="127" t="str">
        <f>IF(INDEX(Dashboard!D$6:D$255,$E4,1)="","",INDEX(Dashboard!D$6:D$255,$E4,1))</f>
        <v/>
      </c>
      <c r="I4" s="126" t="str">
        <f>IF(OR(INDEX(Dashboard!E$6:E$255,$E4,1)="", icons&lt;&gt;"Yes"),"",INDEX(Dashboard!E$6:E$255,$E4,1))</f>
        <v>fireworks</v>
      </c>
      <c r="J4" s="125"/>
      <c r="K4" s="126">
        <f>1</f>
        <v>1</v>
      </c>
      <c r="L4" s="127">
        <f t="shared" ref="L4:L67" si="0">IFERROR(IF(K4&lt;=$G$2,SMALL($G$4:$G$253,K4),SMALL($H$4:$H$253,K4-$G$2)),"")</f>
        <v>38076</v>
      </c>
      <c r="N4" s="128">
        <f>IF(P4&lt;&gt;"",1,"")</f>
        <v>1</v>
      </c>
      <c r="O4" s="126">
        <f t="array" ref="O4">IFERROR(SMALL(IF(($G$4:$G$253=P4),ROW($G$4:$G$253)-ROW($G$3),"" ),N4),"")</f>
        <v>1</v>
      </c>
      <c r="P4" s="127">
        <f t="array" ref="P4">IFERROR(SMALL($G$4:$G$253,E4),"")</f>
        <v>38076</v>
      </c>
      <c r="Q4" s="127" t="str">
        <f>IFERROR(INDEX(H$4:H$253,$O4,1),"")</f>
        <v/>
      </c>
      <c r="R4" s="126" t="str">
        <f>IFERROR(INDEX(I$4:I$53,$O4,1),"")</f>
        <v>fireworks</v>
      </c>
      <c r="S4" s="126" t="str">
        <f t="shared" ref="S4:S67" si="1">IF(AND(Q4&lt;&gt;"",Q4&gt;P4),"R",IF(P4="","","S"))</f>
        <v>S</v>
      </c>
      <c r="T4" s="128">
        <f>IF(OR(S4="R",S4=""),"",COUNTIFS($P$4:P4,P4,$S$4:S4,"S")*U4)</f>
        <v>1</v>
      </c>
      <c r="U4" s="128">
        <f>IF(ISNUMBER(N4),IF($C$11=TRUE,IF(OR(ISODD(COUNTIF($N$4:N4,1)),Y4="Yes"),1,-1),1),"")</f>
        <v>1</v>
      </c>
      <c r="V4" s="128" t="str">
        <f ca="1">IFERROR(IF(AND(S4="R",W4&lt;&gt;""),1,IF(S4="R",MAX(OFFSET(V3,0,0,-1*(ROW(W4)-3-MATCH(MAX($W3:W$4),$W3:W$4,0)),1))+1,"")),"")</f>
        <v/>
      </c>
      <c r="W4" s="129" t="str">
        <f>IFERROR(IF(AND(S4="R", P4&gt;MAX($X$3:X3)),P4,""),"")</f>
        <v/>
      </c>
      <c r="X4" s="129" t="str">
        <f>IFERROR(IF(AND(W4="",Q4&gt;=MAX($X$3:X3)),IF(S4="R",Q4,IF(AND(W4="",P4&lt;=MAX($X$3:X3)),MAX($X$3:X3),"")),IF(W4&lt;&gt;"", Q4,"")),"")</f>
        <v/>
      </c>
      <c r="Y4" s="126" t="str">
        <f>IF(S4="S",IF(OR(P4&lt;=MAX($X$3:X3),P4&gt;=IF(MIN(W5:$W$53)&lt;1,99999999,MIN(W5:$W$53))),"Yes","No"),"")</f>
        <v>No</v>
      </c>
      <c r="AA4" s="130">
        <f t="shared" ref="AA4:AA67" si="2">IFERROR(IF(AA3+1&gt;$AA$2,"",AA3+1),"")</f>
        <v>1</v>
      </c>
      <c r="AB4" s="131">
        <f>MIN(L4:L503)</f>
        <v>38076</v>
      </c>
      <c r="AC4" s="132">
        <f ca="1">timelineStartRow</f>
        <v>14</v>
      </c>
      <c r="AD4" s="132">
        <f>timelineStartColumn</f>
        <v>7.5</v>
      </c>
      <c r="AE4" s="132">
        <f ca="1">IF(ISNUMBER(P4), IF(Dashboard!$H$6="Horizontal",IF(S4="S",INDEX($AC$4:$AC$503,MATCH(P4,$AB$4:$AB$503,0),1)+boxDistance*(T4+IF(Y4="No",IF(ISODD(T4),IF(T4&gt;0,1,-1),0),0))*IF(Y4="No",IF(ISODD(T4),0.5,-0.5),1),timelineStartRow - boxDistance * IF(AND(ISNUMBER(V4),V4&gt;1),V4*0.85,1) ),IF( S4="S",INDEX($AC$4:$AC$503,MATCH(P4,$AB$4:$AB$503,0),1),INDEX($AC$4:$AC$503,MATCH(P4,$AB$4:$AB$503,0),1)&amp;"-"&amp;INDEX($AC$4:$AC$503,MATCH(Q4,$AB$4:$AB$503,0),1))),"")</f>
        <v>20</v>
      </c>
      <c r="AF4" s="132">
        <f>IF(ISNUMBER(P4), IF(Dashboard!$H$6&lt;&gt;"Horizontal",IF(S4="S",INDEX($AD$4:$AD$503,MATCH(P4,$AB$4:$AB$503,0),1)+boxDistance*(T4+IF(Y4="No",IF(ISODD(T4),IF(T4&gt;0,1,-1),0),0))*IF(Y4="No",IF(ISODD(T4),0.5,-0.5),1),timelineStartColumn-boxDistance * IF(AND(ISNUMBER(V4),V4&gt;1),V4*0.85,1)   ),IF( S4="S",INDEX($AD$4:$AD$503,MATCH(P4,$AB$4:$AB$503,0),1),INDEX($AD$4:$AD$503,MATCH(P4,$AB$4:$AB$503,0),1)&amp;"-"&amp;INDEX($AD$4:$AD$503,MATCH(Q4,$AB$4:$AB$503,0),1))),"")</f>
        <v>7.5</v>
      </c>
      <c r="AG4" s="133" t="str">
        <f>IFERROR(INDEX($F$4:$F$253,O4,1),"")</f>
        <v>Highschool prom</v>
      </c>
      <c r="AH4" s="134" t="str">
        <f>IF(S4="S","x","")</f>
        <v>x</v>
      </c>
      <c r="AI4" s="135">
        <f t="shared" ref="AI4:AI67" si="3">IF(OR(AH4="x",S4="R"),MATCH(P4,$AB$4:$AB$503,0),"")</f>
        <v>1</v>
      </c>
      <c r="AJ4" s="135" t="str">
        <f>IF(S4="R",MATCH(Q4,$AB$4:$AB$503,0),"")</f>
        <v/>
      </c>
      <c r="AK4" s="136" t="str">
        <f t="shared" ref="AK4:AK35" si="4">IFERROR(INDEX($I$4:$I$253,O4,1),"")</f>
        <v>fireworks</v>
      </c>
      <c r="AL4" s="126">
        <f ca="1">IFERROR(IF(AK4="","", MATCH(AK4,OFFSET(Icons!$B$5,1,AM4-3,20,1),0)+5),"")</f>
        <v>6</v>
      </c>
      <c r="AM4" s="126">
        <f>IFERROR(IF(AK4="","",INDEX($AW$4:$AW$103,MATCH(AK4,$AX$4:$AX$103,0),1)),"")</f>
        <v>7</v>
      </c>
      <c r="AN4" s="90"/>
      <c r="AO4" s="126" t="s">
        <v>138</v>
      </c>
      <c r="AP4" s="123">
        <v>11389944</v>
      </c>
      <c r="AQ4" s="123">
        <v>526344</v>
      </c>
      <c r="AR4" s="123">
        <v>12874308</v>
      </c>
      <c r="AS4" s="123">
        <v>16777215</v>
      </c>
      <c r="AT4" s="123">
        <v>10086143</v>
      </c>
      <c r="AU4" s="123">
        <v>526344</v>
      </c>
      <c r="AW4" s="123">
        <v>3</v>
      </c>
      <c r="AX4" s="172" t="str">
        <f t="array" ref="AX4">IF(INDEX(iconsTable,ROW(AX4)-ROW($AX$3),1)="","",INDEX(iconsTable,ROW(AX4)-ROW($AX$3),1))</f>
        <v>artist</v>
      </c>
      <c r="AY4" s="123">
        <f>IF(AX4="","",COUNTIF($AX$4:$AX$103,"&lt;="&amp;AX4)+(COUNT($AX$4:$AX$103)*ISTEXT(AX4)))</f>
        <v>26</v>
      </c>
      <c r="AZ4" s="137" t="str">
        <f>IFERROR(INDEX($AX$4:$AX$103,MATCH(SMALL($AY$4:$AY$103,ROW(AZ4)-ROW($AZ$3)), $AY$4:$AY$103,0)),"")</f>
        <v>artist</v>
      </c>
    </row>
    <row r="5" spans="2:52" ht="15" customHeight="1" x14ac:dyDescent="0.25">
      <c r="B5" s="138" t="s">
        <v>135</v>
      </c>
      <c r="C5" s="126">
        <f>IF(LEN(Dashboard!H10)=0,40,Dashboard!H10*10)</f>
        <v>40</v>
      </c>
      <c r="E5" s="126">
        <v>2</v>
      </c>
      <c r="F5" s="126" t="str">
        <f>IF(INDEX(Dashboard!B$6:B$255,$E5,1)="","",INDEX(Dashboard!B$6:B$255,$E5,1))</f>
        <v>Highschool exams</v>
      </c>
      <c r="G5" s="127">
        <f>IF(INDEX(Dashboard!C$6:C$255,$E5,1)="","",INDEX(Dashboard!C$6:C$255,$E5,1))</f>
        <v>38153</v>
      </c>
      <c r="H5" s="127" t="str">
        <f>IF(INDEX(Dashboard!D$6:D$255,$E5,1)="","",INDEX(Dashboard!D$6:D$255,$E5,1))</f>
        <v/>
      </c>
      <c r="I5" s="126" t="str">
        <f>IF(OR(INDEX(Dashboard!E$6:E$255,$E5,1)="", icons&lt;&gt;"Yes"),"",INDEX(Dashboard!E$6:E$255,$E5,1))</f>
        <v/>
      </c>
      <c r="K5" s="137">
        <f t="shared" ref="K5:K68" si="5">IFERROR(IF(K4+1&gt;$G$2+$H$2,"",K4+1),"")</f>
        <v>2</v>
      </c>
      <c r="L5" s="127">
        <f t="shared" si="0"/>
        <v>38153</v>
      </c>
      <c r="N5" s="128">
        <f t="shared" ref="N5:N68" si="6">IF(P5&lt;&gt;"",IF(P5=P4,N4+1,1),"")</f>
        <v>1</v>
      </c>
      <c r="O5" s="126">
        <f t="array" ref="O5">IFERROR(SMALL(IF(($G$4:$G$253=P5),ROW($G$4:$G$253)-ROW($G$3),"" ),N5),"")</f>
        <v>2</v>
      </c>
      <c r="P5" s="127">
        <f t="array" ref="P5">IFERROR(SMALL($G$4:$G$253,E5),"")</f>
        <v>38153</v>
      </c>
      <c r="Q5" s="127" t="str">
        <f t="shared" ref="Q5:Q68" si="7">IFERROR(INDEX(H$4:H$253,$O5,1),"")</f>
        <v/>
      </c>
      <c r="R5" s="126" t="str">
        <f t="shared" ref="R5:R68" si="8">IFERROR(INDEX(I$4:I$53,$O5,1),"")</f>
        <v/>
      </c>
      <c r="S5" s="126" t="str">
        <f t="shared" si="1"/>
        <v>S</v>
      </c>
      <c r="T5" s="128">
        <f>IF(OR(S5="R",S5=""),"",COUNTIFS($P$4:P5,P5,$S$4:S5,"S")*U5)</f>
        <v>-1</v>
      </c>
      <c r="U5" s="128">
        <f>IF(ISNUMBER(N5),IF($C$11=TRUE,IF(OR(ISODD(COUNTIF($N$4:N5,1)),Y5="Yes"),1,-1),1),"")</f>
        <v>-1</v>
      </c>
      <c r="V5" s="128" t="str">
        <f ca="1">IFERROR(IF(AND(S5="R",W5&lt;&gt;""),1,IF(S5="R",MAX(OFFSET(V4,0,0,-1*(ROW(W5)-3-MATCH(MAX($W$4:W4),$W$4:W4,0)),1))+1,"")),"")</f>
        <v/>
      </c>
      <c r="W5" s="129" t="str">
        <f>IFERROR(IF(AND(S5="R", P5&gt;MAX($X$3:X4)),P5,""),"")</f>
        <v/>
      </c>
      <c r="X5" s="129" t="str">
        <f>IFERROR(IF(AND(W5="",Q5&gt;=MAX($X$3:X4)),IF(S5="R",Q5,IF(AND(W5="",P5&lt;=MAX($X$3:X4)),MAX($X$3:X4),"")),IF(W5&lt;&gt;"", Q5,"")),"")</f>
        <v/>
      </c>
      <c r="Y5" s="126" t="str">
        <f>IF(S5="S",IF(OR(P5&lt;=MAX($X$3:X4),P5&gt;=IF(MIN(W6:$W$53)&lt;1,99999999,MIN(W6:$W$53))),"Yes","No"),"")</f>
        <v>No</v>
      </c>
      <c r="AA5" s="130">
        <f t="shared" si="2"/>
        <v>2</v>
      </c>
      <c r="AB5" s="131">
        <f t="array" ref="AB5">IF(AA5&lt;=$AA$2,MIN(IF($L$4:$L$503&lt;=AB4,99999999999,$L$4:$L$503)),"")</f>
        <v>38153</v>
      </c>
      <c r="AC5" s="130">
        <f ca="1">IF(ISNUMBER(AA5),IF(Dashboard!$H$6&lt;&gt;"Horizontal",AC4+dateDistance,AC4),"")</f>
        <v>14</v>
      </c>
      <c r="AD5" s="130">
        <f>IF(ISNUMBER(AA5),IF(Dashboard!$H$6="Horizontal",AD4+dateDistance,AD4),"")</f>
        <v>13.5</v>
      </c>
      <c r="AE5" s="132">
        <f ca="1">IF(ISNUMBER(P5), IF(Dashboard!$H$6="Horizontal",IF(S5="S",INDEX($AC$4:$AC$503,MATCH(P5,$AB$4:$AB$503,0),1)+boxDistance*(T5+IF(Y5="No",IF(ISODD(T5),IF(T5&gt;0,1,-1),0),0))*IF(Y5="No",IF(ISODD(T5),0.5,-0.5),1),timelineStartRow - boxDistance * IF(AND(ISNUMBER(V5),V5&gt;1),V5*0.85,1) ),IF( S5="S",INDEX($AC$4:$AC$503,MATCH(P5,$AB$4:$AB$503,0),1),INDEX($AC$4:$AC$503,MATCH(P5,$AB$4:$AB$503,0),1)&amp;"-"&amp;INDEX($AC$4:$AC$503,MATCH(Q5,$AB$4:$AB$503,0),1))),"")</f>
        <v>8</v>
      </c>
      <c r="AF5" s="132">
        <f>IF(ISNUMBER(P5), IF(Dashboard!$H$6&lt;&gt;"Horizontal",IF(S5="S",INDEX($AD$4:$AD$503,MATCH(P5,$AB$4:$AB$503,0),1)+boxDistance*(T5+IF(Y5="No",IF(ISODD(T5),IF(T5&gt;0,1,-1),0),0))*IF(Y5="No",IF(ISODD(T5),0.5,-0.5),1),timelineStartColumn-boxDistance * IF(AND(ISNUMBER(V5),V5&gt;1),V5*0.85,1)   ),IF( S5="S",INDEX($AD$4:$AD$503,MATCH(P5,$AB$4:$AB$503,0),1),INDEX($AD$4:$AD$503,MATCH(P5,$AB$4:$AB$503,0),1)&amp;"-"&amp;INDEX($AD$4:$AD$503,MATCH(Q5,$AB$4:$AB$503,0),1))),"")</f>
        <v>13.5</v>
      </c>
      <c r="AG5" s="133" t="str">
        <f t="shared" ref="AG5:AG68" si="9">IFERROR(INDEX($F$4:$F$253,O5,1),"")</f>
        <v>Highschool exams</v>
      </c>
      <c r="AH5" s="134" t="str">
        <f t="shared" ref="AH5:AH19" si="10">IF(S5="S","x","")</f>
        <v>x</v>
      </c>
      <c r="AI5" s="135">
        <f t="shared" si="3"/>
        <v>2</v>
      </c>
      <c r="AJ5" s="135" t="str">
        <f t="shared" ref="AJ5:AJ68" si="11">IF(S5="R",MATCH(Q5,$AB$4:$AB$503,0),"")</f>
        <v/>
      </c>
      <c r="AK5" s="126" t="str">
        <f t="shared" si="4"/>
        <v/>
      </c>
      <c r="AL5" s="126" t="str">
        <f ca="1">IFERROR(IF(AK5="","", MATCH(AK5,OFFSET(Icons!$B$5,1,AM5-3,20,1),0)+5),"")</f>
        <v/>
      </c>
      <c r="AM5" s="126" t="str">
        <f t="shared" ref="AM5:AM68" si="12">IFERROR(IF(AK5="","",INDEX($AW$4:$AW$103,MATCH(AK5,$AX$4:$AX$103,0),1)),"")</f>
        <v/>
      </c>
      <c r="AN5" s="90"/>
      <c r="AO5" s="126" t="s">
        <v>142</v>
      </c>
      <c r="AP5" s="123">
        <v>14461582</v>
      </c>
      <c r="AQ5" s="123">
        <v>526344</v>
      </c>
      <c r="AR5" s="123">
        <v>15983578</v>
      </c>
      <c r="AS5" s="123">
        <v>526344</v>
      </c>
      <c r="AT5" s="123">
        <v>9917743</v>
      </c>
      <c r="AU5" s="123">
        <v>16777215</v>
      </c>
      <c r="AW5" s="123">
        <v>3</v>
      </c>
      <c r="AX5" s="172" t="str">
        <f t="array" ref="AX5">IF(INDEX(iconsTable,ROW(AX5)-ROW($AX$3),1)="","",INDEX(iconsTable,ROW(AX5)-ROW($AX$3),1))</f>
        <v>astronaut</v>
      </c>
      <c r="AY5" s="123">
        <f t="shared" ref="AY5:AY68" si="13">IF(AX5="","",COUNTIF($AX$4:$AX$103,"&lt;="&amp;AX5)+(COUNT($AX$4:$AX$103)*ISTEXT(AX5)))</f>
        <v>27</v>
      </c>
      <c r="AZ5" s="137" t="str">
        <f t="shared" ref="AZ5:AZ67" si="14">IFERROR(INDEX($AX$4:$AX$93,MATCH(SMALL($AY$4:$AY$93,ROW(AZ5)-ROW($AZ$3)), $AY$4:$AY$93,0)),"")</f>
        <v>astronaut</v>
      </c>
    </row>
    <row r="6" spans="2:52" ht="14.25" customHeight="1" x14ac:dyDescent="0.25">
      <c r="B6" s="138" t="s">
        <v>136</v>
      </c>
      <c r="C6" s="126">
        <f>IF(LEN(Dashboard!H11)=0,70,Dashboard!H11*10)</f>
        <v>70</v>
      </c>
      <c r="E6" s="126">
        <v>3</v>
      </c>
      <c r="F6" s="126" t="str">
        <f>IF(INDEX(Dashboard!B$6:B$255,$E6,1)="","",INDEX(Dashboard!B$6:B$255,$E6,1))</f>
        <v>First day of university</v>
      </c>
      <c r="G6" s="127">
        <f>IF(INDEX(Dashboard!C$6:C$255,$E6,1)="","",INDEX(Dashboard!C$6:C$255,$E6,1))</f>
        <v>38261</v>
      </c>
      <c r="H6" s="127" t="str">
        <f>IF(INDEX(Dashboard!D$6:D$255,$E6,1)="","",INDEX(Dashboard!D$6:D$255,$E6,1))</f>
        <v/>
      </c>
      <c r="I6" s="126" t="str">
        <f>IF(OR(INDEX(Dashboard!E$6:E$255,$E6,1)="", icons&lt;&gt;"Yes"),"",INDEX(Dashboard!E$6:E$255,$E6,1))</f>
        <v/>
      </c>
      <c r="K6" s="137">
        <f t="shared" si="5"/>
        <v>3</v>
      </c>
      <c r="L6" s="127">
        <f t="shared" si="0"/>
        <v>38261</v>
      </c>
      <c r="N6" s="128">
        <f t="shared" si="6"/>
        <v>1</v>
      </c>
      <c r="O6" s="126">
        <f t="array" ref="O6">IFERROR(SMALL(IF(($G$4:$G$253=P6),ROW($G$4:$G$253)-ROW($G$3),"" ),N6),"")</f>
        <v>3</v>
      </c>
      <c r="P6" s="127">
        <f t="array" ref="P6">IFERROR(SMALL($G$4:$G$253,E6),"")</f>
        <v>38261</v>
      </c>
      <c r="Q6" s="127" t="str">
        <f t="shared" si="7"/>
        <v/>
      </c>
      <c r="R6" s="126" t="str">
        <f t="shared" si="8"/>
        <v/>
      </c>
      <c r="S6" s="126" t="str">
        <f t="shared" si="1"/>
        <v>S</v>
      </c>
      <c r="T6" s="128">
        <f>IF(OR(S6="R",S6=""),"",COUNTIFS($P$4:P6,P6,$S$4:S6,"S")*U6)</f>
        <v>1</v>
      </c>
      <c r="U6" s="128">
        <f>IF(ISNUMBER(N6),IF($C$11=TRUE,IF(OR(ISODD(COUNTIF($N$4:N6,1)),Y6="Yes"),1,-1),1),"")</f>
        <v>1</v>
      </c>
      <c r="V6" s="128" t="str">
        <f ca="1">IFERROR(IF(AND(S6="R",W6&lt;&gt;""),1,IF(S6="R",MAX(OFFSET(V5,0,0,-1*(ROW(W6)-3-MATCH(MAX($W$4:W5),$W$4:W5,0)),1))+1,"")),"")</f>
        <v/>
      </c>
      <c r="W6" s="129" t="str">
        <f>IFERROR(IF(AND(S6="R", P6&gt;MAX($X$3:X5)),P6,""),"")</f>
        <v/>
      </c>
      <c r="X6" s="129" t="str">
        <f>IFERROR(IF(AND(W6="",Q6&gt;=MAX($X$3:X5)),IF(S6="R",Q6,IF(AND(W6="",P6&lt;=MAX($X$3:X5)),MAX($X$3:X5),"")),IF(W6&lt;&gt;"", Q6,"")),"")</f>
        <v/>
      </c>
      <c r="Y6" s="126" t="str">
        <f>IF(S6="S",IF(OR(P6&lt;=MAX($X$3:X5),P6&gt;=IF(MIN(W7:$W$53)&lt;1,99999999,MIN(W7:$W$53))),"Yes","No"),"")</f>
        <v>No</v>
      </c>
      <c r="AA6" s="130">
        <f t="shared" si="2"/>
        <v>3</v>
      </c>
      <c r="AB6" s="131">
        <f t="array" ref="AB6">IF(AA6&lt;=$AA$2,MIN(IF($L$4:$L$503&lt;=AB5,99999999999,$L$4:$L$503)),"")</f>
        <v>38261</v>
      </c>
      <c r="AC6" s="130">
        <f ca="1">IF(ISNUMBER(AA6),IF(Dashboard!$H$6&lt;&gt;"Horizontal",AC5+dateDistance,AC5),"")</f>
        <v>14</v>
      </c>
      <c r="AD6" s="130">
        <f>IF(ISNUMBER(AA6),IF(Dashboard!$H$6="Horizontal",AD5+dateDistance,AD5),"")</f>
        <v>19.5</v>
      </c>
      <c r="AE6" s="132">
        <f ca="1">IF(ISNUMBER(P6), IF(Dashboard!$H$6="Horizontal",IF(S6="S",INDEX($AC$4:$AC$503,MATCH(P6,$AB$4:$AB$503,0),1)+boxDistance*(T6+IF(Y6="No",IF(ISODD(T6),IF(T6&gt;0,1,-1),0),0))*IF(Y6="No",IF(ISODD(T6),0.5,-0.5),1),timelineStartRow - boxDistance * IF(AND(ISNUMBER(V6),V6&gt;1),V6*0.85,1) ),IF( S6="S",INDEX($AC$4:$AC$503,MATCH(P6,$AB$4:$AB$503,0),1),INDEX($AC$4:$AC$503,MATCH(P6,$AB$4:$AB$503,0),1)&amp;"-"&amp;INDEX($AC$4:$AC$503,MATCH(Q6,$AB$4:$AB$503,0),1))),"")</f>
        <v>20</v>
      </c>
      <c r="AF6" s="132">
        <f>IF(ISNUMBER(P6), IF(Dashboard!$H$6&lt;&gt;"Horizontal",IF(S6="S",INDEX($AD$4:$AD$503,MATCH(P6,$AB$4:$AB$503,0),1)+boxDistance*(T6+IF(Y6="No",IF(ISODD(T6),IF(T6&gt;0,1,-1),0),0))*IF(Y6="No",IF(ISODD(T6),0.5,-0.5),1),timelineStartColumn-boxDistance * IF(AND(ISNUMBER(V6),V6&gt;1),V6*0.85,1)   ),IF( S6="S",INDEX($AD$4:$AD$503,MATCH(P6,$AB$4:$AB$503,0),1),INDEX($AD$4:$AD$503,MATCH(P6,$AB$4:$AB$503,0),1)&amp;"-"&amp;INDEX($AD$4:$AD$503,MATCH(Q6,$AB$4:$AB$503,0),1))),"")</f>
        <v>19.5</v>
      </c>
      <c r="AG6" s="133" t="str">
        <f t="shared" si="9"/>
        <v>First day of university</v>
      </c>
      <c r="AH6" s="134" t="str">
        <f t="shared" si="10"/>
        <v>x</v>
      </c>
      <c r="AI6" s="135">
        <f t="shared" si="3"/>
        <v>3</v>
      </c>
      <c r="AJ6" s="135" t="str">
        <f t="shared" si="11"/>
        <v/>
      </c>
      <c r="AK6" s="126" t="str">
        <f t="shared" si="4"/>
        <v/>
      </c>
      <c r="AL6" s="126" t="str">
        <f ca="1">IFERROR(IF(AK6="","", MATCH(AK6,OFFSET(Icons!$B$5,1,AM6-3,20,1),0)+5),"")</f>
        <v/>
      </c>
      <c r="AM6" s="126" t="str">
        <f t="shared" si="12"/>
        <v/>
      </c>
      <c r="AN6" s="90"/>
      <c r="AO6" s="126" t="s">
        <v>147</v>
      </c>
      <c r="AP6" s="123">
        <v>8630772</v>
      </c>
      <c r="AQ6" s="123">
        <v>526344</v>
      </c>
      <c r="AR6" s="123">
        <v>11123837</v>
      </c>
      <c r="AS6" s="123">
        <v>16777215</v>
      </c>
      <c r="AT6" s="123">
        <v>10086143</v>
      </c>
      <c r="AU6" s="123">
        <v>526344</v>
      </c>
      <c r="AW6" s="123">
        <v>3</v>
      </c>
      <c r="AX6" s="172" t="str">
        <f t="array" ref="AX6">IF(INDEX(iconsTable,ROW(AX6)-ROW($AX$3),1)="","",INDEX(iconsTable,ROW(AX6)-ROW($AX$3),1))</f>
        <v>attention</v>
      </c>
      <c r="AY6" s="123">
        <f t="shared" si="13"/>
        <v>28</v>
      </c>
      <c r="AZ6" s="137" t="str">
        <f t="shared" si="14"/>
        <v>attention</v>
      </c>
    </row>
    <row r="7" spans="2:52" ht="15" customHeight="1" x14ac:dyDescent="0.25">
      <c r="B7" s="124" t="s">
        <v>17</v>
      </c>
      <c r="C7" s="123">
        <f>IF(Dashboard!H9="",6,Dashboard!H9)</f>
        <v>6</v>
      </c>
      <c r="E7" s="126">
        <v>4</v>
      </c>
      <c r="F7" s="126" t="str">
        <f>IF(INDEX(Dashboard!B$6:B$255,$E7,1)="","",INDEX(Dashboard!B$6:B$255,$E7,1))</f>
        <v>Graduate</v>
      </c>
      <c r="G7" s="127">
        <f>IF(INDEX(Dashboard!C$6:C$255,$E7,1)="","",INDEX(Dashboard!C$6:C$255,$E7,1))</f>
        <v>40302</v>
      </c>
      <c r="H7" s="127" t="str">
        <f>IF(INDEX(Dashboard!D$6:D$255,$E7,1)="","",INDEX(Dashboard!D$6:D$255,$E7,1))</f>
        <v/>
      </c>
      <c r="I7" s="126" t="str">
        <f>IF(OR(INDEX(Dashboard!E$6:E$255,$E7,1)="", icons&lt;&gt;"Yes"),"",INDEX(Dashboard!E$6:E$255,$E7,1))</f>
        <v/>
      </c>
      <c r="K7" s="137">
        <f t="shared" si="5"/>
        <v>4</v>
      </c>
      <c r="L7" s="127">
        <f t="shared" si="0"/>
        <v>40302</v>
      </c>
      <c r="M7" s="90"/>
      <c r="N7" s="128">
        <f t="shared" si="6"/>
        <v>1</v>
      </c>
      <c r="O7" s="126">
        <f t="array" ref="O7">IFERROR(SMALL(IF(($G$4:$G$253=P7),ROW($G$4:$G$253)-ROW($G$3),"" ),N7),"")</f>
        <v>4</v>
      </c>
      <c r="P7" s="127">
        <f t="array" ref="P7">IFERROR(SMALL($G$4:$G$253,E7),"")</f>
        <v>40302</v>
      </c>
      <c r="Q7" s="127" t="str">
        <f t="shared" si="7"/>
        <v/>
      </c>
      <c r="R7" s="126" t="str">
        <f t="shared" si="8"/>
        <v/>
      </c>
      <c r="S7" s="126" t="str">
        <f t="shared" si="1"/>
        <v>S</v>
      </c>
      <c r="T7" s="128">
        <f>IF(OR(S7="R",S7=""),"",COUNTIFS($P$4:P7,P7,$S$4:S7,"S")*U7)</f>
        <v>-1</v>
      </c>
      <c r="U7" s="128">
        <f>IF(ISNUMBER(N7),IF($C$11=TRUE,IF(OR(ISODD(COUNTIF($N$4:N7,1)),Y7="Yes"),1,-1),1),"")</f>
        <v>-1</v>
      </c>
      <c r="V7" s="128" t="str">
        <f ca="1">IFERROR(IF(AND(S7="R",W7&lt;&gt;""),1,IF(S7="R",MAX(OFFSET(V6,0,0,-1*(ROW(W7)-3-MATCH(MAX($W$4:W6),$W$4:W6,0)),1))+1,"")),"")</f>
        <v/>
      </c>
      <c r="W7" s="129" t="str">
        <f>IFERROR(IF(AND(S7="R", P7&gt;MAX($X$3:X6)),P7,""),"")</f>
        <v/>
      </c>
      <c r="X7" s="129" t="str">
        <f>IFERROR(IF(AND(W7="",Q7&gt;=MAX($X$3:X6)),IF(S7="R",Q7,IF(AND(W7="",P7&lt;=MAX($X$3:X6)),MAX($X$3:X6),"")),IF(W7&lt;&gt;"", Q7,"")),"")</f>
        <v/>
      </c>
      <c r="Y7" s="126" t="str">
        <f>IF(S7="S",IF(OR(P7&lt;=MAX($X$3:X6),P7&gt;=IF(MIN(W8:$W$53)&lt;1,99999999,MIN(W8:$W$53))),"Yes","No"),"")</f>
        <v>No</v>
      </c>
      <c r="AA7" s="130">
        <f t="shared" si="2"/>
        <v>4</v>
      </c>
      <c r="AB7" s="131">
        <f t="array" ref="AB7">IF(AA7&lt;=$AA$2,MIN(IF($L$4:$L$503&lt;=AB6,99999999999,$L$4:$L$503)),"")</f>
        <v>40302</v>
      </c>
      <c r="AC7" s="130">
        <f ca="1">IF(ISNUMBER(AA7),IF(Dashboard!$H$6&lt;&gt;"Horizontal",AC6+dateDistance,AC6),"")</f>
        <v>14</v>
      </c>
      <c r="AD7" s="130">
        <f>IF(ISNUMBER(AA7),IF(Dashboard!$H$6="Horizontal",AD6+dateDistance,AD6),"")</f>
        <v>25.5</v>
      </c>
      <c r="AE7" s="132">
        <f ca="1">IF(ISNUMBER(P7), IF(Dashboard!$H$6="Horizontal",IF(S7="S",INDEX($AC$4:$AC$503,MATCH(P7,$AB$4:$AB$503,0),1)+boxDistance*(T7+IF(Y7="No",IF(ISODD(T7),IF(T7&gt;0,1,-1),0),0))*IF(Y7="No",IF(ISODD(T7),0.5,-0.5),1),timelineStartRow - boxDistance * IF(AND(ISNUMBER(V7),V7&gt;1),V7*0.85,1) ),IF( S7="S",INDEX($AC$4:$AC$503,MATCH(P7,$AB$4:$AB$503,0),1),INDEX($AC$4:$AC$503,MATCH(P7,$AB$4:$AB$503,0),1)&amp;"-"&amp;INDEX($AC$4:$AC$503,MATCH(Q7,$AB$4:$AB$503,0),1))),"")</f>
        <v>8</v>
      </c>
      <c r="AF7" s="132">
        <f>IF(ISNUMBER(P7), IF(Dashboard!$H$6&lt;&gt;"Horizontal",IF(S7="S",INDEX($AD$4:$AD$503,MATCH(P7,$AB$4:$AB$503,0),1)+boxDistance*(T7+IF(Y7="No",IF(ISODD(T7),IF(T7&gt;0,1,-1),0),0))*IF(Y7="No",IF(ISODD(T7),0.5,-0.5),1),timelineStartColumn-boxDistance * IF(AND(ISNUMBER(V7),V7&gt;1),V7*0.85,1)   ),IF( S7="S",INDEX($AD$4:$AD$503,MATCH(P7,$AB$4:$AB$503,0),1),INDEX($AD$4:$AD$503,MATCH(P7,$AB$4:$AB$503,0),1)&amp;"-"&amp;INDEX($AD$4:$AD$503,MATCH(Q7,$AB$4:$AB$503,0),1))),"")</f>
        <v>25.5</v>
      </c>
      <c r="AG7" s="133" t="str">
        <f t="shared" si="9"/>
        <v>Graduate</v>
      </c>
      <c r="AH7" s="134" t="str">
        <f t="shared" si="10"/>
        <v>x</v>
      </c>
      <c r="AI7" s="135">
        <f t="shared" si="3"/>
        <v>4</v>
      </c>
      <c r="AJ7" s="135" t="str">
        <f t="shared" si="11"/>
        <v/>
      </c>
      <c r="AK7" s="126" t="str">
        <f t="shared" si="4"/>
        <v/>
      </c>
      <c r="AL7" s="126" t="str">
        <f ca="1">IFERROR(IF(AK7="","", MATCH(AK7,OFFSET(Icons!$B$5,1,AM7-3,20,1),0)+5),"")</f>
        <v/>
      </c>
      <c r="AM7" s="126" t="str">
        <f t="shared" si="12"/>
        <v/>
      </c>
      <c r="AN7" s="90"/>
      <c r="AO7" s="126" t="s">
        <v>139</v>
      </c>
      <c r="AP7" s="123">
        <v>10086143</v>
      </c>
      <c r="AQ7" s="123">
        <v>526344</v>
      </c>
      <c r="AR7" s="123">
        <v>11123837</v>
      </c>
      <c r="AS7" s="123">
        <v>16777215</v>
      </c>
      <c r="AT7" s="123">
        <v>8630772</v>
      </c>
      <c r="AU7" s="123">
        <v>526344</v>
      </c>
      <c r="AW7" s="123">
        <v>3</v>
      </c>
      <c r="AX7" s="172" t="str">
        <f t="array" ref="AX7">IF(INDEX(iconsTable,ROW(AX7)-ROW($AX$3),1)="","",INDEX(iconsTable,ROW(AX7)-ROW($AX$3),1))</f>
        <v>bacteria</v>
      </c>
      <c r="AY7" s="123">
        <f t="shared" si="13"/>
        <v>29</v>
      </c>
      <c r="AZ7" s="137" t="str">
        <f t="shared" si="14"/>
        <v>bacteria</v>
      </c>
    </row>
    <row r="8" spans="2:52" ht="15" customHeight="1" x14ac:dyDescent="0.25">
      <c r="B8" s="138" t="s">
        <v>25</v>
      </c>
      <c r="C8" s="126">
        <f>IF(Dashboard!H8="",6,Dashboard!H8)</f>
        <v>6</v>
      </c>
      <c r="E8" s="126">
        <v>5</v>
      </c>
      <c r="F8" s="126" t="str">
        <f>IF(INDEX(Dashboard!B$6:B$255,$E8,1)="","",INDEX(Dashboard!B$6:B$255,$E8,1))</f>
        <v>Found a job</v>
      </c>
      <c r="G8" s="127">
        <f>IF(INDEX(Dashboard!C$6:C$255,$E8,1)="","",INDEX(Dashboard!C$6:C$255,$E8,1))</f>
        <v>40407</v>
      </c>
      <c r="H8" s="127" t="str">
        <f>IF(INDEX(Dashboard!D$6:D$255,$E8,1)="","",INDEX(Dashboard!D$6:D$255,$E8,1))</f>
        <v/>
      </c>
      <c r="I8" s="126" t="str">
        <f>IF(OR(INDEX(Dashboard!E$6:E$255,$E8,1)="", icons&lt;&gt;"Yes"),"",INDEX(Dashboard!E$6:E$255,$E8,1))</f>
        <v/>
      </c>
      <c r="K8" s="137">
        <f t="shared" si="5"/>
        <v>5</v>
      </c>
      <c r="L8" s="127">
        <f t="shared" si="0"/>
        <v>40407</v>
      </c>
      <c r="N8" s="128">
        <f t="shared" si="6"/>
        <v>1</v>
      </c>
      <c r="O8" s="126">
        <f t="array" ref="O8">IFERROR(SMALL(IF(($G$4:$G$253=P8),ROW($G$4:$G$253)-ROW($G$3),"" ),N8),"")</f>
        <v>5</v>
      </c>
      <c r="P8" s="127">
        <f t="array" ref="P8">IFERROR(SMALL($G$4:$G$253,E8),"")</f>
        <v>40407</v>
      </c>
      <c r="Q8" s="127" t="str">
        <f t="shared" si="7"/>
        <v/>
      </c>
      <c r="R8" s="126" t="str">
        <f t="shared" si="8"/>
        <v/>
      </c>
      <c r="S8" s="126" t="str">
        <f t="shared" si="1"/>
        <v>S</v>
      </c>
      <c r="T8" s="128">
        <f>IF(OR(S8="R",S8=""),"",COUNTIFS($P$4:P8,P8,$S$4:S8,"S")*U8)</f>
        <v>1</v>
      </c>
      <c r="U8" s="128">
        <f>IF(ISNUMBER(N8),IF($C$11=TRUE,IF(OR(ISODD(COUNTIF($N$4:N8,1)),Y8="Yes"),1,-1),1),"")</f>
        <v>1</v>
      </c>
      <c r="V8" s="128" t="str">
        <f ca="1">IFERROR(IF(AND(S8="R",W8&lt;&gt;""),1,IF(S8="R",MAX(OFFSET(V7,0,0,-1*(ROW(W8)-3-MATCH(MAX($W$4:W7),$W$4:W7,0)),1))+1,"")),"")</f>
        <v/>
      </c>
      <c r="W8" s="129" t="str">
        <f>IFERROR(IF(AND(S8="R", P8&gt;MAX($X$3:X7)),P8,""),"")</f>
        <v/>
      </c>
      <c r="X8" s="129" t="str">
        <f>IFERROR(IF(AND(W8="",Q8&gt;=MAX($X$3:X7)),IF(S8="R",Q8,IF(AND(W8="",P8&lt;=MAX($X$3:X7)),MAX($X$3:X7),"")),IF(W8&lt;&gt;"", Q8,"")),"")</f>
        <v/>
      </c>
      <c r="Y8" s="126" t="str">
        <f>IF(S8="S",IF(OR(P8&lt;=MAX($X$3:X7),P8&gt;=IF(MIN(W9:$W$53)&lt;1,99999999,MIN(W9:$W$53))),"Yes","No"),"")</f>
        <v>Yes</v>
      </c>
      <c r="AA8" s="130">
        <f t="shared" si="2"/>
        <v>5</v>
      </c>
      <c r="AB8" s="131">
        <f t="array" ref="AB8">IF(AA8&lt;=$AA$2,MIN(IF($L$4:$L$503&lt;=AB7,99999999999,$L$4:$L$503)),"")</f>
        <v>40407</v>
      </c>
      <c r="AC8" s="130">
        <f ca="1">IF(ISNUMBER(AA8),IF(Dashboard!$H$6&lt;&gt;"Horizontal",AC7+dateDistance,AC7),"")</f>
        <v>14</v>
      </c>
      <c r="AD8" s="130">
        <f>IF(ISNUMBER(AA8),IF(Dashboard!$H$6="Horizontal",AD7+dateDistance,AD7),"")</f>
        <v>31.5</v>
      </c>
      <c r="AE8" s="132">
        <f ca="1">IF(ISNUMBER(P8), IF(Dashboard!$H$6="Horizontal",IF(S8="S",INDEX($AC$4:$AC$503,MATCH(P8,$AB$4:$AB$503,0),1)+boxDistance*(T8+IF(Y8="No",IF(ISODD(T8),IF(T8&gt;0,1,-1),0),0))*IF(Y8="No",IF(ISODD(T8),0.5,-0.5),1),timelineStartRow - boxDistance * IF(AND(ISNUMBER(V8),V8&gt;1),V8*0.85,1) ),IF( S8="S",INDEX($AC$4:$AC$503,MATCH(P8,$AB$4:$AB$503,0),1),INDEX($AC$4:$AC$503,MATCH(P8,$AB$4:$AB$503,0),1)&amp;"-"&amp;INDEX($AC$4:$AC$503,MATCH(Q8,$AB$4:$AB$503,0),1))),"")</f>
        <v>20</v>
      </c>
      <c r="AF8" s="132">
        <f>IF(ISNUMBER(P8), IF(Dashboard!$H$6&lt;&gt;"Horizontal",IF(S8="S",INDEX($AD$4:$AD$503,MATCH(P8,$AB$4:$AB$503,0),1)+boxDistance*(T8+IF(Y8="No",IF(ISODD(T8),IF(T8&gt;0,1,-1),0),0))*IF(Y8="No",IF(ISODD(T8),0.5,-0.5),1),timelineStartColumn-boxDistance * IF(AND(ISNUMBER(V8),V8&gt;1),V8*0.85,1)   ),IF( S8="S",INDEX($AD$4:$AD$503,MATCH(P8,$AB$4:$AB$503,0),1),INDEX($AD$4:$AD$503,MATCH(P8,$AB$4:$AB$503,0),1)&amp;"-"&amp;INDEX($AD$4:$AD$503,MATCH(Q8,$AB$4:$AB$503,0),1))),"")</f>
        <v>31.5</v>
      </c>
      <c r="AG8" s="133" t="str">
        <f t="shared" si="9"/>
        <v>Found a job</v>
      </c>
      <c r="AH8" s="134" t="str">
        <f t="shared" si="10"/>
        <v>x</v>
      </c>
      <c r="AI8" s="135">
        <f t="shared" si="3"/>
        <v>5</v>
      </c>
      <c r="AJ8" s="135" t="str">
        <f t="shared" si="11"/>
        <v/>
      </c>
      <c r="AK8" s="126" t="str">
        <f t="shared" si="4"/>
        <v/>
      </c>
      <c r="AL8" s="126" t="str">
        <f ca="1">IFERROR(IF(AK8="","", MATCH(AK8,OFFSET(Icons!$B$5,1,AM8-3,20,1),0)+5),"")</f>
        <v/>
      </c>
      <c r="AM8" s="126" t="str">
        <f t="shared" si="12"/>
        <v/>
      </c>
      <c r="AN8" s="90"/>
      <c r="AO8" s="126" t="s">
        <v>144</v>
      </c>
      <c r="AP8" s="123">
        <v>11136221</v>
      </c>
      <c r="AQ8" s="123">
        <v>526344</v>
      </c>
      <c r="AR8" s="123">
        <v>12568205</v>
      </c>
      <c r="AS8" s="123">
        <v>526344</v>
      </c>
      <c r="AT8" s="123">
        <v>7193746</v>
      </c>
      <c r="AU8" s="123">
        <v>526344</v>
      </c>
      <c r="AW8" s="123">
        <v>3</v>
      </c>
      <c r="AX8" s="172" t="str">
        <f t="array" ref="AX8">IF(INDEX(iconsTable,ROW(AX8)-ROW($AX$3),1)="","",INDEX(iconsTable,ROW(AX8)-ROW($AX$3),1))</f>
        <v>bat</v>
      </c>
      <c r="AY8" s="123">
        <f t="shared" si="13"/>
        <v>30</v>
      </c>
      <c r="AZ8" s="137" t="str">
        <f t="shared" si="14"/>
        <v>bat</v>
      </c>
    </row>
    <row r="9" spans="2:52" ht="15" customHeight="1" x14ac:dyDescent="0.25">
      <c r="B9" s="138" t="s">
        <v>13</v>
      </c>
      <c r="C9" s="126">
        <f ca="1">IF(Dashboard!H6="Horizontal",ROUNDUP(MAX(MIN(T4:T253)*-0.5,MAX(T4:T253)*0.5,MAX(V4:V253)),0)*boxDistance+4+size/10,size/20+8)</f>
        <v>14</v>
      </c>
      <c r="E9" s="126">
        <v>6</v>
      </c>
      <c r="F9" s="126" t="str">
        <f>IF(INDEX(Dashboard!B$6:B$255,$E9,1)="","",INDEX(Dashboard!B$6:B$255,$E9,1))</f>
        <v>Work and travel</v>
      </c>
      <c r="G9" s="127">
        <f>IF(INDEX(Dashboard!C$6:C$255,$E9,1)="","",INDEX(Dashboard!C$6:C$255,$E9,1))</f>
        <v>40407</v>
      </c>
      <c r="H9" s="127">
        <f>IF(INDEX(Dashboard!D$6:D$255,$E9,1)="","",INDEX(Dashboard!D$6:D$255,$E9,1))</f>
        <v>42964</v>
      </c>
      <c r="I9" s="126" t="str">
        <f>IF(OR(INDEX(Dashboard!E$6:E$255,$E9,1)="", icons&lt;&gt;"Yes"),"",INDEX(Dashboard!E$6:E$255,$E9,1))</f>
        <v>attention</v>
      </c>
      <c r="K9" s="137">
        <f t="shared" si="5"/>
        <v>6</v>
      </c>
      <c r="L9" s="127">
        <f t="shared" si="0"/>
        <v>40407</v>
      </c>
      <c r="N9" s="128">
        <f t="shared" si="6"/>
        <v>2</v>
      </c>
      <c r="O9" s="126">
        <f t="array" ref="O9">IFERROR(SMALL(IF(($G$4:$G$253=P9),ROW($G$4:$G$253)-ROW($G$3),"" ),N9),"")</f>
        <v>6</v>
      </c>
      <c r="P9" s="127">
        <f t="array" ref="P9">IFERROR(SMALL($G$4:$G$253,E9),"")</f>
        <v>40407</v>
      </c>
      <c r="Q9" s="127">
        <f t="shared" si="7"/>
        <v>42964</v>
      </c>
      <c r="R9" s="126" t="str">
        <f t="shared" si="8"/>
        <v>attention</v>
      </c>
      <c r="S9" s="126" t="str">
        <f t="shared" si="1"/>
        <v>R</v>
      </c>
      <c r="T9" s="128" t="str">
        <f>IF(OR(S9="R",S9=""),"",COUNTIFS($P$4:P9,P9,$S$4:S9,"S")*U9)</f>
        <v/>
      </c>
      <c r="U9" s="128">
        <f>IF(ISNUMBER(N9),IF($C$11=TRUE,IF(OR(ISODD(COUNTIF($N$4:N9,1)),Y9="Yes"),1,-1),1),"")</f>
        <v>1</v>
      </c>
      <c r="V9" s="128">
        <f ca="1">IFERROR(IF(AND(S9="R",W9&lt;&gt;""),1,IF(S9="R",MAX(OFFSET(V8,0,0,-1*(ROW(W9)-3-MATCH(MAX($W$4:W8),$W$4:W8,0)),1))+1,"")),"")</f>
        <v>1</v>
      </c>
      <c r="W9" s="129">
        <f>IFERROR(IF(AND(S9="R", P9&gt;MAX($X$3:X8)),P9,""),"")</f>
        <v>40407</v>
      </c>
      <c r="X9" s="129">
        <f>IFERROR(IF(AND(W9="",Q9&gt;=MAX($X$3:X8)),IF(S9="R",Q9,IF(AND(W9="",P9&lt;=MAX($X$3:X8)),MAX($X$3:X8),"")),IF(W9&lt;&gt;"", Q9,"")),"")</f>
        <v>42964</v>
      </c>
      <c r="Y9" s="126" t="str">
        <f>IF(S9="S",IF(OR(P9&lt;=MAX($X$3:X8),P9&gt;=IF(MIN(W10:$W$53)&lt;1,99999999,MIN(W10:$W$53))),"Yes","No"),"")</f>
        <v/>
      </c>
      <c r="AA9" s="130">
        <f t="shared" si="2"/>
        <v>6</v>
      </c>
      <c r="AB9" s="131">
        <f t="array" ref="AB9">IF(AA9&lt;=$AA$2,MIN(IF($L$4:$L$503&lt;=AB8,99999999999,$L$4:$L$503)),"")</f>
        <v>42840</v>
      </c>
      <c r="AC9" s="130">
        <f ca="1">IF(ISNUMBER(AA9),IF(Dashboard!$H$6&lt;&gt;"Horizontal",AC8+dateDistance,AC8),"")</f>
        <v>14</v>
      </c>
      <c r="AD9" s="130">
        <f>IF(ISNUMBER(AA9),IF(Dashboard!$H$6="Horizontal",AD8+dateDistance,AD8),"")</f>
        <v>37.5</v>
      </c>
      <c r="AE9" s="132">
        <f ca="1">IF(ISNUMBER(P9), IF(Dashboard!$H$6="Horizontal",IF(S9="S",INDEX($AC$4:$AC$503,MATCH(P9,$AB$4:$AB$503,0),1)+boxDistance*(T9+IF(Y9="No",IF(ISODD(T9),IF(T9&gt;0,1,-1),0),0))*IF(Y9="No",IF(ISODD(T9),0.5,-0.5),1),timelineStartRow - boxDistance * IF(AND(ISNUMBER(V9),V9&gt;1),V9*0.85,1) ),IF( S9="S",INDEX($AC$4:$AC$503,MATCH(P9,$AB$4:$AB$503,0),1),INDEX($AC$4:$AC$503,MATCH(P9,$AB$4:$AB$503,0),1)&amp;"-"&amp;INDEX($AC$4:$AC$503,MATCH(Q9,$AB$4:$AB$503,0),1))),"")</f>
        <v>8</v>
      </c>
      <c r="AF9" s="132" t="str">
        <f>IF(ISNUMBER(P9), IF(Dashboard!$H$6&lt;&gt;"Horizontal",IF(S9="S",INDEX($AD$4:$AD$503,MATCH(P9,$AB$4:$AB$503,0),1)+boxDistance*(T9+IF(Y9="No",IF(ISODD(T9),IF(T9&gt;0,1,-1),0),0))*IF(Y9="No",IF(ISODD(T9),0.5,-0.5),1),timelineStartColumn-boxDistance * IF(AND(ISNUMBER(V9),V9&gt;1),V9*0.85,1)   ),IF( S9="S",INDEX($AD$4:$AD$503,MATCH(P9,$AB$4:$AB$503,0),1),INDEX($AD$4:$AD$503,MATCH(P9,$AB$4:$AB$503,0),1)&amp;"-"&amp;INDEX($AD$4:$AD$503,MATCH(Q9,$AB$4:$AB$503,0),1))),"")</f>
        <v>31,5-43,5</v>
      </c>
      <c r="AG9" s="133" t="str">
        <f t="shared" si="9"/>
        <v>Work and travel</v>
      </c>
      <c r="AH9" s="134" t="str">
        <f t="shared" si="10"/>
        <v/>
      </c>
      <c r="AI9" s="135">
        <f t="shared" si="3"/>
        <v>5</v>
      </c>
      <c r="AJ9" s="135">
        <f t="shared" si="11"/>
        <v>7</v>
      </c>
      <c r="AK9" s="126" t="str">
        <f t="shared" si="4"/>
        <v>attention</v>
      </c>
      <c r="AL9" s="126">
        <f ca="1">IFERROR(IF(AK9="","", MATCH(AK9,OFFSET(Icons!$B$5,1,AM9-3,20,1),0)+5),"")</f>
        <v>8</v>
      </c>
      <c r="AM9" s="126">
        <f t="shared" si="12"/>
        <v>3</v>
      </c>
      <c r="AN9" s="90"/>
      <c r="AO9" s="126" t="s">
        <v>140</v>
      </c>
      <c r="AP9" s="123">
        <v>5390423</v>
      </c>
      <c r="AQ9" s="123">
        <v>16777215</v>
      </c>
      <c r="AR9" s="123">
        <v>6667516</v>
      </c>
      <c r="AS9" s="123">
        <v>526344</v>
      </c>
      <c r="AT9" s="123">
        <v>12568205</v>
      </c>
      <c r="AU9" s="123">
        <v>526344</v>
      </c>
      <c r="AW9" s="123">
        <v>3</v>
      </c>
      <c r="AX9" s="172" t="str">
        <f t="array" ref="AX9">IF(INDEX(iconsTable,ROW(AX9)-ROW($AX$3),1)="","",INDEX(iconsTable,ROW(AX9)-ROW($AX$3),1))</f>
        <v>bday_cake</v>
      </c>
      <c r="AY9" s="123">
        <f t="shared" si="13"/>
        <v>31</v>
      </c>
      <c r="AZ9" s="137" t="str">
        <f t="shared" si="14"/>
        <v>bday_cake</v>
      </c>
    </row>
    <row r="10" spans="2:52" ht="15" customHeight="1" x14ac:dyDescent="0.25">
      <c r="B10" s="138" t="s">
        <v>14</v>
      </c>
      <c r="C10" s="126">
        <f>IF(Dashboard!H6="Horizontal",sizeW/20+4,IF(ROUNDUP(MAX(MIN(T4:T253)*-0.5,MAX(T4:T253)*0.5,MAX(V4:V253)),0)*boxDistance+10&gt;30,ROUNDUP(MAX(MIN(T4:T253)*-0.5,MAX(T4:T253)*0.5,MAX(V4:V253)),0)*boxDistance+10,25))</f>
        <v>7.5</v>
      </c>
      <c r="D10" s="139"/>
      <c r="E10" s="126">
        <v>7</v>
      </c>
      <c r="F10" s="126" t="str">
        <f>IF(INDEX(Dashboard!B$6:B$255,$E10,1)="","",INDEX(Dashboard!B$6:B$255,$E10,1))</f>
        <v>Change job</v>
      </c>
      <c r="G10" s="127">
        <f>IF(INDEX(Dashboard!C$6:C$255,$E10,1)="","",INDEX(Dashboard!C$6:C$255,$E10,1))</f>
        <v>42840</v>
      </c>
      <c r="H10" s="127" t="str">
        <f>IF(INDEX(Dashboard!D$6:D$255,$E10,1)="","",INDEX(Dashboard!D$6:D$255,$E10,1))</f>
        <v/>
      </c>
      <c r="I10" s="126" t="str">
        <f>IF(OR(INDEX(Dashboard!E$6:E$255,$E10,1)="", icons&lt;&gt;"Yes"),"",INDEX(Dashboard!E$6:E$255,$E10,1))</f>
        <v/>
      </c>
      <c r="K10" s="137">
        <f t="shared" si="5"/>
        <v>7</v>
      </c>
      <c r="L10" s="127">
        <f t="shared" si="0"/>
        <v>42840</v>
      </c>
      <c r="N10" s="128">
        <f t="shared" si="6"/>
        <v>1</v>
      </c>
      <c r="O10" s="126">
        <f t="array" ref="O10">IFERROR(SMALL(IF(($G$4:$G$253=P10),ROW($G$4:$G$253)-ROW($G$3),"" ),N10),"")</f>
        <v>7</v>
      </c>
      <c r="P10" s="127">
        <f t="array" ref="P10">IFERROR(SMALL($G$4:$G$253,E10),"")</f>
        <v>42840</v>
      </c>
      <c r="Q10" s="127" t="str">
        <f t="shared" si="7"/>
        <v/>
      </c>
      <c r="R10" s="126" t="str">
        <f t="shared" si="8"/>
        <v/>
      </c>
      <c r="S10" s="126" t="str">
        <f t="shared" si="1"/>
        <v>S</v>
      </c>
      <c r="T10" s="128">
        <f>IF(OR(S10="R",S10=""),"",COUNTIFS($P$4:P10,P10,$S$4:S10,"S")*U10)</f>
        <v>1</v>
      </c>
      <c r="U10" s="128">
        <f>IF(ISNUMBER(N10),IF($C$11=TRUE,IF(OR(ISODD(COUNTIF($N$4:N10,1)),Y10="Yes"),1,-1),1),"")</f>
        <v>1</v>
      </c>
      <c r="V10" s="128" t="str">
        <f ca="1">IFERROR(IF(AND(S10="R",W10&lt;&gt;""),1,IF(S10="R",MAX(OFFSET(V9,0,0,-1*(ROW(W10)-3-MATCH(MAX($W$4:W9),$W$4:W9,0)),1))+1,"")),"")</f>
        <v/>
      </c>
      <c r="W10" s="129" t="str">
        <f>IFERROR(IF(AND(S10="R", P10&gt;MAX($X$3:X9)),P10,""),"")</f>
        <v/>
      </c>
      <c r="X10" s="129">
        <f>IFERROR(IF(AND(W10="",Q10&gt;=MAX($X$3:X9)),IF(S10="R",Q10,IF(AND(W10="",P10&lt;=MAX($X$3:X9)),MAX($X$3:X9),"")),IF(W10&lt;&gt;"", Q10,"")),"")</f>
        <v>42964</v>
      </c>
      <c r="Y10" s="126" t="str">
        <f>IF(S10="S",IF(OR(P10&lt;=MAX($X$3:X9),P10&gt;=IF(MIN(W11:$W$53)&lt;1,99999999,MIN(W11:$W$53))),"Yes","No"),"")</f>
        <v>Yes</v>
      </c>
      <c r="AA10" s="130">
        <f t="shared" si="2"/>
        <v>7</v>
      </c>
      <c r="AB10" s="131">
        <f t="array" ref="AB10">IF(AA10&lt;=$AA$2,MIN(IF($L$4:$L$503&lt;=AB9,99999999999,$L$4:$L$503)),"")</f>
        <v>42964</v>
      </c>
      <c r="AC10" s="130">
        <f ca="1">IF(ISNUMBER(AA10),IF(Dashboard!$H$6&lt;&gt;"Horizontal",AC9+dateDistance,AC9),"")</f>
        <v>14</v>
      </c>
      <c r="AD10" s="130">
        <f>IF(ISNUMBER(AA10),IF(Dashboard!$H$6="Horizontal",AD9+dateDistance,AD9),"")</f>
        <v>43.5</v>
      </c>
      <c r="AE10" s="132">
        <f ca="1">IF(ISNUMBER(P10), IF(Dashboard!$H$6="Horizontal",IF(S10="S",INDEX($AC$4:$AC$503,MATCH(P10,$AB$4:$AB$503,0),1)+boxDistance*(T10+IF(Y10="No",IF(ISODD(T10),IF(T10&gt;0,1,-1),0),0))*IF(Y10="No",IF(ISODD(T10),0.5,-0.5),1),timelineStartRow - boxDistance * IF(AND(ISNUMBER(V10),V10&gt;1),V10*0.85,1) ),IF( S10="S",INDEX($AC$4:$AC$503,MATCH(P10,$AB$4:$AB$503,0),1),INDEX($AC$4:$AC$503,MATCH(P10,$AB$4:$AB$503,0),1)&amp;"-"&amp;INDEX($AC$4:$AC$503,MATCH(Q10,$AB$4:$AB$503,0),1))),"")</f>
        <v>20</v>
      </c>
      <c r="AF10" s="132">
        <f>IF(ISNUMBER(P10), IF(Dashboard!$H$6&lt;&gt;"Horizontal",IF(S10="S",INDEX($AD$4:$AD$503,MATCH(P10,$AB$4:$AB$503,0),1)+boxDistance*(T10+IF(Y10="No",IF(ISODD(T10),IF(T10&gt;0,1,-1),0),0))*IF(Y10="No",IF(ISODD(T10),0.5,-0.5),1),timelineStartColumn-boxDistance * IF(AND(ISNUMBER(V10),V10&gt;1),V10*0.85,1)   ),IF( S10="S",INDEX($AD$4:$AD$503,MATCH(P10,$AB$4:$AB$503,0),1),INDEX($AD$4:$AD$503,MATCH(P10,$AB$4:$AB$503,0),1)&amp;"-"&amp;INDEX($AD$4:$AD$503,MATCH(Q10,$AB$4:$AB$503,0),1))),"")</f>
        <v>37.5</v>
      </c>
      <c r="AG10" s="133" t="str">
        <f t="shared" si="9"/>
        <v>Change job</v>
      </c>
      <c r="AH10" s="134" t="str">
        <f t="shared" si="10"/>
        <v>x</v>
      </c>
      <c r="AI10" s="135">
        <f t="shared" si="3"/>
        <v>6</v>
      </c>
      <c r="AJ10" s="135" t="str">
        <f t="shared" si="11"/>
        <v/>
      </c>
      <c r="AK10" s="126" t="str">
        <f t="shared" si="4"/>
        <v/>
      </c>
      <c r="AL10" s="126" t="str">
        <f ca="1">IFERROR(IF(AK10="","", MATCH(AK10,OFFSET(Icons!$B$5,1,AM10-3,20,1),0)+5),"")</f>
        <v/>
      </c>
      <c r="AM10" s="126" t="str">
        <f t="shared" si="12"/>
        <v/>
      </c>
      <c r="AN10" s="90"/>
      <c r="AO10" s="126" t="s">
        <v>141</v>
      </c>
      <c r="AP10" s="123">
        <v>10053120</v>
      </c>
      <c r="AQ10" s="123">
        <v>16777215</v>
      </c>
      <c r="AR10" s="123">
        <v>11179840</v>
      </c>
      <c r="AS10" s="123">
        <v>16777215</v>
      </c>
      <c r="AT10" s="123">
        <v>5849391</v>
      </c>
      <c r="AU10" s="123">
        <v>16777215</v>
      </c>
      <c r="AW10" s="123">
        <v>3</v>
      </c>
      <c r="AX10" s="172" t="str">
        <f t="array" ref="AX10">IF(INDEX(iconsTable,ROW(AX10)-ROW($AX$3),1)="","",INDEX(iconsTable,ROW(AX10)-ROW($AX$3),1))</f>
        <v>bear</v>
      </c>
      <c r="AY10" s="123">
        <f t="shared" si="13"/>
        <v>32</v>
      </c>
      <c r="AZ10" s="137" t="str">
        <f t="shared" si="14"/>
        <v>bear</v>
      </c>
    </row>
    <row r="11" spans="2:52" ht="15" customHeight="1" x14ac:dyDescent="0.25">
      <c r="B11" s="138" t="s">
        <v>24</v>
      </c>
      <c r="C11" s="126" t="b">
        <v>1</v>
      </c>
      <c r="D11" s="139"/>
      <c r="E11" s="126">
        <v>8</v>
      </c>
      <c r="F11" s="126" t="str">
        <f>IF(INDEX(Dashboard!B$6:B$255,$E11,1)="","",INDEX(Dashboard!B$6:B$255,$E11,1))</f>
        <v/>
      </c>
      <c r="G11" s="127" t="str">
        <f>IF(INDEX(Dashboard!C$6:C$255,$E11,1)="","",INDEX(Dashboard!C$6:C$255,$E11,1))</f>
        <v/>
      </c>
      <c r="H11" s="127" t="str">
        <f>IF(INDEX(Dashboard!D$6:D$255,$E11,1)="","",INDEX(Dashboard!D$6:D$255,$E11,1))</f>
        <v/>
      </c>
      <c r="I11" s="126" t="str">
        <f>IF(OR(INDEX(Dashboard!E$6:E$255,$E11,1)="", icons&lt;&gt;"Yes"),"",INDEX(Dashboard!E$6:E$255,$E11,1))</f>
        <v/>
      </c>
      <c r="K11" s="137">
        <f t="shared" si="5"/>
        <v>8</v>
      </c>
      <c r="L11" s="127">
        <f t="shared" si="0"/>
        <v>42964</v>
      </c>
      <c r="N11" s="128" t="str">
        <f t="shared" si="6"/>
        <v/>
      </c>
      <c r="O11" s="126" t="str">
        <f t="array" ref="O11">IFERROR(SMALL(IF(($G$4:$G$253=P11),ROW($G$4:$G$253)-ROW($G$3),"" ),N11),"")</f>
        <v/>
      </c>
      <c r="P11" s="127" t="str">
        <f t="array" ref="P11">IFERROR(SMALL($G$4:$G$253,E11),"")</f>
        <v/>
      </c>
      <c r="Q11" s="127" t="str">
        <f t="shared" si="7"/>
        <v/>
      </c>
      <c r="R11" s="126" t="str">
        <f t="shared" si="8"/>
        <v/>
      </c>
      <c r="S11" s="126" t="str">
        <f t="shared" si="1"/>
        <v/>
      </c>
      <c r="T11" s="128" t="str">
        <f>IF(OR(S11="R",S11=""),"",COUNTIFS($P$4:P11,P11,$S$4:S11,"S")*U11)</f>
        <v/>
      </c>
      <c r="U11" s="128" t="str">
        <f>IF(ISNUMBER(N11),IF($C$11=TRUE,IF(OR(ISODD(COUNTIF($N$4:N11,1)),Y11="Yes"),1,-1),1),"")</f>
        <v/>
      </c>
      <c r="V11" s="128" t="str">
        <f ca="1">IFERROR(IF(AND(S11="R",W11&lt;&gt;""),1,IF(S11="R",MAX(OFFSET(V10,0,0,-1*(ROW(W11)-3-MATCH(MAX($W$4:W10),$W$4:W10,0)),1))+1,"")),"")</f>
        <v/>
      </c>
      <c r="W11" s="129" t="str">
        <f>IFERROR(IF(AND(S11="R", P11&gt;MAX($X$3:X10)),P11,""),"")</f>
        <v/>
      </c>
      <c r="X11" s="129" t="str">
        <f>IFERROR(IF(AND(W11="",Q11&gt;=MAX($X$3:X10)),IF(S11="R",Q11,IF(AND(W11="",P11&lt;=MAX($X$3:X10)),MAX($X$3:X10),"")),IF(W11&lt;&gt;"", Q11,"")),"")</f>
        <v/>
      </c>
      <c r="Y11" s="126" t="str">
        <f>IF(S11="S",IF(OR(P11&lt;=MAX($X$3:X10),P11&gt;=IF(MIN(W12:$W$53)&lt;1,99999999,MIN(W12:$W$53))),"Yes","No"),"")</f>
        <v/>
      </c>
      <c r="AA11" s="130" t="str">
        <f t="shared" si="2"/>
        <v/>
      </c>
      <c r="AB11" s="131" t="str">
        <f t="array" ref="AB11">IF(AA11&lt;=$AA$2,MIN(IF($L$4:$L$503&lt;=AB10,99999999999,$L$4:$L$503)),"")</f>
        <v/>
      </c>
      <c r="AC11" s="130" t="str">
        <f>IF(ISNUMBER(AA11),IF(Dashboard!$H$6&lt;&gt;"Horizontal",AC10+dateDistance,AC10),"")</f>
        <v/>
      </c>
      <c r="AD11" s="130" t="str">
        <f>IF(ISNUMBER(AA11),IF(Dashboard!$H$6="Horizontal",AD10+dateDistance,AD10),"")</f>
        <v/>
      </c>
      <c r="AE11" s="132" t="str">
        <f>IF(ISNUMBER(P11), IF(Dashboard!$H$6="Horizontal",IF(S11="S",INDEX($AC$4:$AC$503,MATCH(P11,$AB$4:$AB$503,0),1)+boxDistance*(T11+IF(Y11="No",IF(ISODD(T11),IF(T11&gt;0,1,-1),0),0))*IF(Y11="No",IF(ISODD(T11),0.5,-0.5),1),timelineStartRow - boxDistance * IF(AND(ISNUMBER(V11),V11&gt;1),V11*0.85,1) ),IF( S11="S",INDEX($AC$4:$AC$503,MATCH(P11,$AB$4:$AB$503,0),1),INDEX($AC$4:$AC$503,MATCH(P11,$AB$4:$AB$503,0),1)&amp;"-"&amp;INDEX($AC$4:$AC$503,MATCH(Q11,$AB$4:$AB$503,0),1))),"")</f>
        <v/>
      </c>
      <c r="AF11" s="132" t="str">
        <f>IF(ISNUMBER(P11), IF(Dashboard!$H$6&lt;&gt;"Horizontal",IF(S11="S",INDEX($AD$4:$AD$503,MATCH(P11,$AB$4:$AB$503,0),1)+boxDistance*(T11+IF(Y11="No",IF(ISODD(T11),IF(T11&gt;0,1,-1),0),0))*IF(Y11="No",IF(ISODD(T11),0.5,-0.5),1),timelineStartColumn-boxDistance * IF(AND(ISNUMBER(V11),V11&gt;1),V11*0.85,1)   ),IF( S11="S",INDEX($AD$4:$AD$503,MATCH(P11,$AB$4:$AB$503,0),1),INDEX($AD$4:$AD$503,MATCH(P11,$AB$4:$AB$503,0),1)&amp;"-"&amp;INDEX($AD$4:$AD$503,MATCH(Q11,$AB$4:$AB$503,0),1))),"")</f>
        <v/>
      </c>
      <c r="AG11" s="133" t="str">
        <f t="shared" si="9"/>
        <v/>
      </c>
      <c r="AH11" s="134" t="str">
        <f t="shared" si="10"/>
        <v/>
      </c>
      <c r="AI11" s="135" t="str">
        <f t="shared" si="3"/>
        <v/>
      </c>
      <c r="AJ11" s="135" t="str">
        <f t="shared" si="11"/>
        <v/>
      </c>
      <c r="AK11" s="126" t="str">
        <f t="shared" si="4"/>
        <v/>
      </c>
      <c r="AL11" s="126" t="str">
        <f ca="1">IFERROR(IF(AK11="","", MATCH(AK11,OFFSET(Icons!$B$5,1,AM11-3,20,1),0)+5),"")</f>
        <v/>
      </c>
      <c r="AM11" s="126" t="str">
        <f t="shared" si="12"/>
        <v/>
      </c>
      <c r="AN11" s="90"/>
      <c r="AO11" s="126" t="s">
        <v>143</v>
      </c>
      <c r="AP11" s="123">
        <v>10066176</v>
      </c>
      <c r="AQ11" s="123">
        <v>16777215</v>
      </c>
      <c r="AR11" s="123">
        <v>7557665</v>
      </c>
      <c r="AS11" s="123">
        <v>16777215</v>
      </c>
      <c r="AT11" s="123">
        <v>6723891</v>
      </c>
      <c r="AU11" s="123">
        <v>16777215</v>
      </c>
      <c r="AW11" s="123">
        <v>3</v>
      </c>
      <c r="AX11" s="172" t="str">
        <f t="array" ref="AX11">IF(INDEX(iconsTable,ROW(AX11)-ROW($AX$3),1)="","",INDEX(iconsTable,ROW(AX11)-ROW($AX$3),1))</f>
        <v>bitcoin</v>
      </c>
      <c r="AY11" s="123">
        <f t="shared" si="13"/>
        <v>33</v>
      </c>
      <c r="AZ11" s="137" t="str">
        <f t="shared" si="14"/>
        <v>bitcoin</v>
      </c>
    </row>
    <row r="12" spans="2:52" ht="15" customHeight="1" x14ac:dyDescent="0.25">
      <c r="B12" s="138" t="s">
        <v>31</v>
      </c>
      <c r="C12" s="126">
        <f>IF(LEN(Dashboard!H12)=0,60,Dashboard!H12*10)</f>
        <v>60</v>
      </c>
      <c r="D12" s="99"/>
      <c r="E12" s="126">
        <v>9</v>
      </c>
      <c r="F12" s="126"/>
      <c r="G12" s="127"/>
      <c r="H12" s="127"/>
      <c r="I12" s="126"/>
      <c r="K12" s="137" t="str">
        <f t="shared" si="5"/>
        <v/>
      </c>
      <c r="L12" s="127" t="str">
        <f t="shared" si="0"/>
        <v/>
      </c>
      <c r="N12" s="128" t="str">
        <f t="shared" si="6"/>
        <v/>
      </c>
      <c r="O12" s="126" t="str">
        <f t="array" ref="O12">IFERROR(SMALL(IF(($G$4:$G$253=P12),ROW($G$4:$G$253)-ROW($G$3),"" ),N12),"")</f>
        <v/>
      </c>
      <c r="P12" s="127" t="str">
        <f t="array" ref="P12">IFERROR(SMALL($G$4:$G$253,E12),"")</f>
        <v/>
      </c>
      <c r="Q12" s="127" t="str">
        <f t="shared" si="7"/>
        <v/>
      </c>
      <c r="R12" s="126" t="str">
        <f t="shared" si="8"/>
        <v/>
      </c>
      <c r="S12" s="126" t="str">
        <f t="shared" si="1"/>
        <v/>
      </c>
      <c r="T12" s="128" t="str">
        <f>IF(OR(S12="R",S12=""),"",COUNTIFS($P$4:P12,P12,$S$4:S12,"S")*U12)</f>
        <v/>
      </c>
      <c r="U12" s="128" t="str">
        <f>IF(ISNUMBER(N12),IF($C$11=TRUE,IF(OR(ISODD(COUNTIF($N$4:N12,1)),Y12="Yes"),1,-1),1),"")</f>
        <v/>
      </c>
      <c r="V12" s="128" t="str">
        <f ca="1">IFERROR(IF(AND(S12="R",W12&lt;&gt;""),1,IF(S12="R",MAX(OFFSET(V11,0,0,-1*(ROW(W12)-3-MATCH(MAX($W$4:W11),$W$4:W11,0)),1))+1,"")),"")</f>
        <v/>
      </c>
      <c r="W12" s="129" t="str">
        <f>IFERROR(IF(AND(S12="R", P12&gt;MAX($X$3:X11)),P12,""),"")</f>
        <v/>
      </c>
      <c r="X12" s="129" t="str">
        <f>IFERROR(IF(AND(W12="",Q12&gt;=MAX($X$3:X11)),IF(S12="R",Q12,IF(AND(W12="",P12&lt;=MAX($X$3:X11)),MAX($X$3:X11),"")),IF(W12&lt;&gt;"", Q12,"")),"")</f>
        <v/>
      </c>
      <c r="Y12" s="126" t="str">
        <f>IF(S12="S",IF(OR(P12&lt;=MAX($X$3:X11),P12&gt;=IF(MIN(W13:$W$53)&lt;1,99999999,MIN(W13:$W$53))),"Yes","No"),"")</f>
        <v/>
      </c>
      <c r="AA12" s="130" t="str">
        <f t="shared" si="2"/>
        <v/>
      </c>
      <c r="AB12" s="131" t="str">
        <f t="array" ref="AB12">IF(AA12&lt;=$AA$2,MIN(IF($L$4:$L$503&lt;=AB11,99999999999,$L$4:$L$503)),"")</f>
        <v/>
      </c>
      <c r="AC12" s="130" t="str">
        <f>IF(ISNUMBER(AA12),IF(Dashboard!$H$6&lt;&gt;"Horizontal",AC11+dateDistance,AC11),"")</f>
        <v/>
      </c>
      <c r="AD12" s="130" t="str">
        <f>IF(ISNUMBER(AA12),IF(Dashboard!$H$6="Horizontal",AD11+dateDistance,AD11),"")</f>
        <v/>
      </c>
      <c r="AE12" s="132" t="str">
        <f>IF(ISNUMBER(P12), IF(Dashboard!$H$6="Horizontal",IF(S12="S",INDEX($AC$4:$AC$503,MATCH(P12,$AB$4:$AB$503,0),1)+boxDistance*(T12+IF(Y12="No",IF(ISODD(T12),IF(T12&gt;0,1,-1),0),0))*IF(Y12="No",IF(ISODD(T12),0.5,-0.5),1),timelineStartRow - boxDistance * IF(AND(ISNUMBER(V12),V12&gt;1),V12*0.85,1) ),IF( S12="S",INDEX($AC$4:$AC$503,MATCH(P12,$AB$4:$AB$503,0),1),INDEX($AC$4:$AC$503,MATCH(P12,$AB$4:$AB$503,0),1)&amp;"-"&amp;INDEX($AC$4:$AC$503,MATCH(Q12,$AB$4:$AB$503,0),1))),"")</f>
        <v/>
      </c>
      <c r="AF12" s="132" t="str">
        <f>IF(ISNUMBER(P12), IF(Dashboard!$H$6&lt;&gt;"Horizontal",IF(S12="S",INDEX($AD$4:$AD$503,MATCH(P12,$AB$4:$AB$503,0),1)+boxDistance*(T12+IF(Y12="No",IF(ISODD(T12),IF(T12&gt;0,1,-1),0),0))*IF(Y12="No",IF(ISODD(T12),0.5,-0.5),1),timelineStartColumn-boxDistance * IF(AND(ISNUMBER(V12),V12&gt;1),V12*0.85,1)   ),IF( S12="S",INDEX($AD$4:$AD$503,MATCH(P12,$AB$4:$AB$503,0),1),INDEX($AD$4:$AD$503,MATCH(P12,$AB$4:$AB$503,0),1)&amp;"-"&amp;INDEX($AD$4:$AD$503,MATCH(Q12,$AB$4:$AB$503,0),1))),"")</f>
        <v/>
      </c>
      <c r="AG12" s="133" t="str">
        <f t="shared" si="9"/>
        <v/>
      </c>
      <c r="AH12" s="134" t="str">
        <f t="shared" si="10"/>
        <v/>
      </c>
      <c r="AI12" s="135" t="str">
        <f t="shared" si="3"/>
        <v/>
      </c>
      <c r="AJ12" s="135" t="str">
        <f t="shared" si="11"/>
        <v/>
      </c>
      <c r="AK12" s="126" t="str">
        <f t="shared" si="4"/>
        <v/>
      </c>
      <c r="AL12" s="126" t="str">
        <f ca="1">IFERROR(IF(AK12="","", MATCH(AK12,OFFSET(Icons!$B$5,1,AM12-3,20,1),0)+5),"")</f>
        <v/>
      </c>
      <c r="AM12" s="126" t="str">
        <f t="shared" si="12"/>
        <v/>
      </c>
      <c r="AN12" s="90"/>
      <c r="AO12" s="126" t="s">
        <v>145</v>
      </c>
      <c r="AP12" s="123">
        <v>10066431</v>
      </c>
      <c r="AQ12" s="123">
        <v>526344</v>
      </c>
      <c r="AR12" s="123">
        <v>5198160</v>
      </c>
      <c r="AS12" s="123">
        <v>16777215</v>
      </c>
      <c r="AT12" s="123">
        <v>6742271</v>
      </c>
      <c r="AU12" s="123">
        <v>526344</v>
      </c>
      <c r="AW12" s="123">
        <v>3</v>
      </c>
      <c r="AX12" s="172" t="str">
        <f t="array" ref="AX12">IF(INDEX(iconsTable,ROW(AX12)-ROW($AX$3),1)="","",INDEX(iconsTable,ROW(AX12)-ROW($AX$3),1))</f>
        <v>broken_hand</v>
      </c>
      <c r="AY12" s="123">
        <f t="shared" si="13"/>
        <v>34</v>
      </c>
      <c r="AZ12" s="137" t="str">
        <f t="shared" si="14"/>
        <v>broken_hand</v>
      </c>
    </row>
    <row r="13" spans="2:52" ht="15" customHeight="1" x14ac:dyDescent="0.25">
      <c r="B13" s="138" t="s">
        <v>129</v>
      </c>
      <c r="C13" s="126">
        <f>IF(Dashboard!H13="",11,Dashboard!H13)</f>
        <v>11</v>
      </c>
      <c r="D13" s="139"/>
      <c r="E13" s="126">
        <v>10</v>
      </c>
      <c r="F13" s="126"/>
      <c r="G13" s="127"/>
      <c r="H13" s="127"/>
      <c r="I13" s="126"/>
      <c r="K13" s="137" t="str">
        <f t="shared" si="5"/>
        <v/>
      </c>
      <c r="L13" s="127" t="str">
        <f t="shared" si="0"/>
        <v/>
      </c>
      <c r="N13" s="128" t="str">
        <f t="shared" si="6"/>
        <v/>
      </c>
      <c r="O13" s="126" t="str">
        <f t="array" ref="O13">IFERROR(SMALL(IF(($G$4:$G$253=P13),ROW($G$4:$G$253)-ROW($G$3),"" ),N13),"")</f>
        <v/>
      </c>
      <c r="P13" s="127" t="str">
        <f t="array" ref="P13">IFERROR(SMALL($G$4:$G$253,E13),"")</f>
        <v/>
      </c>
      <c r="Q13" s="127" t="str">
        <f t="shared" si="7"/>
        <v/>
      </c>
      <c r="R13" s="126" t="str">
        <f t="shared" si="8"/>
        <v/>
      </c>
      <c r="S13" s="126" t="str">
        <f t="shared" si="1"/>
        <v/>
      </c>
      <c r="T13" s="128" t="str">
        <f>IF(OR(S13="R",S13=""),"",COUNTIFS($P$4:P13,P13,$S$4:S13,"S")*U13)</f>
        <v/>
      </c>
      <c r="U13" s="128" t="str">
        <f>IF(ISNUMBER(N13),IF($C$11=TRUE,IF(OR(ISODD(COUNTIF($N$4:N13,1)),Y13="Yes"),1,-1),1),"")</f>
        <v/>
      </c>
      <c r="V13" s="128" t="str">
        <f ca="1">IFERROR(IF(AND(S13="R",W13&lt;&gt;""),1,IF(S13="R",MAX(OFFSET(V12,0,0,-1*(ROW(W13)-3-MATCH(MAX($W$4:W12),$W$4:W12,0)),1))+1,"")),"")</f>
        <v/>
      </c>
      <c r="W13" s="129" t="str">
        <f>IFERROR(IF(AND(S13="R", P13&gt;MAX($X$3:X12)),P13,""),"")</f>
        <v/>
      </c>
      <c r="X13" s="129" t="str">
        <f>IFERROR(IF(AND(W13="",Q13&gt;=MAX($X$3:X12)),IF(S13="R",Q13,IF(AND(W13="",P13&lt;=MAX($X$3:X12)),MAX($X$3:X12),"")),IF(W13&lt;&gt;"", Q13,"")),"")</f>
        <v/>
      </c>
      <c r="Y13" s="126" t="str">
        <f>IF(S13="S",IF(OR(P13&lt;=MAX($X$3:X12),P13&gt;=IF(MIN(W14:$W$53)&lt;1,99999999,MIN(W14:$W$53))),"Yes","No"),"")</f>
        <v/>
      </c>
      <c r="AA13" s="130" t="str">
        <f t="shared" si="2"/>
        <v/>
      </c>
      <c r="AB13" s="131" t="str">
        <f t="array" ref="AB13">IF(AA13&lt;=$AA$2,MIN(IF($L$4:$L$503&lt;=AB12,99999999999,$L$4:$L$503)),"")</f>
        <v/>
      </c>
      <c r="AC13" s="130" t="str">
        <f>IF(ISNUMBER(AA13),IF(Dashboard!$H$6&lt;&gt;"Horizontal",AC12+dateDistance,AC12),"")</f>
        <v/>
      </c>
      <c r="AD13" s="130" t="str">
        <f>IF(ISNUMBER(AA13),IF(Dashboard!$H$6="Horizontal",AD12+dateDistance,AD12),"")</f>
        <v/>
      </c>
      <c r="AE13" s="132" t="str">
        <f>IF(ISNUMBER(P13), IF(Dashboard!$H$6="Horizontal",IF(S13="S",INDEX($AC$4:$AC$503,MATCH(P13,$AB$4:$AB$503,0),1)+boxDistance*(T13+IF(Y13="No",IF(ISODD(T13),IF(T13&gt;0,1,-1),0),0))*IF(Y13="No",IF(ISODD(T13),0.5,-0.5),1),timelineStartRow - boxDistance * V13),IF( S13="S",INDEX($AC$4:$AC$503,MATCH(P13,$AB$4:$AB$503,0),1),INDEX($AC$4:$AC$503,MATCH(P13,$AB$4:$AB$503,0),1)&amp;"-"&amp;INDEX($AC$4:$AC$503,MATCH(Q13,$AB$4:$AB$503,0),1))),"")</f>
        <v/>
      </c>
      <c r="AF13" s="132" t="str">
        <f>IF(ISNUMBER(P13), IF(Dashboard!$H$6&lt;&gt;"Horizontal",IF(S13="S",INDEX($AD$4:$AD$503,MATCH(P13,$AB$4:$AB$503,0),1)+boxDistance*(T13+IF(Y13="No",IF(ISODD(T13),IF(T13&gt;0,1,-1),0),0))*IF(Y13="No",IF(ISODD(T13),0.5,-0.5),1),timelineStartColumn-boxDistance * IF(AND(ISNUMBER(V13),V13&gt;1),V13*0.85,1)   ),IF( S13="S",INDEX($AD$4:$AD$503,MATCH(P13,$AB$4:$AB$503,0),1),INDEX($AD$4:$AD$503,MATCH(P13,$AB$4:$AB$503,0),1)&amp;"-"&amp;INDEX($AD$4:$AD$503,MATCH(Q13,$AB$4:$AB$503,0),1))),"")</f>
        <v/>
      </c>
      <c r="AG13" s="133" t="str">
        <f t="shared" si="9"/>
        <v/>
      </c>
      <c r="AH13" s="134" t="str">
        <f t="shared" si="10"/>
        <v/>
      </c>
      <c r="AI13" s="135" t="str">
        <f t="shared" si="3"/>
        <v/>
      </c>
      <c r="AJ13" s="135" t="str">
        <f t="shared" si="11"/>
        <v/>
      </c>
      <c r="AK13" s="126" t="str">
        <f t="shared" si="4"/>
        <v/>
      </c>
      <c r="AL13" s="126" t="str">
        <f ca="1">IFERROR(IF(AK13="","", MATCH(AK13,OFFSET(Icons!$B$5,1,AM13-3,20,1),0)+5),"")</f>
        <v/>
      </c>
      <c r="AM13" s="126" t="str">
        <f t="shared" si="12"/>
        <v/>
      </c>
      <c r="AN13" s="90"/>
      <c r="AO13" s="126" t="s">
        <v>146</v>
      </c>
      <c r="AP13" s="123">
        <v>13431551</v>
      </c>
      <c r="AQ13" s="123">
        <v>526344</v>
      </c>
      <c r="AR13" s="123">
        <v>14282978</v>
      </c>
      <c r="AS13" s="123">
        <v>526344</v>
      </c>
      <c r="AT13" s="123">
        <v>14083579</v>
      </c>
      <c r="AU13" s="123">
        <v>526344</v>
      </c>
      <c r="AW13" s="123">
        <v>3</v>
      </c>
      <c r="AX13" s="172" t="str">
        <f t="array" ref="AX13">IF(INDEX(iconsTable,ROW(AX13)-ROW($AX$3),1)="","",INDEX(iconsTable,ROW(AX13)-ROW($AX$3),1))</f>
        <v>broken_heart</v>
      </c>
      <c r="AY13" s="123">
        <f t="shared" si="13"/>
        <v>35</v>
      </c>
      <c r="AZ13" s="137" t="str">
        <f t="shared" si="14"/>
        <v>broken_heart</v>
      </c>
    </row>
    <row r="14" spans="2:52" ht="15" customHeight="1" x14ac:dyDescent="0.25">
      <c r="B14" s="138" t="s">
        <v>130</v>
      </c>
      <c r="C14" s="126">
        <f>IF(Dashboard!H14="",11,Dashboard!H14)</f>
        <v>11</v>
      </c>
      <c r="D14" s="139"/>
      <c r="E14" s="126">
        <v>11</v>
      </c>
      <c r="F14" s="126"/>
      <c r="G14" s="127"/>
      <c r="H14" s="127"/>
      <c r="I14" s="126"/>
      <c r="K14" s="137" t="str">
        <f t="shared" si="5"/>
        <v/>
      </c>
      <c r="L14" s="127" t="str">
        <f t="shared" si="0"/>
        <v/>
      </c>
      <c r="N14" s="128" t="str">
        <f t="shared" si="6"/>
        <v/>
      </c>
      <c r="O14" s="126" t="str">
        <f t="array" ref="O14">IFERROR(SMALL(IF(($G$4:$G$253=P14),ROW($G$4:$G$253)-ROW($G$3),"" ),N14),"")</f>
        <v/>
      </c>
      <c r="P14" s="127" t="str">
        <f t="array" ref="P14">IFERROR(SMALL($G$4:$G$253,E14),"")</f>
        <v/>
      </c>
      <c r="Q14" s="127" t="str">
        <f t="shared" si="7"/>
        <v/>
      </c>
      <c r="R14" s="126" t="str">
        <f t="shared" si="8"/>
        <v/>
      </c>
      <c r="S14" s="126" t="str">
        <f t="shared" si="1"/>
        <v/>
      </c>
      <c r="T14" s="128" t="str">
        <f>IF(OR(S14="R",S14=""),"",COUNTIFS($P$4:P14,P14,$S$4:S14,"S")*U14)</f>
        <v/>
      </c>
      <c r="U14" s="128" t="str">
        <f>IF(ISNUMBER(N14),IF($C$11=TRUE,IF(OR(ISODD(COUNTIF($N$4:N14,1)),Y14="Yes"),1,-1),1),"")</f>
        <v/>
      </c>
      <c r="V14" s="128" t="str">
        <f ca="1">IFERROR(IF(AND(S14="R",W14&lt;&gt;""),1,IF(S14="R",MAX(OFFSET(V13,0,0,-1*(ROW(W14)-3-MATCH(MAX($W$4:W13),$W$4:W13,0)),1))+1,"")),"")</f>
        <v/>
      </c>
      <c r="W14" s="129" t="str">
        <f>IFERROR(IF(AND(S14="R", P14&gt;MAX($X$3:X13)),P14,""),"")</f>
        <v/>
      </c>
      <c r="X14" s="129" t="str">
        <f>IFERROR(IF(AND(W14="",Q14&gt;=MAX($X$3:X13)),IF(S14="R",Q14,IF(AND(W14="",P14&lt;=MAX($X$3:X13)),MAX($X$3:X13),"")),IF(W14&lt;&gt;"", Q14,"")),"")</f>
        <v/>
      </c>
      <c r="Y14" s="126" t="str">
        <f>IF(S14="S",IF(OR(P14&lt;=MAX($X$3:X13),P14&gt;=IF(MIN(W15:$W$53)&lt;1,99999999,MIN(W15:$W$53))),"Yes","No"),"")</f>
        <v/>
      </c>
      <c r="Z14" s="140"/>
      <c r="AA14" s="130" t="str">
        <f t="shared" si="2"/>
        <v/>
      </c>
      <c r="AB14" s="131" t="str">
        <f t="array" ref="AB14">IF(AA14&lt;=$AA$2,MIN(IF($L$4:$L$503&lt;=AB13,99999999999,$L$4:$L$503)),"")</f>
        <v/>
      </c>
      <c r="AC14" s="130" t="str">
        <f>IF(ISNUMBER(AA14),IF(Dashboard!$H$6&lt;&gt;"Horizontal",AC13+dateDistance,AC13),"")</f>
        <v/>
      </c>
      <c r="AD14" s="130" t="str">
        <f>IF(ISNUMBER(AA14),IF(Dashboard!$H$6="Horizontal",AD13+dateDistance,AD13),"")</f>
        <v/>
      </c>
      <c r="AE14" s="132" t="str">
        <f>IF(ISNUMBER(P14), IF(Dashboard!$H$6="Horizontal",IF(S14="S",INDEX($AC$4:$AC$503,MATCH(P14,$AB$4:$AB$503,0),1)+boxDistance*(T14+IF(Y14="No",IF(ISODD(T14),IF(T14&gt;0,1,-1),0),0))*IF(Y14="No",IF(ISODD(T14),0.5,-0.5),1),timelineStartRow - boxDistance * V14),IF( S14="S",INDEX($AC$4:$AC$503,MATCH(P14,$AB$4:$AB$503,0),1),INDEX($AC$4:$AC$503,MATCH(P14,$AB$4:$AB$503,0),1)&amp;"-"&amp;INDEX($AC$4:$AC$503,MATCH(Q14,$AB$4:$AB$503,0),1))),"")</f>
        <v/>
      </c>
      <c r="AF14" s="132" t="str">
        <f>IF(ISNUMBER(P14), IF(Dashboard!$H$6&lt;&gt;"Horizontal",IF(S14="S",INDEX($AD$4:$AD$503,MATCH(P14,$AB$4:$AB$503,0),1)+boxDistance*(T14+IF(Y14="No",IF(ISODD(T14),IF(T14&gt;0,1,-1),0),0))*IF(Y14="No",IF(ISODD(T14),0.5,-0.5),1),timelineStartColumn-boxDistance * IF(AND(ISNUMBER(V14),V14&gt;1),V14*0.85,1)   ),IF( S14="S",INDEX($AD$4:$AD$503,MATCH(P14,$AB$4:$AB$503,0),1),INDEX($AD$4:$AD$503,MATCH(P14,$AB$4:$AB$503,0),1)&amp;"-"&amp;INDEX($AD$4:$AD$503,MATCH(Q14,$AB$4:$AB$503,0),1))),"")</f>
        <v/>
      </c>
      <c r="AG14" s="133" t="str">
        <f t="shared" si="9"/>
        <v/>
      </c>
      <c r="AH14" s="134" t="str">
        <f t="shared" si="10"/>
        <v/>
      </c>
      <c r="AI14" s="135" t="str">
        <f t="shared" si="3"/>
        <v/>
      </c>
      <c r="AJ14" s="135" t="str">
        <f t="shared" si="11"/>
        <v/>
      </c>
      <c r="AK14" s="126" t="str">
        <f t="shared" si="4"/>
        <v/>
      </c>
      <c r="AL14" s="126" t="str">
        <f ca="1">IFERROR(IF(AK14="","", MATCH(AK14,OFFSET(Icons!$B$5,1,AM14-3,20,1),0)+5),"")</f>
        <v/>
      </c>
      <c r="AM14" s="126" t="str">
        <f t="shared" si="12"/>
        <v/>
      </c>
      <c r="AN14" s="141"/>
      <c r="AO14" s="142" t="str">
        <f>Dashboard!H7</f>
        <v>Peach-Blue</v>
      </c>
      <c r="AP14" s="143">
        <f>IFERROR(INDEX(AP4:AP13,MATCH($AO$14,$AO$4:$AO$13,0),1),AP4)</f>
        <v>11389944</v>
      </c>
      <c r="AQ14" s="143">
        <f t="shared" ref="AQ14:AU14" si="15">IFERROR(INDEX(AQ4:AQ13,MATCH($AO$14,$AO$4:$AO$13,0),1),AQ4)</f>
        <v>526344</v>
      </c>
      <c r="AR14" s="143">
        <f t="shared" si="15"/>
        <v>12874308</v>
      </c>
      <c r="AS14" s="143">
        <f t="shared" si="15"/>
        <v>16777215</v>
      </c>
      <c r="AT14" s="143">
        <f t="shared" si="15"/>
        <v>10086143</v>
      </c>
      <c r="AU14" s="143">
        <f t="shared" si="15"/>
        <v>526344</v>
      </c>
      <c r="AW14" s="123">
        <v>3</v>
      </c>
      <c r="AX14" s="172" t="str">
        <f t="array" ref="AX14">IF(INDEX(iconsTable,ROW(AX14)-ROW($AX$3),1)="","",INDEX(iconsTable,ROW(AX14)-ROW($AX$3),1))</f>
        <v>cabriolet</v>
      </c>
      <c r="AY14" s="123">
        <f t="shared" si="13"/>
        <v>36</v>
      </c>
      <c r="AZ14" s="137" t="str">
        <f t="shared" si="14"/>
        <v>cabriolet</v>
      </c>
    </row>
    <row r="15" spans="2:52" ht="15" customHeight="1" x14ac:dyDescent="0.25">
      <c r="B15" s="170"/>
      <c r="D15" s="139"/>
      <c r="E15" s="126">
        <v>12</v>
      </c>
      <c r="F15" s="126"/>
      <c r="G15" s="127"/>
      <c r="H15" s="127"/>
      <c r="I15" s="126"/>
      <c r="K15" s="137" t="str">
        <f t="shared" si="5"/>
        <v/>
      </c>
      <c r="L15" s="127" t="str">
        <f t="shared" si="0"/>
        <v/>
      </c>
      <c r="N15" s="128" t="str">
        <f t="shared" si="6"/>
        <v/>
      </c>
      <c r="O15" s="126" t="str">
        <f t="array" ref="O15">IFERROR(SMALL(IF(($G$4:$G$253=P15),ROW($G$4:$G$253)-ROW($G$3),"" ),N15),"")</f>
        <v/>
      </c>
      <c r="P15" s="127" t="str">
        <f t="array" ref="P15">IFERROR(SMALL($G$4:$G$253,E15),"")</f>
        <v/>
      </c>
      <c r="Q15" s="127" t="str">
        <f t="shared" si="7"/>
        <v/>
      </c>
      <c r="R15" s="126" t="str">
        <f t="shared" si="8"/>
        <v/>
      </c>
      <c r="S15" s="126" t="str">
        <f t="shared" si="1"/>
        <v/>
      </c>
      <c r="T15" s="128" t="str">
        <f>IF(OR(S15="R",S15=""),"",COUNTIFS($P$4:P15,P15,$S$4:S15,"S")*U15)</f>
        <v/>
      </c>
      <c r="U15" s="128" t="str">
        <f>IF(ISNUMBER(N15),IF($C$11=TRUE,IF(OR(ISODD(COUNTIF($N$4:N15,1)),Y15="Yes"),1,-1),1),"")</f>
        <v/>
      </c>
      <c r="V15" s="128" t="str">
        <f ca="1">IFERROR(IF(AND(S15="R",W15&lt;&gt;""),1,IF(S15="R",MAX(OFFSET(V14,0,0,-1*(ROW(W15)-3-MATCH(MAX($W$4:W14),$W$4:W14,0)),1))+1,"")),"")</f>
        <v/>
      </c>
      <c r="W15" s="129" t="str">
        <f>IFERROR(IF(AND(S15="R", P15&gt;MAX($X$3:X14)),P15,""),"")</f>
        <v/>
      </c>
      <c r="X15" s="129" t="str">
        <f>IFERROR(IF(AND(W15="",Q15&gt;=MAX($X$3:X14)),IF(S15="R",Q15,IF(AND(W15="",P15&lt;=MAX($X$3:X14)),MAX($X$3:X14),"")),IF(W15&lt;&gt;"", Q15,"")),"")</f>
        <v/>
      </c>
      <c r="Y15" s="126" t="str">
        <f>IF(S15="S",IF(OR(P15&lt;=MAX($X$3:X14),P15&gt;=IF(MIN(W16:$W$53)&lt;1,99999999,MIN(W16:$W$53))),"Yes","No"),"")</f>
        <v/>
      </c>
      <c r="AA15" s="130" t="str">
        <f t="shared" si="2"/>
        <v/>
      </c>
      <c r="AB15" s="131" t="str">
        <f t="array" ref="AB15">IF(AA15&lt;=$AA$2,MIN(IF($L$4:$L$503&lt;=AB14,99999999999,$L$4:$L$503)),"")</f>
        <v/>
      </c>
      <c r="AC15" s="130" t="str">
        <f>IF(ISNUMBER(AA15),IF(Dashboard!$H$6&lt;&gt;"Horizontal",AC14+dateDistance,AC14),"")</f>
        <v/>
      </c>
      <c r="AD15" s="130" t="str">
        <f>IF(ISNUMBER(AA15),IF(Dashboard!$H$6="Horizontal",AD14+dateDistance,AD14),"")</f>
        <v/>
      </c>
      <c r="AE15" s="132" t="str">
        <f>IF(ISNUMBER(P15), IF(Dashboard!$H$6="Horizontal",IF(S15="S",INDEX($AC$4:$AC$503,MATCH(P15,$AB$4:$AB$503,0),1)+boxDistance*(T15+IF(Y15="No",IF(ISODD(T15),IF(T15&gt;0,1,-1),0),0))*IF(Y15="No",IF(ISODD(T15),0.5,-0.5),1),timelineStartRow - boxDistance * V15),IF( S15="S",INDEX($AC$4:$AC$503,MATCH(P15,$AB$4:$AB$503,0),1),INDEX($AC$4:$AC$503,MATCH(P15,$AB$4:$AB$503,0),1)&amp;"-"&amp;INDEX($AC$4:$AC$503,MATCH(Q15,$AB$4:$AB$503,0),1))),"")</f>
        <v/>
      </c>
      <c r="AF15" s="132" t="str">
        <f>IF(ISNUMBER(P15), IF(Dashboard!$H$6&lt;&gt;"Horizontal",IF(S15="S",INDEX($AD$4:$AD$503,MATCH(P15,$AB$4:$AB$503,0),1)+boxDistance*(T15+IF(Y15="No",IF(ISODD(T15),IF(T15&gt;0,1,-1),0),0))*IF(Y15="No",IF(ISODD(T15),0.5,-0.5),1),timelineStartColumn-boxDistance * IF(AND(ISNUMBER(V15),V15&gt;1),V15*0.85,1)   ),IF( S15="S",INDEX($AD$4:$AD$503,MATCH(P15,$AB$4:$AB$503,0),1),INDEX($AD$4:$AD$503,MATCH(P15,$AB$4:$AB$503,0),1)&amp;"-"&amp;INDEX($AD$4:$AD$503,MATCH(Q15,$AB$4:$AB$503,0),1))),"")</f>
        <v/>
      </c>
      <c r="AG15" s="133" t="str">
        <f t="shared" si="9"/>
        <v/>
      </c>
      <c r="AH15" s="134" t="str">
        <f t="shared" si="10"/>
        <v/>
      </c>
      <c r="AI15" s="135" t="str">
        <f t="shared" si="3"/>
        <v/>
      </c>
      <c r="AJ15" s="135" t="str">
        <f t="shared" si="11"/>
        <v/>
      </c>
      <c r="AK15" s="126" t="str">
        <f t="shared" si="4"/>
        <v/>
      </c>
      <c r="AL15" s="126" t="str">
        <f ca="1">IFERROR(IF(AK15="","", MATCH(AK15,OFFSET(Icons!$B$5,1,AM15-3,20,1),0)+5),"")</f>
        <v/>
      </c>
      <c r="AM15" s="126" t="str">
        <f t="shared" si="12"/>
        <v/>
      </c>
      <c r="AN15" s="90"/>
      <c r="AW15" s="123">
        <v>3</v>
      </c>
      <c r="AX15" s="172" t="str">
        <f t="array" ref="AX15">IF(INDEX(iconsTable,ROW(AX15)-ROW($AX$3),1)="","",INDEX(iconsTable,ROW(AX15)-ROW($AX$3),1))</f>
        <v>camel</v>
      </c>
      <c r="AY15" s="123">
        <f t="shared" si="13"/>
        <v>37</v>
      </c>
      <c r="AZ15" s="137" t="str">
        <f t="shared" si="14"/>
        <v>camel</v>
      </c>
    </row>
    <row r="16" spans="2:52" ht="15" customHeight="1" x14ac:dyDescent="0.25">
      <c r="B16" s="170"/>
      <c r="D16" s="98"/>
      <c r="E16" s="126">
        <v>13</v>
      </c>
      <c r="F16" s="126"/>
      <c r="G16" s="127"/>
      <c r="H16" s="127"/>
      <c r="I16" s="126"/>
      <c r="K16" s="137" t="str">
        <f t="shared" si="5"/>
        <v/>
      </c>
      <c r="L16" s="127" t="str">
        <f t="shared" si="0"/>
        <v/>
      </c>
      <c r="N16" s="128" t="str">
        <f t="shared" si="6"/>
        <v/>
      </c>
      <c r="O16" s="126" t="str">
        <f t="array" ref="O16">IFERROR(SMALL(IF(($G$4:$G$253=P16),ROW($G$4:$G$253)-ROW($G$3),"" ),N16),"")</f>
        <v/>
      </c>
      <c r="P16" s="127" t="str">
        <f t="array" ref="P16">IFERROR(SMALL($G$4:$G$253,E16),"")</f>
        <v/>
      </c>
      <c r="Q16" s="127" t="str">
        <f t="shared" si="7"/>
        <v/>
      </c>
      <c r="R16" s="126" t="str">
        <f t="shared" si="8"/>
        <v/>
      </c>
      <c r="S16" s="126" t="str">
        <f t="shared" si="1"/>
        <v/>
      </c>
      <c r="T16" s="128" t="str">
        <f>IF(OR(S16="R",S16=""),"",COUNTIFS($P$4:P16,P16,$S$4:S16,"S")*U16)</f>
        <v/>
      </c>
      <c r="U16" s="128" t="str">
        <f>IF(ISNUMBER(N16),IF($C$11=TRUE,IF(OR(ISODD(COUNTIF($N$4:N16,1)),Y16="Yes"),1,-1),1),"")</f>
        <v/>
      </c>
      <c r="V16" s="128" t="str">
        <f ca="1">IFERROR(IF(AND(S16="R",W16&lt;&gt;""),1,IF(S16="R",MAX(OFFSET(V15,0,0,-1*(ROW(W16)-3-MATCH(MAX($W$4:W15),$W$4:W15,0)),1))+1,"")),"")</f>
        <v/>
      </c>
      <c r="W16" s="129" t="str">
        <f>IFERROR(IF(AND(S16="R", P16&gt;MAX($X$3:X15)),P16,""),"")</f>
        <v/>
      </c>
      <c r="X16" s="129" t="str">
        <f>IFERROR(IF(AND(W16="",Q16&gt;=MAX($X$3:X15)),IF(S16="R",Q16,IF(AND(W16="",P16&lt;=MAX($X$3:X15)),MAX($X$3:X15),"")),IF(W16&lt;&gt;"", Q16,"")),"")</f>
        <v/>
      </c>
      <c r="Y16" s="126" t="str">
        <f>IF(S16="S",IF(OR(P16&lt;=MAX($X$3:X15),P16&gt;=IF(MIN(W17:$W$53)&lt;1,99999999,MIN(W17:$W$53))),"Yes","No"),"")</f>
        <v/>
      </c>
      <c r="AA16" s="130" t="str">
        <f t="shared" si="2"/>
        <v/>
      </c>
      <c r="AB16" s="131" t="str">
        <f t="array" ref="AB16">IF(AA16&lt;=$AA$2,MIN(IF($L$4:$L$503&lt;=AB15,99999999999,$L$4:$L$503)),"")</f>
        <v/>
      </c>
      <c r="AC16" s="130" t="str">
        <f>IF(ISNUMBER(AA16),IF(Dashboard!$H$6&lt;&gt;"Horizontal",AC15+dateDistance,AC15),"")</f>
        <v/>
      </c>
      <c r="AD16" s="130" t="str">
        <f>IF(ISNUMBER(AA16),IF(Dashboard!$H$6="Horizontal",AD15+dateDistance,AD15),"")</f>
        <v/>
      </c>
      <c r="AE16" s="132" t="str">
        <f>IF(ISNUMBER(P16), IF(Dashboard!$H$6="Horizontal",IF(S16="S",INDEX($AC$4:$AC$503,MATCH(P16,$AB$4:$AB$503,0),1)+boxDistance*(T16+IF(Y16="No",IF(ISODD(T16),IF(T16&gt;0,1,-1),0),0))*IF(Y16="No",IF(ISODD(T16),0.5,-0.5),1),timelineStartRow - boxDistance * V16),IF( S16="S",INDEX($AC$4:$AC$503,MATCH(P16,$AB$4:$AB$503,0),1),INDEX($AC$4:$AC$503,MATCH(P16,$AB$4:$AB$503,0),1)&amp;"-"&amp;INDEX($AC$4:$AC$503,MATCH(Q16,$AB$4:$AB$503,0),1))),"")</f>
        <v/>
      </c>
      <c r="AF16" s="132" t="str">
        <f>IF(ISNUMBER(P16), IF(Dashboard!$H$6&lt;&gt;"Horizontal",IF(S16="S",INDEX($AD$4:$AD$503,MATCH(P16,$AB$4:$AB$503,0),1)+boxDistance*(T16+IF(Y16="No",IF(ISODD(T16),IF(T16&gt;0,1,-1),0),0))*IF(Y16="No",IF(ISODD(T16),0.5,-0.5),1),timelineStartColumn-boxDistance * IF(AND(ISNUMBER(V16),V16&gt;1),V16*0.85,1)   ),IF( S16="S",INDEX($AD$4:$AD$503,MATCH(P16,$AB$4:$AB$503,0),1),INDEX($AD$4:$AD$503,MATCH(P16,$AB$4:$AB$503,0),1)&amp;"-"&amp;INDEX($AD$4:$AD$503,MATCH(Q16,$AB$4:$AB$503,0),1))),"")</f>
        <v/>
      </c>
      <c r="AG16" s="133" t="str">
        <f t="shared" si="9"/>
        <v/>
      </c>
      <c r="AH16" s="134" t="str">
        <f t="shared" si="10"/>
        <v/>
      </c>
      <c r="AI16" s="135" t="str">
        <f t="shared" si="3"/>
        <v/>
      </c>
      <c r="AJ16" s="135" t="str">
        <f t="shared" si="11"/>
        <v/>
      </c>
      <c r="AK16" s="126" t="str">
        <f t="shared" si="4"/>
        <v/>
      </c>
      <c r="AL16" s="126" t="str">
        <f ca="1">IFERROR(IF(AK16="","", MATCH(AK16,OFFSET(Icons!$B$5,1,AM16-3,20,1),0)+5),"")</f>
        <v/>
      </c>
      <c r="AM16" s="126" t="str">
        <f t="shared" si="12"/>
        <v/>
      </c>
      <c r="AN16" s="90"/>
      <c r="AO16" s="137" t="s">
        <v>38</v>
      </c>
      <c r="AP16" s="123" t="s">
        <v>40</v>
      </c>
      <c r="AQ16" s="123" t="s">
        <v>39</v>
      </c>
      <c r="AW16" s="123">
        <v>3</v>
      </c>
      <c r="AX16" s="172" t="str">
        <f t="array" ref="AX16">IF(INDEX(iconsTable,ROW(AX16)-ROW($AX$3),1)="","",INDEX(iconsTable,ROW(AX16)-ROW($AX$3),1))</f>
        <v>cat</v>
      </c>
      <c r="AY16" s="123">
        <f t="shared" si="13"/>
        <v>38</v>
      </c>
      <c r="AZ16" s="137" t="str">
        <f t="shared" si="14"/>
        <v>cat</v>
      </c>
    </row>
    <row r="17" spans="5:52" ht="15" customHeight="1" x14ac:dyDescent="0.25">
      <c r="E17" s="126">
        <v>14</v>
      </c>
      <c r="F17" s="126"/>
      <c r="G17" s="127"/>
      <c r="H17" s="127"/>
      <c r="I17" s="126"/>
      <c r="K17" s="137" t="str">
        <f t="shared" si="5"/>
        <v/>
      </c>
      <c r="L17" s="127" t="str">
        <f t="shared" si="0"/>
        <v/>
      </c>
      <c r="N17" s="128" t="str">
        <f t="shared" si="6"/>
        <v/>
      </c>
      <c r="O17" s="126" t="str">
        <f t="array" ref="O17">IFERROR(SMALL(IF(($G$4:$G$253=P17),ROW($G$4:$G$253)-ROW($G$3),"" ),N17),"")</f>
        <v/>
      </c>
      <c r="P17" s="127" t="str">
        <f t="array" ref="P17">IFERROR(SMALL($G$4:$G$253,E17),"")</f>
        <v/>
      </c>
      <c r="Q17" s="127" t="str">
        <f t="shared" si="7"/>
        <v/>
      </c>
      <c r="R17" s="126" t="str">
        <f t="shared" si="8"/>
        <v/>
      </c>
      <c r="S17" s="126" t="str">
        <f t="shared" si="1"/>
        <v/>
      </c>
      <c r="T17" s="128" t="str">
        <f>IF(OR(S17="R",S17=""),"",COUNTIFS($P$4:P17,P17,$S$4:S17,"S")*U17)</f>
        <v/>
      </c>
      <c r="U17" s="128" t="str">
        <f>IF(ISNUMBER(N17),IF($C$11=TRUE,IF(OR(ISODD(COUNTIF($N$4:N17,1)),Y17="Yes"),1,-1),1),"")</f>
        <v/>
      </c>
      <c r="V17" s="128" t="str">
        <f ca="1">IFERROR(IF(AND(S17="R",W17&lt;&gt;""),1,IF(S17="R",MAX(OFFSET(V16,0,0,-1*(ROW(W17)-3-MATCH(MAX($W$4:W16),$W$4:W16,0)),1))+1,"")),"")</f>
        <v/>
      </c>
      <c r="W17" s="129" t="str">
        <f>IFERROR(IF(AND(S17="R", P17&gt;MAX($X$3:X16)),P17,""),"")</f>
        <v/>
      </c>
      <c r="X17" s="129" t="str">
        <f>IFERROR(IF(AND(W17="",Q17&gt;=MAX($X$3:X16)),IF(S17="R",Q17,IF(AND(W17="",P17&lt;=MAX($X$3:X16)),MAX($X$3:X16),"")),IF(W17&lt;&gt;"", Q17,"")),"")</f>
        <v/>
      </c>
      <c r="Y17" s="126" t="str">
        <f>IF(S17="S",IF(OR(P17&lt;=MAX($X$3:X16),P17&gt;=IF(MIN(W18:$W$53)&lt;1,99999999,MIN(W18:$W$53))),"Yes","No"),"")</f>
        <v/>
      </c>
      <c r="AA17" s="130" t="str">
        <f t="shared" si="2"/>
        <v/>
      </c>
      <c r="AB17" s="131" t="str">
        <f t="array" ref="AB17">IF(AA17&lt;=$AA$2,MIN(IF($L$4:$L$503&lt;=AB16,99999999999,$L$4:$L$503)),"")</f>
        <v/>
      </c>
      <c r="AC17" s="130" t="str">
        <f>IF(ISNUMBER(AA17),IF(Dashboard!$H$6&lt;&gt;"Horizontal",AC16+dateDistance,AC16),"")</f>
        <v/>
      </c>
      <c r="AD17" s="130" t="str">
        <f>IF(ISNUMBER(AA17),IF(Dashboard!$H$6="Horizontal",AD16+dateDistance,AD16),"")</f>
        <v/>
      </c>
      <c r="AE17" s="132" t="str">
        <f>IF(ISNUMBER(P17), IF(Dashboard!$H$6="Horizontal",IF(S17="S",INDEX($AC$4:$AC$503,MATCH(P17,$AB$4:$AB$503,0),1)+boxDistance*(T17+IF(Y17="No",IF(ISODD(T17),IF(T17&gt;0,1,-1),0),0))*IF(Y17="No",IF(ISODD(T17),0.5,-0.5),1),timelineStartRow - boxDistance * V17),IF( S17="S",INDEX($AC$4:$AC$503,MATCH(P17,$AB$4:$AB$503,0),1),INDEX($AC$4:$AC$503,MATCH(P17,$AB$4:$AB$503,0),1)&amp;"-"&amp;INDEX($AC$4:$AC$503,MATCH(Q17,$AB$4:$AB$503,0),1))),"")</f>
        <v/>
      </c>
      <c r="AF17" s="132" t="str">
        <f>IF(ISNUMBER(P17), IF(Dashboard!$H$6&lt;&gt;"Horizontal",IF(S17="S",INDEX($AD$4:$AD$503,MATCH(P17,$AB$4:$AB$503,0),1)+boxDistance*(T17+IF(Y17="No",IF(ISODD(T17),IF(T17&gt;0,1,-1),0),0))*IF(Y17="No",IF(ISODD(T17),0.5,-0.5),1),timelineStartColumn-boxDistance * IF(AND(ISNUMBER(V17),V17&gt;1),V17*0.85,1)   ),IF( S17="S",INDEX($AD$4:$AD$503,MATCH(P17,$AB$4:$AB$503,0),1),INDEX($AD$4:$AD$503,MATCH(P17,$AB$4:$AB$503,0),1)&amp;"-"&amp;INDEX($AD$4:$AD$503,MATCH(Q17,$AB$4:$AB$503,0),1))),"")</f>
        <v/>
      </c>
      <c r="AG17" s="133" t="str">
        <f t="shared" si="9"/>
        <v/>
      </c>
      <c r="AH17" s="134" t="str">
        <f t="shared" si="10"/>
        <v/>
      </c>
      <c r="AI17" s="135" t="str">
        <f t="shared" si="3"/>
        <v/>
      </c>
      <c r="AJ17" s="135" t="str">
        <f t="shared" si="11"/>
        <v/>
      </c>
      <c r="AK17" s="126" t="str">
        <f t="shared" si="4"/>
        <v/>
      </c>
      <c r="AL17" s="126" t="str">
        <f ca="1">IFERROR(IF(AK17="","", MATCH(AK17,OFFSET(Icons!$B$5,1,AM17-3,20,1),0)+5),"")</f>
        <v/>
      </c>
      <c r="AM17" s="126" t="str">
        <f t="shared" si="12"/>
        <v/>
      </c>
      <c r="AN17" s="90"/>
      <c r="AO17" s="137" t="s">
        <v>41</v>
      </c>
      <c r="AP17" s="123">
        <f ca="1">IF(MAX(AE3:AE253,AC3:AC253)&lt;12,12,MAX(AE3:AE253,AC3:AC253))+3</f>
        <v>23</v>
      </c>
      <c r="AQ17" s="123" t="str">
        <f>SUBSTITUTE(ADDRESS(1,IF(direction&lt;&gt;"Vertical",MAX(AD4:AD503,46)+ROUND(sizeW/25,0),IF(MAX(AF4:AF253)+5&gt;2*timelineStartColumn-1,MAX(AF4:AF253)+5,2*timelineStartColumn-1)),4),"1","")</f>
        <v>AW</v>
      </c>
      <c r="AW17" s="123">
        <v>3</v>
      </c>
      <c r="AX17" s="172" t="str">
        <f t="array" ref="AX17">IF(INDEX(iconsTable,ROW(AX17)-ROW($AX$3),1)="","",INDEX(iconsTable,ROW(AX17)-ROW($AX$3),1))</f>
        <v>circus</v>
      </c>
      <c r="AY17" s="123">
        <f t="shared" si="13"/>
        <v>39</v>
      </c>
      <c r="AZ17" s="137" t="str">
        <f t="shared" si="14"/>
        <v>circus</v>
      </c>
    </row>
    <row r="18" spans="5:52" ht="15" customHeight="1" x14ac:dyDescent="0.25">
      <c r="E18" s="126">
        <v>15</v>
      </c>
      <c r="F18" s="126"/>
      <c r="G18" s="127"/>
      <c r="H18" s="127"/>
      <c r="I18" s="126"/>
      <c r="K18" s="137" t="str">
        <f t="shared" si="5"/>
        <v/>
      </c>
      <c r="L18" s="127" t="str">
        <f t="shared" si="0"/>
        <v/>
      </c>
      <c r="N18" s="128" t="str">
        <f t="shared" si="6"/>
        <v/>
      </c>
      <c r="O18" s="126" t="str">
        <f t="array" ref="O18">IFERROR(SMALL(IF(($G$4:$G$253=P18),ROW($G$4:$G$253)-ROW($G$3),"" ),N18),"")</f>
        <v/>
      </c>
      <c r="P18" s="127" t="str">
        <f t="array" ref="P18">IFERROR(SMALL($G$4:$G$253,E18),"")</f>
        <v/>
      </c>
      <c r="Q18" s="127" t="str">
        <f t="shared" si="7"/>
        <v/>
      </c>
      <c r="R18" s="126" t="str">
        <f t="shared" si="8"/>
        <v/>
      </c>
      <c r="S18" s="126" t="str">
        <f t="shared" si="1"/>
        <v/>
      </c>
      <c r="T18" s="128" t="str">
        <f>IF(OR(S18="R",S18=""),"",COUNTIFS($P$4:P18,P18,$S$4:S18,"S")*U18)</f>
        <v/>
      </c>
      <c r="U18" s="128" t="str">
        <f>IF(ISNUMBER(N18),IF($C$11=TRUE,IF(OR(ISODD(COUNTIF($N$4:N18,1)),Y18="Yes"),1,-1),1),"")</f>
        <v/>
      </c>
      <c r="V18" s="128" t="str">
        <f ca="1">IFERROR(IF(AND(S18="R",W18&lt;&gt;""),1,IF(S18="R",MAX(OFFSET(V17,0,0,-1*(ROW(W18)-3-MATCH(MAX($W$4:W17),$W$4:W17,0)),1))+1,"")),"")</f>
        <v/>
      </c>
      <c r="W18" s="129" t="str">
        <f>IFERROR(IF(AND(S18="R", P18&gt;MAX($X$3:X17)),P18,""),"")</f>
        <v/>
      </c>
      <c r="X18" s="129" t="str">
        <f>IFERROR(IF(AND(W18="",Q18&gt;=MAX($X$3:X17)),IF(S18="R",Q18,IF(AND(W18="",P18&lt;=MAX($X$3:X17)),MAX($X$3:X17),"")),IF(W18&lt;&gt;"", Q18,"")),"")</f>
        <v/>
      </c>
      <c r="Y18" s="126" t="str">
        <f>IF(S18="S",IF(OR(P18&lt;=MAX($X$3:X17),P18&gt;=IF(MIN(W19:$W$53)&lt;1,99999999,MIN(W19:$W$53))),"Yes","No"),"")</f>
        <v/>
      </c>
      <c r="AA18" s="130" t="str">
        <f t="shared" si="2"/>
        <v/>
      </c>
      <c r="AB18" s="131" t="str">
        <f t="array" ref="AB18">IF(AA18&lt;=$AA$2,MIN(IF($L$4:$L$503&lt;=AB17,99999999999,$L$4:$L$503)),"")</f>
        <v/>
      </c>
      <c r="AC18" s="130" t="str">
        <f>IF(ISNUMBER(AA18),IF(Dashboard!$H$6&lt;&gt;"Horizontal",AC17+dateDistance,AC17),"")</f>
        <v/>
      </c>
      <c r="AD18" s="130" t="str">
        <f>IF(ISNUMBER(AA18),IF(Dashboard!$H$6="Horizontal",AD17+dateDistance,AD17),"")</f>
        <v/>
      </c>
      <c r="AE18" s="132" t="str">
        <f>IF(ISNUMBER(P18), IF(Dashboard!$H$6="Horizontal",IF(S18="S",INDEX($AC$4:$AC$503,MATCH(P18,$AB$4:$AB$503,0),1)+boxDistance*(T18+IF(Y18="No",IF(ISODD(T18),IF(T18&gt;0,1,-1),0),0))*IF(Y18="No",IF(ISODD(T18),0.5,-0.5),1),timelineStartRow - boxDistance * V18),IF( S18="S",INDEX($AC$4:$AC$503,MATCH(P18,$AB$4:$AB$503,0),1),INDEX($AC$4:$AC$503,MATCH(P18,$AB$4:$AB$503,0),1)&amp;"-"&amp;INDEX($AC$4:$AC$503,MATCH(Q18,$AB$4:$AB$503,0),1))),"")</f>
        <v/>
      </c>
      <c r="AF18" s="132" t="str">
        <f>IF(ISNUMBER(P18), IF(Dashboard!$H$6&lt;&gt;"Horizontal",IF(S18="S",INDEX($AD$4:$AD$503,MATCH(P18,$AB$4:$AB$503,0),1)+boxDistance*(T18+IF(Y18="No",IF(ISODD(T18),IF(T18&gt;0,1,-1),0),0))*IF(Y18="No",IF(ISODD(T18),0.5,-0.5),1),timelineStartColumn-boxDistance * IF(AND(ISNUMBER(V18),V18&gt;1),V18*0.85,1)   ),IF( S18="S",INDEX($AD$4:$AD$503,MATCH(P18,$AB$4:$AB$503,0),1),INDEX($AD$4:$AD$503,MATCH(P18,$AB$4:$AB$503,0),1)&amp;"-"&amp;INDEX($AD$4:$AD$503,MATCH(Q18,$AB$4:$AB$503,0),1))),"")</f>
        <v/>
      </c>
      <c r="AG18" s="133" t="str">
        <f t="shared" si="9"/>
        <v/>
      </c>
      <c r="AH18" s="134" t="str">
        <f t="shared" si="10"/>
        <v/>
      </c>
      <c r="AI18" s="135" t="str">
        <f t="shared" si="3"/>
        <v/>
      </c>
      <c r="AJ18" s="135" t="str">
        <f t="shared" si="11"/>
        <v/>
      </c>
      <c r="AK18" s="126" t="str">
        <f t="shared" si="4"/>
        <v/>
      </c>
      <c r="AL18" s="126" t="str">
        <f ca="1">IFERROR(IF(AK18="","", MATCH(AK18,OFFSET(Icons!$B$5,1,AM18-3,20,1),0)+5),"")</f>
        <v/>
      </c>
      <c r="AM18" s="126" t="str">
        <f t="shared" si="12"/>
        <v/>
      </c>
      <c r="AN18" s="90"/>
      <c r="AQ18" s="144"/>
      <c r="AW18" s="123">
        <v>3</v>
      </c>
      <c r="AX18" s="172" t="str">
        <f t="array" ref="AX18">IF(INDEX(iconsTable,ROW(AX18)-ROW($AX$3),1)="","",INDEX(iconsTable,ROW(AX18)-ROW($AX$3),1))</f>
        <v>cloud_IT</v>
      </c>
      <c r="AY18" s="123">
        <f t="shared" si="13"/>
        <v>40</v>
      </c>
      <c r="AZ18" s="137" t="str">
        <f t="shared" si="14"/>
        <v>cloud_IT</v>
      </c>
    </row>
    <row r="19" spans="5:52" ht="15" customHeight="1" x14ac:dyDescent="0.25">
      <c r="E19" s="126">
        <v>16</v>
      </c>
      <c r="F19" s="126"/>
      <c r="G19" s="127"/>
      <c r="H19" s="127"/>
      <c r="I19" s="126"/>
      <c r="K19" s="137" t="str">
        <f t="shared" si="5"/>
        <v/>
      </c>
      <c r="L19" s="127" t="str">
        <f t="shared" si="0"/>
        <v/>
      </c>
      <c r="N19" s="128" t="str">
        <f t="shared" si="6"/>
        <v/>
      </c>
      <c r="O19" s="126" t="str">
        <f t="array" ref="O19">IFERROR(SMALL(IF(($G$4:$G$253=P19),ROW($G$4:$G$253)-ROW($G$3),"" ),N19),"")</f>
        <v/>
      </c>
      <c r="P19" s="127" t="str">
        <f t="array" ref="P19">IFERROR(SMALL($G$4:$G$253,E19),"")</f>
        <v/>
      </c>
      <c r="Q19" s="127" t="str">
        <f t="shared" si="7"/>
        <v/>
      </c>
      <c r="R19" s="126" t="str">
        <f t="shared" si="8"/>
        <v/>
      </c>
      <c r="S19" s="126" t="str">
        <f t="shared" si="1"/>
        <v/>
      </c>
      <c r="T19" s="128" t="str">
        <f>IF(OR(S19="R",S19=""),"",COUNTIFS($P$4:P19,P19,$S$4:S19,"S")*U19)</f>
        <v/>
      </c>
      <c r="U19" s="128" t="str">
        <f>IF(ISNUMBER(N19),IF($C$11=TRUE,IF(OR(ISODD(COUNTIF($N$4:N19,1)),Y19="Yes"),1,-1),1),"")</f>
        <v/>
      </c>
      <c r="V19" s="128" t="str">
        <f ca="1">IFERROR(IF(AND(S19="R",W19&lt;&gt;""),1,IF(S19="R",MAX(OFFSET(V18,0,0,-1*(ROW(W19)-3-MATCH(MAX($W$4:W18),$W$4:W18,0)),1))+1,"")),"")</f>
        <v/>
      </c>
      <c r="W19" s="129" t="str">
        <f>IFERROR(IF(AND(S19="R", P19&gt;MAX($X$3:X18)),P19,""),"")</f>
        <v/>
      </c>
      <c r="X19" s="129" t="str">
        <f>IFERROR(IF(AND(W19="",Q19&gt;=MAX($X$3:X18)),IF(S19="R",Q19,IF(AND(W19="",P19&lt;=MAX($X$3:X18)),MAX($X$3:X18),"")),IF(W19&lt;&gt;"", Q19,"")),"")</f>
        <v/>
      </c>
      <c r="Y19" s="126" t="str">
        <f>IF(S19="S",IF(OR(P19&lt;=MAX($X$3:X18),P19&gt;=IF(MIN(W20:$W$53)&lt;1,99999999,MIN(W20:$W$53))),"Yes","No"),"")</f>
        <v/>
      </c>
      <c r="AA19" s="130" t="str">
        <f t="shared" si="2"/>
        <v/>
      </c>
      <c r="AB19" s="131" t="str">
        <f t="array" ref="AB19">IF(AA19&lt;=$AA$2,MIN(IF($L$4:$L$503&lt;=AB18,99999999999,$L$4:$L$503)),"")</f>
        <v/>
      </c>
      <c r="AC19" s="130" t="str">
        <f>IF(ISNUMBER(AA19),IF(Dashboard!$H$6&lt;&gt;"Horizontal",AC18+dateDistance,AC18),"")</f>
        <v/>
      </c>
      <c r="AD19" s="130" t="str">
        <f>IF(ISNUMBER(AA19),IF(Dashboard!$H$6="Horizontal",AD18+dateDistance,AD18),"")</f>
        <v/>
      </c>
      <c r="AE19" s="132" t="str">
        <f>IF(ISNUMBER(P19), IF(Dashboard!$H$6="Horizontal",IF(S19="S",INDEX($AC$4:$AC$503,MATCH(P19,$AB$4:$AB$503,0),1)+boxDistance*(T19+IF(Y19="No",IF(ISODD(T19),IF(T19&gt;0,1,-1),0),0))*IF(Y19="No",IF(ISODD(T19),0.5,-0.5),1),timelineStartRow - boxDistance * V19),IF( S19="S",INDEX($AC$4:$AC$503,MATCH(P19,$AB$4:$AB$503,0),1),INDEX($AC$4:$AC$503,MATCH(P19,$AB$4:$AB$503,0),1)&amp;"-"&amp;INDEX($AC$4:$AC$503,MATCH(Q19,$AB$4:$AB$503,0),1))),"")</f>
        <v/>
      </c>
      <c r="AF19" s="132" t="str">
        <f>IF(ISNUMBER(P19), IF(Dashboard!$H$6&lt;&gt;"Horizontal",IF(S19="S",INDEX($AD$4:$AD$503,MATCH(P19,$AB$4:$AB$503,0),1)+boxDistance*(T19+IF(Y19="No",IF(ISODD(T19),IF(T19&gt;0,1,-1),0),0))*IF(Y19="No",IF(ISODD(T19),0.5,-0.5),1),timelineStartColumn-boxDistance * IF(AND(ISNUMBER(V19),V19&gt;1),V19*0.85,1)   ),IF( S19="S",INDEX($AD$4:$AD$503,MATCH(P19,$AB$4:$AB$503,0),1),INDEX($AD$4:$AD$503,MATCH(P19,$AB$4:$AB$503,0),1)&amp;"-"&amp;INDEX($AD$4:$AD$503,MATCH(Q19,$AB$4:$AB$503,0),1))),"")</f>
        <v/>
      </c>
      <c r="AG19" s="133" t="str">
        <f t="shared" si="9"/>
        <v/>
      </c>
      <c r="AH19" s="134" t="str">
        <f t="shared" si="10"/>
        <v/>
      </c>
      <c r="AI19" s="135" t="str">
        <f t="shared" si="3"/>
        <v/>
      </c>
      <c r="AJ19" s="135" t="str">
        <f t="shared" si="11"/>
        <v/>
      </c>
      <c r="AK19" s="126" t="str">
        <f t="shared" si="4"/>
        <v/>
      </c>
      <c r="AL19" s="126" t="str">
        <f ca="1">IFERROR(IF(AK19="","", MATCH(AK19,OFFSET(Icons!$B$5,1,AM19-3,20,1),0)+5),"")</f>
        <v/>
      </c>
      <c r="AM19" s="126" t="str">
        <f t="shared" si="12"/>
        <v/>
      </c>
      <c r="AN19" s="90"/>
      <c r="AO19" s="145"/>
      <c r="AP19" s="146"/>
      <c r="AW19" s="123">
        <v>3</v>
      </c>
      <c r="AX19" s="172" t="str">
        <f t="array" ref="AX19">IF(INDEX(iconsTable,ROW(AX19)-ROW($AX$3),1)="","",INDEX(iconsTable,ROW(AX19)-ROW($AX$3),1))</f>
        <v/>
      </c>
      <c r="AY19" s="123" t="str">
        <f t="shared" si="13"/>
        <v/>
      </c>
      <c r="AZ19" s="137" t="str">
        <f t="shared" si="14"/>
        <v>cough</v>
      </c>
    </row>
    <row r="20" spans="5:52" ht="15" customHeight="1" x14ac:dyDescent="0.25">
      <c r="E20" s="126">
        <v>17</v>
      </c>
      <c r="F20" s="126"/>
      <c r="G20" s="127"/>
      <c r="H20" s="127"/>
      <c r="I20" s="126"/>
      <c r="K20" s="137" t="str">
        <f t="shared" si="5"/>
        <v/>
      </c>
      <c r="L20" s="127" t="str">
        <f t="shared" si="0"/>
        <v/>
      </c>
      <c r="N20" s="128" t="str">
        <f t="shared" si="6"/>
        <v/>
      </c>
      <c r="O20" s="126" t="str">
        <f t="array" ref="O20">IFERROR(SMALL(IF(($G$4:$G$253=P20),ROW($G$4:$G$253)-ROW($G$3),"" ),N20),"")</f>
        <v/>
      </c>
      <c r="P20" s="127" t="str">
        <f t="array" ref="P20">IFERROR(SMALL($G$4:$G$253,E20),"")</f>
        <v/>
      </c>
      <c r="Q20" s="127" t="str">
        <f t="shared" si="7"/>
        <v/>
      </c>
      <c r="R20" s="126" t="str">
        <f t="shared" si="8"/>
        <v/>
      </c>
      <c r="S20" s="126" t="str">
        <f t="shared" si="1"/>
        <v/>
      </c>
      <c r="T20" s="128" t="str">
        <f>IF(OR(S20="R",S20=""),"",COUNTIFS($P$4:P20,P20,$S$4:S20,"S")*U20)</f>
        <v/>
      </c>
      <c r="U20" s="128" t="str">
        <f>IF(ISNUMBER(N20),IF($C$11=TRUE,IF(OR(ISODD(COUNTIF($N$4:N20,1)),Y20="Yes"),1,-1),1),"")</f>
        <v/>
      </c>
      <c r="V20" s="128" t="str">
        <f ca="1">IFERROR(IF(AND(S20="R",W20&lt;&gt;""),1,IF(S20="R",MAX(OFFSET(V19,0,0,-1*(ROW(W20)-3-MATCH(MAX($W$4:W19),$W$4:W19,0)),1))+1,"")),"")</f>
        <v/>
      </c>
      <c r="W20" s="129" t="str">
        <f>IFERROR(IF(AND(S20="R", P20&gt;MAX($X$3:X19)),P20,""),"")</f>
        <v/>
      </c>
      <c r="X20" s="129" t="str">
        <f>IFERROR(IF(AND(W20="",Q20&gt;=MAX($X$3:X19)),IF(S20="R",Q20,IF(AND(W20="",P20&lt;=MAX($X$3:X19)),MAX($X$3:X19),"")),IF(W20&lt;&gt;"", Q20,"")),"")</f>
        <v/>
      </c>
      <c r="Y20" s="126" t="str">
        <f>IF(S20="S",IF(OR(P20&lt;=MAX($X$3:X19),P20&gt;=IF(MIN(W21:$W$53)&lt;1,99999999,MIN(W21:$W$53))),"Yes","No"),"")</f>
        <v/>
      </c>
      <c r="AA20" s="130" t="str">
        <f t="shared" si="2"/>
        <v/>
      </c>
      <c r="AB20" s="131" t="str">
        <f t="array" ref="AB20">IF(AA20&lt;=$AA$2,MIN(IF($L$4:$L$503&lt;=AB19,99999999999,$L$4:$L$503)),"")</f>
        <v/>
      </c>
      <c r="AC20" s="130" t="str">
        <f>IF(ISNUMBER(AA20),IF(Dashboard!$H$6&lt;&gt;"Horizontal",AC19+dateDistance,AC19),"")</f>
        <v/>
      </c>
      <c r="AD20" s="130" t="str">
        <f>IF(ISNUMBER(AA20),IF(Dashboard!$H$6="Horizontal",AD19+dateDistance,AD19),"")</f>
        <v/>
      </c>
      <c r="AE20" s="132" t="str">
        <f>IF(ISNUMBER(P20), IF(Dashboard!$H$6="Horizontal",IF(S20="S",INDEX($AC$4:$AC$503,MATCH(P20,$AB$4:$AB$503,0),1)+boxDistance*(T20+IF(Y20="No",IF(ISODD(T20),IF(T20&gt;0,1,-1),0),0))*IF(Y20="No",IF(ISODD(T20),0.5,-0.5),1),timelineStartRow - boxDistance * V20),IF( S20="S",INDEX($AC$4:$AC$503,MATCH(P20,$AB$4:$AB$503,0),1),INDEX($AC$4:$AC$503,MATCH(P20,$AB$4:$AB$503,0),1)&amp;"-"&amp;INDEX($AC$4:$AC$503,MATCH(Q20,$AB$4:$AB$503,0),1))),"")</f>
        <v/>
      </c>
      <c r="AF20" s="132" t="str">
        <f>IF(ISNUMBER(P20), IF(Dashboard!$H$6&lt;&gt;"Horizontal",IF(S20="S",INDEX($AD$4:$AD$503,MATCH(P20,$AB$4:$AB$503,0),1)+boxDistance*(T20+IF(Y20="No",IF(ISODD(T20),IF(T20&gt;0,1,-1),0),0))*IF(Y20="No",IF(ISODD(T20),0.5,-0.5),1),timelineStartColumn-boxDistance * IF(AND(ISNUMBER(V20),V20&gt;1),V20*0.85,1)   ),IF( S20="S",INDEX($AD$4:$AD$503,MATCH(P20,$AB$4:$AB$503,0),1),INDEX($AD$4:$AD$503,MATCH(P20,$AB$4:$AB$503,0),1)&amp;"-"&amp;INDEX($AD$4:$AD$503,MATCH(Q20,$AB$4:$AB$503,0),1))),"")</f>
        <v/>
      </c>
      <c r="AG20" s="133" t="str">
        <f t="shared" si="9"/>
        <v/>
      </c>
      <c r="AH20" s="134" t="str">
        <f t="shared" ref="AH20:AH67" si="16">IF(direction&lt;&gt;"Vertical",IF(S20="R","",IF(AF20&lt;&gt;AF21,"x",IF(AND(AF20&lt;&gt;AF22,Y20="No"),"x",""))),IF(S20="R","",IF(AE20&lt;&gt;AE21,"x",IF(AND(AE20&lt;&gt;AE22,Y20="No"),"x",""))))</f>
        <v/>
      </c>
      <c r="AI20" s="135" t="str">
        <f t="shared" si="3"/>
        <v/>
      </c>
      <c r="AJ20" s="135" t="str">
        <f t="shared" si="11"/>
        <v/>
      </c>
      <c r="AK20" s="126" t="str">
        <f t="shared" si="4"/>
        <v/>
      </c>
      <c r="AL20" s="126" t="str">
        <f ca="1">IFERROR(IF(AK20="","", MATCH(AK20,OFFSET(Icons!$B$5,1,AM20-3,20,1),0)+5),"")</f>
        <v/>
      </c>
      <c r="AM20" s="126" t="str">
        <f t="shared" si="12"/>
        <v/>
      </c>
      <c r="AN20" s="90"/>
      <c r="AW20" s="123">
        <v>3</v>
      </c>
      <c r="AX20" s="172" t="str">
        <f t="array" ref="AX20">IF(INDEX(iconsTable,ROW(AX20)-ROW($AX$3),1)="","",INDEX(iconsTable,ROW(AX20)-ROW($AX$3),1))</f>
        <v/>
      </c>
      <c r="AY20" s="123" t="str">
        <f t="shared" si="13"/>
        <v/>
      </c>
      <c r="AZ20" s="137" t="str">
        <f t="shared" si="14"/>
        <v>crab</v>
      </c>
    </row>
    <row r="21" spans="5:52" ht="15" customHeight="1" x14ac:dyDescent="0.25">
      <c r="E21" s="126">
        <v>18</v>
      </c>
      <c r="F21" s="126"/>
      <c r="G21" s="127"/>
      <c r="H21" s="127"/>
      <c r="I21" s="126"/>
      <c r="K21" s="137" t="str">
        <f t="shared" si="5"/>
        <v/>
      </c>
      <c r="L21" s="127" t="str">
        <f t="shared" si="0"/>
        <v/>
      </c>
      <c r="N21" s="128" t="str">
        <f t="shared" si="6"/>
        <v/>
      </c>
      <c r="O21" s="126" t="str">
        <f t="array" ref="O21">IFERROR(SMALL(IF(($G$4:$G$253=P21),ROW($G$4:$G$253)-ROW($G$3),"" ),N21),"")</f>
        <v/>
      </c>
      <c r="P21" s="127" t="str">
        <f t="array" ref="P21">IFERROR(SMALL($G$4:$G$253,E21),"")</f>
        <v/>
      </c>
      <c r="Q21" s="127" t="str">
        <f t="shared" si="7"/>
        <v/>
      </c>
      <c r="R21" s="126" t="str">
        <f t="shared" si="8"/>
        <v/>
      </c>
      <c r="S21" s="126" t="str">
        <f t="shared" si="1"/>
        <v/>
      </c>
      <c r="T21" s="128" t="str">
        <f>IF(OR(S21="R",S21=""),"",COUNTIFS($P$4:P21,P21,$S$4:S21,"S")*U21)</f>
        <v/>
      </c>
      <c r="U21" s="128" t="str">
        <f>IF(ISNUMBER(N21),IF($C$11=TRUE,IF(OR(ISODD(COUNTIF($N$4:N21,1)),Y21="Yes"),1,-1),1),"")</f>
        <v/>
      </c>
      <c r="V21" s="128" t="str">
        <f ca="1">IFERROR(IF(AND(S21="R",W21&lt;&gt;""),1,IF(S21="R",MAX(OFFSET(V20,0,0,-1*(ROW(W21)-3-MATCH(MAX($W$4:W20),$W$4:W20,0)),1))+1,"")),"")</f>
        <v/>
      </c>
      <c r="W21" s="129" t="str">
        <f>IFERROR(IF(AND(S21="R", P21&gt;MAX($X$3:X20)),P21,""),"")</f>
        <v/>
      </c>
      <c r="X21" s="129" t="str">
        <f>IFERROR(IF(AND(W21="",Q21&gt;=MAX($X$3:X20)),IF(S21="R",Q21,IF(AND(W21="",P21&lt;=MAX($X$3:X20)),MAX($X$3:X20),"")),IF(W21&lt;&gt;"", Q21,"")),"")</f>
        <v/>
      </c>
      <c r="Y21" s="126" t="str">
        <f>IF(S21="S",IF(OR(P21&lt;=MAX($X$3:X20),P21&gt;=IF(MIN(W22:$W$53)&lt;1,99999999,MIN(W22:$W$53))),"Yes","No"),"")</f>
        <v/>
      </c>
      <c r="AA21" s="130" t="str">
        <f t="shared" si="2"/>
        <v/>
      </c>
      <c r="AB21" s="131" t="str">
        <f t="array" ref="AB21">IF(AA21&lt;=$AA$2,MIN(IF($L$4:$L$503&lt;=AB20,99999999999,$L$4:$L$503)),"")</f>
        <v/>
      </c>
      <c r="AC21" s="130" t="str">
        <f>IF(ISNUMBER(AA21),IF(Dashboard!$H$6&lt;&gt;"Horizontal",AC20+dateDistance,AC20),"")</f>
        <v/>
      </c>
      <c r="AD21" s="130" t="str">
        <f>IF(ISNUMBER(AA21),IF(Dashboard!$H$6="Horizontal",AD20+dateDistance,AD20),"")</f>
        <v/>
      </c>
      <c r="AE21" s="132" t="str">
        <f>IF(ISNUMBER(P21), IF(Dashboard!$H$6="Horizontal",IF(S21="S",INDEX($AC$4:$AC$503,MATCH(P21,$AB$4:$AB$503,0),1)+boxDistance*(T21+IF(Y21="No",IF(ISODD(T21),IF(T21&gt;0,1,-1),0),0))*IF(Y21="No",IF(ISODD(T21),0.5,-0.5),1),timelineStartRow - boxDistance * V21),IF( S21="S",INDEX($AC$4:$AC$503,MATCH(P21,$AB$4:$AB$503,0),1),INDEX($AC$4:$AC$503,MATCH(P21,$AB$4:$AB$503,0),1)&amp;"-"&amp;INDEX($AC$4:$AC$503,MATCH(Q21,$AB$4:$AB$503,0),1))),"")</f>
        <v/>
      </c>
      <c r="AF21" s="132" t="str">
        <f>IF(ISNUMBER(P21), IF(Dashboard!$H$6&lt;&gt;"Horizontal",IF(S21="S",INDEX($AD$4:$AD$503,MATCH(P21,$AB$4:$AB$503,0),1)+boxDistance*(T21+IF(Y21="No",IF(ISODD(T21),IF(T21&gt;0,1,-1),0),0))*IF(Y21="No",IF(ISODD(T21),0.5,-0.5),1),timelineStartColumn-boxDistance * IF(AND(ISNUMBER(V21),V21&gt;1),V21*0.85,1)   ),IF( S21="S",INDEX($AD$4:$AD$503,MATCH(P21,$AB$4:$AB$503,0),1),INDEX($AD$4:$AD$503,MATCH(P21,$AB$4:$AB$503,0),1)&amp;"-"&amp;INDEX($AD$4:$AD$503,MATCH(Q21,$AB$4:$AB$503,0),1))),"")</f>
        <v/>
      </c>
      <c r="AG21" s="133" t="str">
        <f t="shared" si="9"/>
        <v/>
      </c>
      <c r="AH21" s="134" t="str">
        <f t="shared" si="16"/>
        <v/>
      </c>
      <c r="AI21" s="135" t="str">
        <f t="shared" si="3"/>
        <v/>
      </c>
      <c r="AJ21" s="135" t="str">
        <f t="shared" si="11"/>
        <v/>
      </c>
      <c r="AK21" s="126" t="str">
        <f t="shared" si="4"/>
        <v/>
      </c>
      <c r="AL21" s="126" t="str">
        <f ca="1">IFERROR(IF(AK21="","", MATCH(AK21,OFFSET(Icons!$B$5,1,AM21-3,20,1),0)+5),"")</f>
        <v/>
      </c>
      <c r="AM21" s="126" t="str">
        <f t="shared" si="12"/>
        <v/>
      </c>
      <c r="AN21" s="90"/>
      <c r="AW21" s="123">
        <v>3</v>
      </c>
      <c r="AX21" s="172" t="str">
        <f t="array" ref="AX21">IF(INDEX(iconsTable,ROW(AX21)-ROW($AX$3),1)="","",INDEX(iconsTable,ROW(AX21)-ROW($AX$3),1))</f>
        <v/>
      </c>
      <c r="AY21" s="123" t="str">
        <f t="shared" si="13"/>
        <v/>
      </c>
      <c r="AZ21" s="137" t="str">
        <f t="shared" si="14"/>
        <v>crown</v>
      </c>
    </row>
    <row r="22" spans="5:52" ht="15" customHeight="1" x14ac:dyDescent="0.25">
      <c r="E22" s="126">
        <v>19</v>
      </c>
      <c r="F22" s="126"/>
      <c r="G22" s="127"/>
      <c r="H22" s="127"/>
      <c r="I22" s="126"/>
      <c r="K22" s="137" t="str">
        <f t="shared" si="5"/>
        <v/>
      </c>
      <c r="L22" s="127" t="str">
        <f t="shared" si="0"/>
        <v/>
      </c>
      <c r="N22" s="128" t="str">
        <f t="shared" si="6"/>
        <v/>
      </c>
      <c r="O22" s="126" t="str">
        <f t="array" ref="O22">IFERROR(SMALL(IF(($G$4:$G$253=P22),ROW($G$4:$G$253)-ROW($G$3),"" ),N22),"")</f>
        <v/>
      </c>
      <c r="P22" s="127" t="str">
        <f t="array" ref="P22">IFERROR(SMALL($G$4:$G$253,E22),"")</f>
        <v/>
      </c>
      <c r="Q22" s="127" t="str">
        <f t="shared" si="7"/>
        <v/>
      </c>
      <c r="R22" s="126" t="str">
        <f t="shared" si="8"/>
        <v/>
      </c>
      <c r="S22" s="126" t="str">
        <f t="shared" si="1"/>
        <v/>
      </c>
      <c r="T22" s="128" t="str">
        <f>IF(OR(S22="R",S22=""),"",COUNTIFS($P$4:P22,P22,$S$4:S22,"S")*U22)</f>
        <v/>
      </c>
      <c r="U22" s="128" t="str">
        <f>IF(ISNUMBER(N22),IF($C$11=TRUE,IF(OR(ISODD(COUNTIF($N$4:N22,1)),Y22="Yes"),1,-1),1),"")</f>
        <v/>
      </c>
      <c r="V22" s="128" t="str">
        <f ca="1">IFERROR(IF(AND(S22="R",W22&lt;&gt;""),1,IF(S22="R",MAX(OFFSET(V21,0,0,-1*(ROW(W22)-3-MATCH(MAX($W$4:W21),$W$4:W21,0)),1))+1,"")),"")</f>
        <v/>
      </c>
      <c r="W22" s="129" t="str">
        <f>IFERROR(IF(AND(S22="R", P22&gt;MAX($X$3:X21)),P22,""),"")</f>
        <v/>
      </c>
      <c r="X22" s="129" t="str">
        <f>IFERROR(IF(AND(W22="",Q22&gt;=MAX($X$3:X21)),IF(S22="R",Q22,IF(AND(W22="",P22&lt;=MAX($X$3:X21)),MAX($X$3:X21),"")),IF(W22&lt;&gt;"", Q22,"")),"")</f>
        <v/>
      </c>
      <c r="Y22" s="126" t="str">
        <f>IF(S22="S",IF(OR(P22&lt;=MAX($X$3:X21),P22&gt;=IF(MIN(W23:$W$53)&lt;1,99999999,MIN(W23:$W$53))),"Yes","No"),"")</f>
        <v/>
      </c>
      <c r="AA22" s="130" t="str">
        <f t="shared" si="2"/>
        <v/>
      </c>
      <c r="AB22" s="131" t="str">
        <f t="array" ref="AB22">IF(AA22&lt;=$AA$2,MIN(IF($L$4:$L$503&lt;=AB21,99999999999,$L$4:$L$503)),"")</f>
        <v/>
      </c>
      <c r="AC22" s="130" t="str">
        <f>IF(ISNUMBER(AA22),IF(Dashboard!$H$6&lt;&gt;"Horizontal",AC21+dateDistance,AC21),"")</f>
        <v/>
      </c>
      <c r="AD22" s="130" t="str">
        <f>IF(ISNUMBER(AA22),IF(Dashboard!$H$6="Horizontal",AD21+dateDistance,AD21),"")</f>
        <v/>
      </c>
      <c r="AE22" s="132" t="str">
        <f>IF(ISNUMBER(P22), IF(Dashboard!$H$6="Horizontal",IF(S22="S",INDEX($AC$4:$AC$503,MATCH(P22,$AB$4:$AB$503,0),1)+boxDistance*(T22+IF(Y22="No",IF(ISODD(T22),IF(T22&gt;0,1,-1),0),0))*IF(Y22="No",IF(ISODD(T22),0.5,-0.5),1),timelineStartRow - boxDistance * V22),IF( S22="S",INDEX($AC$4:$AC$503,MATCH(P22,$AB$4:$AB$503,0),1),INDEX($AC$4:$AC$503,MATCH(P22,$AB$4:$AB$503,0),1)&amp;"-"&amp;INDEX($AC$4:$AC$503,MATCH(Q22,$AB$4:$AB$503,0),1))),"")</f>
        <v/>
      </c>
      <c r="AF22" s="132" t="str">
        <f>IF(ISNUMBER(P22), IF(Dashboard!$H$6&lt;&gt;"Horizontal",IF(S22="S",INDEX($AD$4:$AD$503,MATCH(P22,$AB$4:$AB$503,0),1)+boxDistance*(T22+IF(Y22="No",IF(ISODD(T22),IF(T22&gt;0,1,-1),0),0))*IF(Y22="No",IF(ISODD(T22),0.5,-0.5),1),timelineStartColumn-boxDistance * IF(AND(ISNUMBER(V22),V22&gt;1),V22*0.85,1)   ),IF( S22="S",INDEX($AD$4:$AD$503,MATCH(P22,$AB$4:$AB$503,0),1),INDEX($AD$4:$AD$503,MATCH(P22,$AB$4:$AB$503,0),1)&amp;"-"&amp;INDEX($AD$4:$AD$503,MATCH(Q22,$AB$4:$AB$503,0),1))),"")</f>
        <v/>
      </c>
      <c r="AG22" s="133" t="str">
        <f t="shared" si="9"/>
        <v/>
      </c>
      <c r="AH22" s="134" t="str">
        <f t="shared" si="16"/>
        <v/>
      </c>
      <c r="AI22" s="135" t="str">
        <f t="shared" si="3"/>
        <v/>
      </c>
      <c r="AJ22" s="135" t="str">
        <f t="shared" si="11"/>
        <v/>
      </c>
      <c r="AK22" s="126" t="str">
        <f t="shared" si="4"/>
        <v/>
      </c>
      <c r="AL22" s="126" t="str">
        <f ca="1">IFERROR(IF(AK22="","", MATCH(AK22,OFFSET(Icons!$B$5,1,AM22-3,20,1),0)+5),"")</f>
        <v/>
      </c>
      <c r="AM22" s="126" t="str">
        <f t="shared" si="12"/>
        <v/>
      </c>
      <c r="AN22" s="90"/>
      <c r="AW22" s="123">
        <v>3</v>
      </c>
      <c r="AX22" s="172" t="str">
        <f t="array" ref="AX22">IF(INDEX(iconsTable,ROW(AX22)-ROW($AX$3),1)="","",INDEX(iconsTable,ROW(AX22)-ROW($AX$3),1))</f>
        <v/>
      </c>
      <c r="AY22" s="123" t="str">
        <f t="shared" si="13"/>
        <v/>
      </c>
      <c r="AZ22" s="137" t="str">
        <f t="shared" si="14"/>
        <v>cupid's_ arrow</v>
      </c>
    </row>
    <row r="23" spans="5:52" ht="15" customHeight="1" x14ac:dyDescent="0.25">
      <c r="E23" s="126">
        <v>20</v>
      </c>
      <c r="F23" s="126"/>
      <c r="G23" s="127"/>
      <c r="H23" s="127"/>
      <c r="I23" s="126"/>
      <c r="K23" s="137" t="str">
        <f t="shared" si="5"/>
        <v/>
      </c>
      <c r="L23" s="127" t="str">
        <f t="shared" si="0"/>
        <v/>
      </c>
      <c r="N23" s="128" t="str">
        <f t="shared" si="6"/>
        <v/>
      </c>
      <c r="O23" s="126" t="str">
        <f t="array" ref="O23">IFERROR(SMALL(IF(($G$4:$G$253=P23),ROW($G$4:$G$253)-ROW($G$3),"" ),N23),"")</f>
        <v/>
      </c>
      <c r="P23" s="127" t="str">
        <f t="array" ref="P23">IFERROR(SMALL($G$4:$G$253,E23),"")</f>
        <v/>
      </c>
      <c r="Q23" s="127" t="str">
        <f t="shared" si="7"/>
        <v/>
      </c>
      <c r="R23" s="126" t="str">
        <f t="shared" si="8"/>
        <v/>
      </c>
      <c r="S23" s="126" t="str">
        <f t="shared" si="1"/>
        <v/>
      </c>
      <c r="T23" s="128" t="str">
        <f>IF(OR(S23="R",S23=""),"",COUNTIFS($P$4:P23,P23,$S$4:S23,"S")*U23)</f>
        <v/>
      </c>
      <c r="U23" s="128" t="str">
        <f>IF(ISNUMBER(N23),IF($C$11=TRUE,IF(OR(ISODD(COUNTIF($N$4:N23,1)),Y23="Yes"),1,-1),1),"")</f>
        <v/>
      </c>
      <c r="V23" s="128" t="str">
        <f ca="1">IFERROR(IF(AND(S23="R",W23&lt;&gt;""),1,IF(S23="R",MAX(OFFSET(V22,0,0,-1*(ROW(W23)-3-MATCH(MAX($W$4:W22),$W$4:W22,0)),1))+1,"")),"")</f>
        <v/>
      </c>
      <c r="W23" s="129" t="str">
        <f>IFERROR(IF(AND(S23="R", P23&gt;MAX($X$3:X22)),P23,""),"")</f>
        <v/>
      </c>
      <c r="X23" s="129" t="str">
        <f>IFERROR(IF(AND(W23="",Q23&gt;=MAX($X$3:X22)),IF(S23="R",Q23,IF(AND(W23="",P23&lt;=MAX($X$3:X22)),MAX($X$3:X22),"")),IF(W23&lt;&gt;"", Q23,"")),"")</f>
        <v/>
      </c>
      <c r="Y23" s="126" t="str">
        <f>IF(S23="S",IF(OR(P23&lt;=MAX($X$3:X22),P23&gt;=IF(MIN(W24:$W$53)&lt;1,99999999,MIN(W24:$W$53))),"Yes","No"),"")</f>
        <v/>
      </c>
      <c r="AA23" s="130" t="str">
        <f t="shared" si="2"/>
        <v/>
      </c>
      <c r="AB23" s="131" t="str">
        <f t="array" ref="AB23">IF(AA23&lt;=$AA$2,MIN(IF($L$4:$L$503&lt;=AB22,99999999999,$L$4:$L$503)),"")</f>
        <v/>
      </c>
      <c r="AC23" s="130" t="str">
        <f>IF(ISNUMBER(AA23),IF(Dashboard!$H$6&lt;&gt;"Horizontal",AC22+dateDistance,AC22),"")</f>
        <v/>
      </c>
      <c r="AD23" s="130" t="str">
        <f>IF(ISNUMBER(AA23),IF(Dashboard!$H$6="Horizontal",AD22+dateDistance,AD22),"")</f>
        <v/>
      </c>
      <c r="AE23" s="132" t="str">
        <f>IF(ISNUMBER(P23), IF(Dashboard!$H$6="Horizontal",IF(S23="S",INDEX($AC$4:$AC$503,MATCH(P23,$AB$4:$AB$503,0),1)+boxDistance*(T23+IF(Y23="No",IF(ISODD(T23),IF(T23&gt;0,1,-1),0),0))*IF(Y23="No",IF(ISODD(T23),0.5,-0.5),1),timelineStartRow - boxDistance * V23),IF( S23="S",INDEX($AC$4:$AC$503,MATCH(P23,$AB$4:$AB$503,0),1),INDEX($AC$4:$AC$503,MATCH(P23,$AB$4:$AB$503,0),1)&amp;"-"&amp;INDEX($AC$4:$AC$503,MATCH(Q23,$AB$4:$AB$503,0),1))),"")</f>
        <v/>
      </c>
      <c r="AF23" s="132" t="str">
        <f>IF(ISNUMBER(P23), IF(Dashboard!$H$6&lt;&gt;"Horizontal",IF(S23="S",INDEX($AD$4:$AD$503,MATCH(P23,$AB$4:$AB$503,0),1)+boxDistance*(T23+IF(Y23="No",IF(ISODD(T23),IF(T23&gt;0,1,-1),0),0))*IF(Y23="No",IF(ISODD(T23),0.5,-0.5),1),timelineStartColumn-boxDistance * IF(AND(ISNUMBER(V23),V23&gt;1),V23*0.85,1)   ),IF( S23="S",INDEX($AD$4:$AD$503,MATCH(P23,$AB$4:$AB$503,0),1),INDEX($AD$4:$AD$503,MATCH(P23,$AB$4:$AB$503,0),1)&amp;"-"&amp;INDEX($AD$4:$AD$503,MATCH(Q23,$AB$4:$AB$503,0),1))),"")</f>
        <v/>
      </c>
      <c r="AG23" s="133" t="str">
        <f t="shared" si="9"/>
        <v/>
      </c>
      <c r="AH23" s="134" t="str">
        <f t="shared" si="16"/>
        <v/>
      </c>
      <c r="AI23" s="135" t="str">
        <f t="shared" si="3"/>
        <v/>
      </c>
      <c r="AJ23" s="135" t="str">
        <f t="shared" si="11"/>
        <v/>
      </c>
      <c r="AK23" s="126" t="str">
        <f t="shared" si="4"/>
        <v/>
      </c>
      <c r="AL23" s="126" t="str">
        <f ca="1">IFERROR(IF(AK23="","", MATCH(AK23,OFFSET(Icons!$B$5,1,AM23-3,20,1),0)+5),"")</f>
        <v/>
      </c>
      <c r="AM23" s="126" t="str">
        <f t="shared" si="12"/>
        <v/>
      </c>
      <c r="AN23" s="90"/>
      <c r="AW23" s="123">
        <v>3</v>
      </c>
      <c r="AX23" s="172" t="str">
        <f t="array" ref="AX23">IF(INDEX(iconsTable,ROW(AX23)-ROW($AX$3),1)="","",INDEX(iconsTable,ROW(AX23)-ROW($AX$3),1))</f>
        <v/>
      </c>
      <c r="AY23" s="123" t="str">
        <f t="shared" si="13"/>
        <v/>
      </c>
      <c r="AZ23" s="137" t="str">
        <f t="shared" si="14"/>
        <v>departure</v>
      </c>
    </row>
    <row r="24" spans="5:52" ht="15" customHeight="1" x14ac:dyDescent="0.25">
      <c r="E24" s="126">
        <v>21</v>
      </c>
      <c r="F24" s="126"/>
      <c r="G24" s="127"/>
      <c r="H24" s="127"/>
      <c r="I24" s="126"/>
      <c r="K24" s="137" t="str">
        <f t="shared" si="5"/>
        <v/>
      </c>
      <c r="L24" s="127" t="str">
        <f t="shared" si="0"/>
        <v/>
      </c>
      <c r="N24" s="128" t="str">
        <f t="shared" si="6"/>
        <v/>
      </c>
      <c r="O24" s="126" t="str">
        <f t="array" ref="O24">IFERROR(SMALL(IF(($G$4:$G$253=P24),ROW($G$4:$G$253)-ROW($G$3),"" ),N24),"")</f>
        <v/>
      </c>
      <c r="P24" s="127" t="str">
        <f t="array" ref="P24">IFERROR(SMALL($G$4:$G$253,E24),"")</f>
        <v/>
      </c>
      <c r="Q24" s="127" t="str">
        <f t="shared" si="7"/>
        <v/>
      </c>
      <c r="R24" s="126" t="str">
        <f t="shared" si="8"/>
        <v/>
      </c>
      <c r="S24" s="126" t="str">
        <f t="shared" si="1"/>
        <v/>
      </c>
      <c r="T24" s="128" t="str">
        <f>IF(OR(S24="R",S24=""),"",COUNTIFS($P$4:P24,P24,$S$4:S24,"S")*U24)</f>
        <v/>
      </c>
      <c r="U24" s="128" t="str">
        <f>IF(ISNUMBER(N24),IF($C$11=TRUE,IF(OR(ISODD(COUNTIF($N$4:N24,1)),Y24="Yes"),1,-1),1),"")</f>
        <v/>
      </c>
      <c r="V24" s="128" t="str">
        <f ca="1">IFERROR(IF(AND(S24="R",W24&lt;&gt;""),1,IF(S24="R",MAX(OFFSET(V23,0,0,-1*(ROW(W24)-3-MATCH(MAX($W$4:W23),$W$4:W23,0)),1))+1,"")),"")</f>
        <v/>
      </c>
      <c r="W24" s="129" t="str">
        <f>IFERROR(IF(AND(S24="R", P24&gt;MAX($X$3:X23)),P24,""),"")</f>
        <v/>
      </c>
      <c r="X24" s="129" t="str">
        <f>IFERROR(IF(AND(W24="",Q24&gt;=MAX($X$3:X23)),IF(S24="R",Q24,IF(AND(W24="",P24&lt;=MAX($X$3:X23)),MAX($X$3:X23),"")),IF(W24&lt;&gt;"", Q24,"")),"")</f>
        <v/>
      </c>
      <c r="Y24" s="126" t="str">
        <f>IF(S24="S",IF(OR(P24&lt;=MAX($X$3:X23),P24&gt;=IF(MIN(W25:$W$53)&lt;1,99999999,MIN(W25:$W$53))),"Yes","No"),"")</f>
        <v/>
      </c>
      <c r="AA24" s="130" t="str">
        <f t="shared" si="2"/>
        <v/>
      </c>
      <c r="AB24" s="131" t="str">
        <f t="array" ref="AB24">IF(AA24&lt;=$AA$2,MIN(IF($L$4:$L$503&lt;=AB23,99999999999,$L$4:$L$503)),"")</f>
        <v/>
      </c>
      <c r="AC24" s="130" t="str">
        <f>IF(ISNUMBER(AA24),IF(Dashboard!$H$6&lt;&gt;"Horizontal",AC23+dateDistance,AC23),"")</f>
        <v/>
      </c>
      <c r="AD24" s="130" t="str">
        <f>IF(ISNUMBER(AA24),IF(Dashboard!$H$6="Horizontal",AD23+dateDistance,AD23),"")</f>
        <v/>
      </c>
      <c r="AE24" s="132" t="str">
        <f>IF(ISNUMBER(P24), IF(Dashboard!$H$6="Horizontal",IF(S24="S",INDEX($AC$4:$AC$503,MATCH(P24,$AB$4:$AB$503,0),1)+boxDistance*(T24+IF(Y24="No",IF(ISODD(T24),IF(T24&gt;0,1,-1),0),0))*IF(Y24="No",IF(ISODD(T24),0.5,-0.5),1),timelineStartRow - boxDistance * V24),IF( S24="S",INDEX($AC$4:$AC$503,MATCH(P24,$AB$4:$AB$503,0),1),INDEX($AC$4:$AC$503,MATCH(P24,$AB$4:$AB$503,0),1)&amp;"-"&amp;INDEX($AC$4:$AC$503,MATCH(Q24,$AB$4:$AB$503,0),1))),"")</f>
        <v/>
      </c>
      <c r="AF24" s="132" t="str">
        <f>IF(ISNUMBER(P24), IF(Dashboard!$H$6&lt;&gt;"Horizontal",IF(S24="S",INDEX($AD$4:$AD$503,MATCH(P24,$AB$4:$AB$503,0),1)+boxDistance*(T24+IF(Y24="No",IF(ISODD(T24),IF(T24&gt;0,1,-1),0),0))*IF(Y24="No",IF(ISODD(T24),0.5,-0.5),1),timelineStartColumn-boxDistance * IF(AND(ISNUMBER(V24),V24&gt;1),V24*0.85,1)   ),IF( S24="S",INDEX($AD$4:$AD$503,MATCH(P24,$AB$4:$AB$503,0),1),INDEX($AD$4:$AD$503,MATCH(P24,$AB$4:$AB$503,0),1)&amp;"-"&amp;INDEX($AD$4:$AD$503,MATCH(Q24,$AB$4:$AB$503,0),1))),"")</f>
        <v/>
      </c>
      <c r="AG24" s="133" t="str">
        <f t="shared" si="9"/>
        <v/>
      </c>
      <c r="AH24" s="134" t="str">
        <f t="shared" si="16"/>
        <v/>
      </c>
      <c r="AI24" s="135" t="str">
        <f t="shared" si="3"/>
        <v/>
      </c>
      <c r="AJ24" s="135" t="str">
        <f t="shared" si="11"/>
        <v/>
      </c>
      <c r="AK24" s="126" t="str">
        <f t="shared" si="4"/>
        <v/>
      </c>
      <c r="AL24" s="126" t="str">
        <f ca="1">IFERROR(IF(AK24="","", MATCH(AK24,OFFSET(Icons!$B$5,1,AM24-3,20,1),0)+5),"")</f>
        <v/>
      </c>
      <c r="AM24" s="126" t="str">
        <f t="shared" si="12"/>
        <v/>
      </c>
      <c r="AN24" s="90"/>
      <c r="AW24" s="123">
        <v>5</v>
      </c>
      <c r="AX24" s="172" t="str">
        <f t="array" ref="AX24">IF(INDEX(iconsTable,ROW(AX4)-ROW($AX$3),3)="","",INDEX(iconsTable,ROW(AX4)-ROW($AX$3),3))</f>
        <v>cough</v>
      </c>
      <c r="AY24" s="123">
        <f t="shared" si="13"/>
        <v>41</v>
      </c>
      <c r="AZ24" s="137" t="str">
        <f t="shared" si="14"/>
        <v>diploma</v>
      </c>
    </row>
    <row r="25" spans="5:52" ht="15" customHeight="1" x14ac:dyDescent="0.25">
      <c r="E25" s="126">
        <v>22</v>
      </c>
      <c r="F25" s="126"/>
      <c r="G25" s="127"/>
      <c r="H25" s="127"/>
      <c r="I25" s="126"/>
      <c r="K25" s="137" t="str">
        <f t="shared" si="5"/>
        <v/>
      </c>
      <c r="L25" s="127" t="str">
        <f t="shared" si="0"/>
        <v/>
      </c>
      <c r="N25" s="128" t="str">
        <f t="shared" si="6"/>
        <v/>
      </c>
      <c r="O25" s="126" t="str">
        <f t="array" ref="O25">IFERROR(SMALL(IF(($G$4:$G$253=P25),ROW($G$4:$G$253)-ROW($G$3),"" ),N25),"")</f>
        <v/>
      </c>
      <c r="P25" s="127" t="str">
        <f t="array" ref="P25">IFERROR(SMALL($G$4:$G$253,E25),"")</f>
        <v/>
      </c>
      <c r="Q25" s="127" t="str">
        <f t="shared" si="7"/>
        <v/>
      </c>
      <c r="R25" s="126" t="str">
        <f t="shared" si="8"/>
        <v/>
      </c>
      <c r="S25" s="126" t="str">
        <f t="shared" si="1"/>
        <v/>
      </c>
      <c r="T25" s="128" t="str">
        <f>IF(OR(S25="R",S25=""),"",COUNTIFS($P$4:P25,P25,$S$4:S25,"S")*U25)</f>
        <v/>
      </c>
      <c r="U25" s="128" t="str">
        <f>IF(ISNUMBER(N25),IF($C$11=TRUE,IF(OR(ISODD(COUNTIF($N$4:N25,1)),Y25="Yes"),1,-1),1),"")</f>
        <v/>
      </c>
      <c r="V25" s="128" t="str">
        <f ca="1">IFERROR(IF(AND(S25="R",W25&lt;&gt;""),1,IF(S25="R",MAX(OFFSET(V24,0,0,-1*(ROW(W25)-3-MATCH(MAX($W$4:W24),$W$4:W24,0)),1))+1,"")),"")</f>
        <v/>
      </c>
      <c r="W25" s="129" t="str">
        <f>IFERROR(IF(AND(S25="R", P25&gt;MAX($X$3:X24)),P25,""),"")</f>
        <v/>
      </c>
      <c r="X25" s="129" t="str">
        <f>IFERROR(IF(AND(W25="",Q25&gt;=MAX($X$3:X24)),IF(S25="R",Q25,IF(AND(W25="",P25&lt;=MAX($X$3:X24)),MAX($X$3:X24),"")),IF(W25&lt;&gt;"", Q25,"")),"")</f>
        <v/>
      </c>
      <c r="Y25" s="126" t="str">
        <f>IF(S25="S",IF(OR(P25&lt;=MAX($X$3:X24),P25&gt;=IF(MIN(W26:$W$53)&lt;1,99999999,MIN(W26:$W$53))),"Yes","No"),"")</f>
        <v/>
      </c>
      <c r="AA25" s="130" t="str">
        <f t="shared" si="2"/>
        <v/>
      </c>
      <c r="AB25" s="131" t="str">
        <f t="array" ref="AB25">IF(AA25&lt;=$AA$2,MIN(IF($L$4:$L$503&lt;=AB24,99999999999,$L$4:$L$503)),"")</f>
        <v/>
      </c>
      <c r="AC25" s="130" t="str">
        <f>IF(ISNUMBER(AA25),IF(Dashboard!$H$6&lt;&gt;"Horizontal",AC24+dateDistance,AC24),"")</f>
        <v/>
      </c>
      <c r="AD25" s="130" t="str">
        <f>IF(ISNUMBER(AA25),IF(Dashboard!$H$6="Horizontal",AD24+dateDistance,AD24),"")</f>
        <v/>
      </c>
      <c r="AE25" s="132" t="str">
        <f>IF(ISNUMBER(P25), IF(Dashboard!$H$6="Horizontal",IF(S25="S",INDEX($AC$4:$AC$503,MATCH(P25,$AB$4:$AB$503,0),1)+boxDistance*(T25+IF(Y25="No",IF(ISODD(T25),IF(T25&gt;0,1,-1),0),0))*IF(Y25="No",IF(ISODD(T25),0.5,-0.5),1),timelineStartRow - boxDistance * V25),IF( S25="S",INDEX($AC$4:$AC$503,MATCH(P25,$AB$4:$AB$503,0),1),INDEX($AC$4:$AC$503,MATCH(P25,$AB$4:$AB$503,0),1)&amp;"-"&amp;INDEX($AC$4:$AC$503,MATCH(Q25,$AB$4:$AB$503,0),1))),"")</f>
        <v/>
      </c>
      <c r="AF25" s="132" t="str">
        <f>IF(ISNUMBER(P25), IF(Dashboard!$H$6&lt;&gt;"Horizontal",IF(S25="S",INDEX($AD$4:$AD$503,MATCH(P25,$AB$4:$AB$503,0),1)+boxDistance*(T25+IF(Y25="No",IF(ISODD(T25),IF(T25&gt;0,1,-1),0),0))*IF(Y25="No",IF(ISODD(T25),0.5,-0.5),1),timelineStartColumn-boxDistance * IF(AND(ISNUMBER(V25),V25&gt;1),V25*0.85,1)   ),IF( S25="S",INDEX($AD$4:$AD$503,MATCH(P25,$AB$4:$AB$503,0),1),INDEX($AD$4:$AD$503,MATCH(P25,$AB$4:$AB$503,0),1)&amp;"-"&amp;INDEX($AD$4:$AD$503,MATCH(Q25,$AB$4:$AB$503,0),1))),"")</f>
        <v/>
      </c>
      <c r="AG25" s="133" t="str">
        <f t="shared" si="9"/>
        <v/>
      </c>
      <c r="AH25" s="134" t="str">
        <f t="shared" si="16"/>
        <v/>
      </c>
      <c r="AI25" s="135" t="str">
        <f t="shared" si="3"/>
        <v/>
      </c>
      <c r="AJ25" s="135" t="str">
        <f t="shared" si="11"/>
        <v/>
      </c>
      <c r="AK25" s="126" t="str">
        <f t="shared" si="4"/>
        <v/>
      </c>
      <c r="AL25" s="126" t="str">
        <f ca="1">IFERROR(IF(AK25="","", MATCH(AK25,OFFSET(Icons!$B$5,1,AM25-3,20,1),0)+5),"")</f>
        <v/>
      </c>
      <c r="AM25" s="126" t="str">
        <f t="shared" si="12"/>
        <v/>
      </c>
      <c r="AN25" s="90"/>
      <c r="AW25" s="123">
        <v>5</v>
      </c>
      <c r="AX25" s="172" t="str">
        <f t="array" ref="AX25">IF(INDEX(iconsTable,ROW(AX5)-ROW($AX$3),3)="","",INDEX(iconsTable,ROW(AX5)-ROW($AX$3),3))</f>
        <v>crab</v>
      </c>
      <c r="AY25" s="123">
        <f t="shared" si="13"/>
        <v>42</v>
      </c>
      <c r="AZ25" s="137" t="str">
        <f t="shared" si="14"/>
        <v>dirty_hands</v>
      </c>
    </row>
    <row r="26" spans="5:52" ht="15" customHeight="1" x14ac:dyDescent="0.25">
      <c r="E26" s="126">
        <v>23</v>
      </c>
      <c r="F26" s="126"/>
      <c r="G26" s="127"/>
      <c r="H26" s="127"/>
      <c r="I26" s="126"/>
      <c r="K26" s="137" t="str">
        <f t="shared" si="5"/>
        <v/>
      </c>
      <c r="L26" s="127" t="str">
        <f t="shared" si="0"/>
        <v/>
      </c>
      <c r="N26" s="128" t="str">
        <f t="shared" si="6"/>
        <v/>
      </c>
      <c r="O26" s="126" t="str">
        <f t="array" ref="O26">IFERROR(SMALL(IF(($G$4:$G$253=P26),ROW($G$4:$G$253)-ROW($G$3),"" ),N26),"")</f>
        <v/>
      </c>
      <c r="P26" s="127" t="str">
        <f t="array" ref="P26">IFERROR(SMALL($G$4:$G$253,E26),"")</f>
        <v/>
      </c>
      <c r="Q26" s="127" t="str">
        <f t="shared" si="7"/>
        <v/>
      </c>
      <c r="R26" s="126" t="str">
        <f t="shared" si="8"/>
        <v/>
      </c>
      <c r="S26" s="126" t="str">
        <f t="shared" si="1"/>
        <v/>
      </c>
      <c r="T26" s="128" t="str">
        <f>IF(OR(S26="R",S26=""),"",COUNTIFS($P$4:P26,P26,$S$4:S26,"S")*U26)</f>
        <v/>
      </c>
      <c r="U26" s="128" t="str">
        <f>IF(ISNUMBER(N26),IF($C$11=TRUE,IF(OR(ISODD(COUNTIF($N$4:N26,1)),Y26="Yes"),1,-1),1),"")</f>
        <v/>
      </c>
      <c r="V26" s="128" t="str">
        <f ca="1">IFERROR(IF(AND(S26="R",W26&lt;&gt;""),1,IF(S26="R",MAX(OFFSET(V25,0,0,-1*(ROW(W26)-3-MATCH(MAX($W$4:W25),$W$4:W25,0)),1))+1,"")),"")</f>
        <v/>
      </c>
      <c r="W26" s="129" t="str">
        <f>IFERROR(IF(AND(S26="R", P26&gt;MAX($X$3:X25)),P26,""),"")</f>
        <v/>
      </c>
      <c r="X26" s="129" t="str">
        <f>IFERROR(IF(AND(W26="",Q26&gt;=MAX($X$3:X25)),IF(S26="R",Q26,IF(AND(W26="",P26&lt;=MAX($X$3:X25)),MAX($X$3:X25),"")),IF(W26&lt;&gt;"", Q26,"")),"")</f>
        <v/>
      </c>
      <c r="Y26" s="126" t="str">
        <f>IF(S26="S",IF(OR(P26&lt;=MAX($X$3:X25),P26&gt;=IF(MIN(W27:$W$53)&lt;1,99999999,MIN(W27:$W$53))),"Yes","No"),"")</f>
        <v/>
      </c>
      <c r="AA26" s="130" t="str">
        <f t="shared" si="2"/>
        <v/>
      </c>
      <c r="AB26" s="131" t="str">
        <f t="array" ref="AB26">IF(AA26&lt;=$AA$2,MIN(IF($L$4:$L$503&lt;=AB25,99999999999,$L$4:$L$503)),"")</f>
        <v/>
      </c>
      <c r="AC26" s="130" t="str">
        <f>IF(ISNUMBER(AA26),IF(Dashboard!$H$6&lt;&gt;"Horizontal",AC25+dateDistance,AC25),"")</f>
        <v/>
      </c>
      <c r="AD26" s="130" t="str">
        <f>IF(ISNUMBER(AA26),IF(Dashboard!$H$6="Horizontal",AD25+dateDistance,AD25),"")</f>
        <v/>
      </c>
      <c r="AE26" s="132" t="str">
        <f>IF(ISNUMBER(P26), IF(Dashboard!$H$6="Horizontal",IF(S26="S",INDEX($AC$4:$AC$503,MATCH(P26,$AB$4:$AB$503,0),1)+boxDistance*(T26+IF(Y26="No",IF(ISODD(T26),IF(T26&gt;0,1,-1),0),0))*IF(Y26="No",IF(ISODD(T26),0.5,-0.5),1),timelineStartRow - boxDistance * V26),IF( S26="S",INDEX($AC$4:$AC$503,MATCH(P26,$AB$4:$AB$503,0),1),INDEX($AC$4:$AC$503,MATCH(P26,$AB$4:$AB$503,0),1)&amp;"-"&amp;INDEX($AC$4:$AC$503,MATCH(Q26,$AB$4:$AB$503,0),1))),"")</f>
        <v/>
      </c>
      <c r="AF26" s="132" t="str">
        <f>IF(ISNUMBER(P26), IF(Dashboard!$H$6&lt;&gt;"Horizontal",IF(S26="S",INDEX($AD$4:$AD$503,MATCH(P26,$AB$4:$AB$503,0),1)+boxDistance*(T26+IF(Y26="No",IF(ISODD(T26),IF(T26&gt;0,1,-1),0),0))*IF(Y26="No",IF(ISODD(T26),0.5,-0.5),1),timelineStartColumn-boxDistance * IF(AND(ISNUMBER(V26),V26&gt;1),V26*0.85,1)   ),IF( S26="S",INDEX($AD$4:$AD$503,MATCH(P26,$AB$4:$AB$503,0),1),INDEX($AD$4:$AD$503,MATCH(P26,$AB$4:$AB$503,0),1)&amp;"-"&amp;INDEX($AD$4:$AD$503,MATCH(Q26,$AB$4:$AB$503,0),1))),"")</f>
        <v/>
      </c>
      <c r="AG26" s="133" t="str">
        <f t="shared" si="9"/>
        <v/>
      </c>
      <c r="AH26" s="134" t="str">
        <f t="shared" si="16"/>
        <v/>
      </c>
      <c r="AI26" s="135" t="str">
        <f t="shared" si="3"/>
        <v/>
      </c>
      <c r="AJ26" s="135" t="str">
        <f t="shared" si="11"/>
        <v/>
      </c>
      <c r="AK26" s="126" t="str">
        <f t="shared" si="4"/>
        <v/>
      </c>
      <c r="AL26" s="126" t="str">
        <f ca="1">IFERROR(IF(AK26="","", MATCH(AK26,OFFSET(Icons!$B$5,1,AM26-3,20,1),0)+5),"")</f>
        <v/>
      </c>
      <c r="AM26" s="126" t="str">
        <f t="shared" si="12"/>
        <v/>
      </c>
      <c r="AN26" s="90"/>
      <c r="AW26" s="123">
        <v>5</v>
      </c>
      <c r="AX26" s="172" t="str">
        <f t="array" ref="AX26">IF(INDEX(iconsTable,ROW(AX6)-ROW($AX$3),3)="","",INDEX(iconsTable,ROW(AX6)-ROW($AX$3),3))</f>
        <v>crown</v>
      </c>
      <c r="AY26" s="123">
        <f t="shared" si="13"/>
        <v>43</v>
      </c>
      <c r="AZ26" s="137" t="str">
        <f t="shared" si="14"/>
        <v>dislike</v>
      </c>
    </row>
    <row r="27" spans="5:52" ht="15" customHeight="1" x14ac:dyDescent="0.25">
      <c r="E27" s="126">
        <v>24</v>
      </c>
      <c r="F27" s="126"/>
      <c r="G27" s="127"/>
      <c r="H27" s="127"/>
      <c r="I27" s="126"/>
      <c r="K27" s="137" t="str">
        <f t="shared" si="5"/>
        <v/>
      </c>
      <c r="L27" s="127" t="str">
        <f t="shared" si="0"/>
        <v/>
      </c>
      <c r="N27" s="128" t="str">
        <f t="shared" si="6"/>
        <v/>
      </c>
      <c r="O27" s="126" t="str">
        <f t="array" ref="O27">IFERROR(SMALL(IF(($G$4:$G$253=P27),ROW($G$4:$G$253)-ROW($G$3),"" ),N27),"")</f>
        <v/>
      </c>
      <c r="P27" s="127" t="str">
        <f t="array" ref="P27">IFERROR(SMALL($G$4:$G$253,E27),"")</f>
        <v/>
      </c>
      <c r="Q27" s="127" t="str">
        <f t="shared" si="7"/>
        <v/>
      </c>
      <c r="R27" s="126" t="str">
        <f t="shared" si="8"/>
        <v/>
      </c>
      <c r="S27" s="126" t="str">
        <f t="shared" si="1"/>
        <v/>
      </c>
      <c r="T27" s="128" t="str">
        <f>IF(OR(S27="R",S27=""),"",COUNTIFS($P$4:P27,P27,$S$4:S27,"S")*U27)</f>
        <v/>
      </c>
      <c r="U27" s="128" t="str">
        <f>IF(ISNUMBER(N27),IF($C$11=TRUE,IF(OR(ISODD(COUNTIF($N$4:N27,1)),Y27="Yes"),1,-1),1),"")</f>
        <v/>
      </c>
      <c r="V27" s="128" t="str">
        <f ca="1">IFERROR(IF(AND(S27="R",W27&lt;&gt;""),1,IF(S27="R",MAX(OFFSET(V26,0,0,-1*(ROW(W27)-3-MATCH(MAX($W$4:W26),$W$4:W26,0)),1))+1,"")),"")</f>
        <v/>
      </c>
      <c r="W27" s="129" t="str">
        <f>IFERROR(IF(AND(S27="R", P27&gt;MAX($X$3:X26)),P27,""),"")</f>
        <v/>
      </c>
      <c r="X27" s="129" t="str">
        <f>IFERROR(IF(AND(W27="",Q27&gt;=MAX($X$3:X26)),IF(S27="R",Q27,IF(AND(W27="",P27&lt;=MAX($X$3:X26)),MAX($X$3:X26),"")),IF(W27&lt;&gt;"", Q27,"")),"")</f>
        <v/>
      </c>
      <c r="Y27" s="126" t="str">
        <f>IF(S27="S",IF(OR(P27&lt;=MAX($X$3:X26),P27&gt;=IF(MIN(W28:$W$53)&lt;1,99999999,MIN(W28:$W$53))),"Yes","No"),"")</f>
        <v/>
      </c>
      <c r="AA27" s="130" t="str">
        <f t="shared" si="2"/>
        <v/>
      </c>
      <c r="AB27" s="131" t="str">
        <f t="array" ref="AB27">IF(AA27&lt;=$AA$2,MIN(IF($L$4:$L$503&lt;=AB26,99999999999,$L$4:$L$503)),"")</f>
        <v/>
      </c>
      <c r="AC27" s="130" t="str">
        <f>IF(ISNUMBER(AA27),IF(Dashboard!$H$6&lt;&gt;"Horizontal",AC26+dateDistance,AC26),"")</f>
        <v/>
      </c>
      <c r="AD27" s="130" t="str">
        <f>IF(ISNUMBER(AA27),IF(Dashboard!$H$6="Horizontal",AD26+dateDistance,AD26),"")</f>
        <v/>
      </c>
      <c r="AE27" s="132" t="str">
        <f>IF(ISNUMBER(P27), IF(Dashboard!$H$6="Horizontal",IF(S27="S",INDEX($AC$4:$AC$503,MATCH(P27,$AB$4:$AB$503,0),1)+boxDistance*(T27+IF(Y27="No",IF(ISODD(T27),IF(T27&gt;0,1,-1),0),0))*IF(Y27="No",IF(ISODD(T27),0.5,-0.5),1),timelineStartRow - boxDistance * V27),IF( S27="S",INDEX($AC$4:$AC$503,MATCH(P27,$AB$4:$AB$503,0),1),INDEX($AC$4:$AC$503,MATCH(P27,$AB$4:$AB$503,0),1)&amp;"-"&amp;INDEX($AC$4:$AC$503,MATCH(Q27,$AB$4:$AB$503,0),1))),"")</f>
        <v/>
      </c>
      <c r="AF27" s="132" t="str">
        <f>IF(ISNUMBER(P27), IF(Dashboard!$H$6&lt;&gt;"Horizontal",IF(S27="S",INDEX($AD$4:$AD$503,MATCH(P27,$AB$4:$AB$503,0),1)+boxDistance*(T27+IF(Y27="No",IF(ISODD(T27),IF(T27&gt;0,1,-1),0),0))*IF(Y27="No",IF(ISODD(T27),0.5,-0.5),1),timelineStartColumn-boxDistance * IF(AND(ISNUMBER(V27),V27&gt;1),V27*0.85,1)   ),IF( S27="S",INDEX($AD$4:$AD$503,MATCH(P27,$AB$4:$AB$503,0),1),INDEX($AD$4:$AD$503,MATCH(P27,$AB$4:$AB$503,0),1)&amp;"-"&amp;INDEX($AD$4:$AD$503,MATCH(Q27,$AB$4:$AB$503,0),1))),"")</f>
        <v/>
      </c>
      <c r="AG27" s="133" t="str">
        <f t="shared" si="9"/>
        <v/>
      </c>
      <c r="AH27" s="134" t="str">
        <f t="shared" si="16"/>
        <v/>
      </c>
      <c r="AI27" s="135" t="str">
        <f t="shared" si="3"/>
        <v/>
      </c>
      <c r="AJ27" s="135" t="str">
        <f t="shared" si="11"/>
        <v/>
      </c>
      <c r="AK27" s="126" t="str">
        <f t="shared" si="4"/>
        <v/>
      </c>
      <c r="AL27" s="126" t="str">
        <f ca="1">IFERROR(IF(AK27="","", MATCH(AK27,OFFSET(Icons!$B$5,1,AM27-3,20,1),0)+5),"")</f>
        <v/>
      </c>
      <c r="AM27" s="126" t="str">
        <f t="shared" si="12"/>
        <v/>
      </c>
      <c r="AN27" s="90"/>
      <c r="AW27" s="123">
        <v>5</v>
      </c>
      <c r="AX27" s="172" t="str">
        <f t="array" ref="AX27">IF(INDEX(iconsTable,ROW(AX7)-ROW($AX$3),3)="","",INDEX(iconsTable,ROW(AX7)-ROW($AX$3),3))</f>
        <v>cupid's_ arrow</v>
      </c>
      <c r="AY27" s="123">
        <f t="shared" si="13"/>
        <v>44</v>
      </c>
      <c r="AZ27" s="137" t="str">
        <f t="shared" si="14"/>
        <v>dj</v>
      </c>
    </row>
    <row r="28" spans="5:52" ht="15" customHeight="1" x14ac:dyDescent="0.25">
      <c r="E28" s="126">
        <v>25</v>
      </c>
      <c r="F28" s="126"/>
      <c r="G28" s="127"/>
      <c r="H28" s="127"/>
      <c r="I28" s="126"/>
      <c r="K28" s="137" t="str">
        <f t="shared" si="5"/>
        <v/>
      </c>
      <c r="L28" s="127" t="str">
        <f t="shared" si="0"/>
        <v/>
      </c>
      <c r="N28" s="128" t="str">
        <f t="shared" si="6"/>
        <v/>
      </c>
      <c r="O28" s="126" t="str">
        <f t="array" ref="O28">IFERROR(SMALL(IF(($G$4:$G$253=P28),ROW($G$4:$G$253)-ROW($G$3),"" ),N28),"")</f>
        <v/>
      </c>
      <c r="P28" s="127" t="str">
        <f t="array" ref="P28">IFERROR(SMALL($G$4:$G$253,E28),"")</f>
        <v/>
      </c>
      <c r="Q28" s="127" t="str">
        <f t="shared" si="7"/>
        <v/>
      </c>
      <c r="R28" s="126" t="str">
        <f t="shared" si="8"/>
        <v/>
      </c>
      <c r="S28" s="126" t="str">
        <f t="shared" si="1"/>
        <v/>
      </c>
      <c r="T28" s="128" t="str">
        <f>IF(OR(S28="R",S28=""),"",COUNTIFS($P$4:P28,P28,$S$4:S28,"S")*U28)</f>
        <v/>
      </c>
      <c r="U28" s="128" t="str">
        <f>IF(ISNUMBER(N28),IF($C$11=TRUE,IF(OR(ISODD(COUNTIF($N$4:N28,1)),Y28="Yes"),1,-1),1),"")</f>
        <v/>
      </c>
      <c r="V28" s="128" t="str">
        <f ca="1">IFERROR(IF(AND(S28="R",W28&lt;&gt;""),1,IF(S28="R",MAX(OFFSET(V27,0,0,-1*(ROW(W28)-3-MATCH(MAX($W$4:W27),$W$4:W27,0)),1))+1,"")),"")</f>
        <v/>
      </c>
      <c r="W28" s="129" t="str">
        <f>IFERROR(IF(AND(S28="R", P28&gt;MAX($X$3:X27)),P28,""),"")</f>
        <v/>
      </c>
      <c r="X28" s="129" t="str">
        <f>IFERROR(IF(AND(W28="",Q28&gt;=MAX($X$3:X27)),IF(S28="R",Q28,IF(AND(W28="",P28&lt;=MAX($X$3:X27)),MAX($X$3:X27),"")),IF(W28&lt;&gt;"", Q28,"")),"")</f>
        <v/>
      </c>
      <c r="Y28" s="126" t="str">
        <f>IF(S28="S",IF(OR(P28&lt;=MAX($X$3:X27),P28&gt;=IF(MIN(W29:$W$53)&lt;1,99999999,MIN(W29:$W$53))),"Yes","No"),"")</f>
        <v/>
      </c>
      <c r="AA28" s="130" t="str">
        <f t="shared" si="2"/>
        <v/>
      </c>
      <c r="AB28" s="131" t="str">
        <f t="array" ref="AB28">IF(AA28&lt;=$AA$2,MIN(IF($L$4:$L$503&lt;=AB27,99999999999,$L$4:$L$503)),"")</f>
        <v/>
      </c>
      <c r="AC28" s="130" t="str">
        <f>IF(ISNUMBER(AA28),IF(Dashboard!$H$6&lt;&gt;"Horizontal",AC27+dateDistance,AC27),"")</f>
        <v/>
      </c>
      <c r="AD28" s="130" t="str">
        <f>IF(ISNUMBER(AA28),IF(Dashboard!$H$6="Horizontal",AD27+dateDistance,AD27),"")</f>
        <v/>
      </c>
      <c r="AE28" s="132" t="str">
        <f>IF(ISNUMBER(P28), IF(Dashboard!$H$6="Horizontal",IF(S28="S",INDEX($AC$4:$AC$503,MATCH(P28,$AB$4:$AB$503,0),1)+boxDistance*(T28+IF(Y28="No",IF(ISODD(T28),IF(T28&gt;0,1,-1),0),0))*IF(Y28="No",IF(ISODD(T28),0.5,-0.5),1),timelineStartRow - boxDistance * V28),IF( S28="S",INDEX($AC$4:$AC$503,MATCH(P28,$AB$4:$AB$503,0),1),INDEX($AC$4:$AC$503,MATCH(P28,$AB$4:$AB$503,0),1)&amp;"-"&amp;INDEX($AC$4:$AC$503,MATCH(Q28,$AB$4:$AB$503,0),1))),"")</f>
        <v/>
      </c>
      <c r="AF28" s="132" t="str">
        <f>IF(ISNUMBER(P28), IF(Dashboard!$H$6&lt;&gt;"Horizontal",IF(S28="S",INDEX($AD$4:$AD$503,MATCH(P28,$AB$4:$AB$503,0),1)+boxDistance*(T28+IF(Y28="No",IF(ISODD(T28),IF(T28&gt;0,1,-1),0),0))*IF(Y28="No",IF(ISODD(T28),0.5,-0.5),1),timelineStartColumn-boxDistance * IF(AND(ISNUMBER(V28),V28&gt;1),V28*0.85,1)   ),IF( S28="S",INDEX($AD$4:$AD$503,MATCH(P28,$AB$4:$AB$503,0),1),INDEX($AD$4:$AD$503,MATCH(P28,$AB$4:$AB$503,0),1)&amp;"-"&amp;INDEX($AD$4:$AD$503,MATCH(Q28,$AB$4:$AB$503,0),1))),"")</f>
        <v/>
      </c>
      <c r="AG28" s="133" t="str">
        <f t="shared" si="9"/>
        <v/>
      </c>
      <c r="AH28" s="134" t="str">
        <f t="shared" si="16"/>
        <v/>
      </c>
      <c r="AI28" s="135" t="str">
        <f t="shared" si="3"/>
        <v/>
      </c>
      <c r="AJ28" s="135" t="str">
        <f t="shared" si="11"/>
        <v/>
      </c>
      <c r="AK28" s="126" t="str">
        <f t="shared" si="4"/>
        <v/>
      </c>
      <c r="AL28" s="126" t="str">
        <f ca="1">IFERROR(IF(AK28="","", MATCH(AK28,OFFSET(Icons!$B$5,1,AM28-3,20,1),0)+5),"")</f>
        <v/>
      </c>
      <c r="AM28" s="126" t="str">
        <f t="shared" si="12"/>
        <v/>
      </c>
      <c r="AN28" s="90"/>
      <c r="AW28" s="123">
        <v>5</v>
      </c>
      <c r="AX28" s="172" t="str">
        <f t="array" ref="AX28">IF(INDEX(iconsTable,ROW(AX8)-ROW($AX$3),3)="","",INDEX(iconsTable,ROW(AX8)-ROW($AX$3),3))</f>
        <v>departure</v>
      </c>
      <c r="AY28" s="123">
        <f t="shared" si="13"/>
        <v>45</v>
      </c>
      <c r="AZ28" s="137" t="str">
        <f t="shared" si="14"/>
        <v>DNA</v>
      </c>
    </row>
    <row r="29" spans="5:52" ht="15" customHeight="1" x14ac:dyDescent="0.25">
      <c r="E29" s="126">
        <v>26</v>
      </c>
      <c r="F29" s="126"/>
      <c r="G29" s="127"/>
      <c r="H29" s="127"/>
      <c r="I29" s="126"/>
      <c r="K29" s="137" t="str">
        <f t="shared" si="5"/>
        <v/>
      </c>
      <c r="L29" s="127" t="str">
        <f t="shared" si="0"/>
        <v/>
      </c>
      <c r="N29" s="128" t="str">
        <f t="shared" si="6"/>
        <v/>
      </c>
      <c r="O29" s="126" t="str">
        <f t="array" ref="O29">IFERROR(SMALL(IF(($G$4:$G$253=P29),ROW($G$4:$G$253)-ROW($G$3),"" ),N29),"")</f>
        <v/>
      </c>
      <c r="P29" s="127" t="str">
        <f t="array" ref="P29">IFERROR(SMALL($G$4:$G$253,E29),"")</f>
        <v/>
      </c>
      <c r="Q29" s="127" t="str">
        <f t="shared" si="7"/>
        <v/>
      </c>
      <c r="R29" s="126" t="str">
        <f t="shared" si="8"/>
        <v/>
      </c>
      <c r="S29" s="126" t="str">
        <f t="shared" si="1"/>
        <v/>
      </c>
      <c r="T29" s="128" t="str">
        <f>IF(OR(S29="R",S29=""),"",COUNTIFS($P$4:P29,P29,$S$4:S29,"S")*U29)</f>
        <v/>
      </c>
      <c r="U29" s="128" t="str">
        <f>IF(ISNUMBER(N29),IF($C$11=TRUE,IF(OR(ISODD(COUNTIF($N$4:N29,1)),Y29="Yes"),1,-1),1),"")</f>
        <v/>
      </c>
      <c r="V29" s="128" t="str">
        <f ca="1">IFERROR(IF(AND(S29="R",W29&lt;&gt;""),1,IF(S29="R",MAX(OFFSET(V28,0,0,-1*(ROW(W29)-3-MATCH(MAX($W$4:W28),$W$4:W28,0)),1))+1,"")),"")</f>
        <v/>
      </c>
      <c r="W29" s="129" t="str">
        <f>IFERROR(IF(AND(S29="R", P29&gt;MAX($X$3:X28)),P29,""),"")</f>
        <v/>
      </c>
      <c r="X29" s="129" t="str">
        <f>IFERROR(IF(AND(W29="",Q29&gt;=MAX($X$3:X28)),IF(S29="R",Q29,IF(AND(W29="",P29&lt;=MAX($X$3:X28)),MAX($X$3:X28),"")),IF(W29&lt;&gt;"", Q29,"")),"")</f>
        <v/>
      </c>
      <c r="Y29" s="126" t="str">
        <f>IF(S29="S",IF(OR(P29&lt;=MAX($X$3:X28),P29&gt;=IF(MIN(W30:$W$53)&lt;1,99999999,MIN(W30:$W$53))),"Yes","No"),"")</f>
        <v/>
      </c>
      <c r="AA29" s="130" t="str">
        <f t="shared" si="2"/>
        <v/>
      </c>
      <c r="AB29" s="131" t="str">
        <f t="array" ref="AB29">IF(AA29&lt;=$AA$2,MIN(IF($L$4:$L$503&lt;=AB28,99999999999,$L$4:$L$503)),"")</f>
        <v/>
      </c>
      <c r="AC29" s="130" t="str">
        <f>IF(ISNUMBER(AA29),IF(Dashboard!$H$6&lt;&gt;"Horizontal",AC28+dateDistance,AC28),"")</f>
        <v/>
      </c>
      <c r="AD29" s="130" t="str">
        <f>IF(ISNUMBER(AA29),IF(Dashboard!$H$6="Horizontal",AD28+dateDistance,AD28),"")</f>
        <v/>
      </c>
      <c r="AE29" s="132" t="str">
        <f>IF(ISNUMBER(P29), IF(Dashboard!$H$6="Horizontal",IF(S29="S",INDEX($AC$4:$AC$503,MATCH(P29,$AB$4:$AB$503,0),1)+boxDistance*(T29+IF(Y29="No",IF(ISODD(T29),IF(T29&gt;0,1,-1),0),0))*IF(Y29="No",IF(ISODD(T29),0.5,-0.5),1),timelineStartRow - boxDistance * V29),IF( S29="S",INDEX($AC$4:$AC$503,MATCH(P29,$AB$4:$AB$503,0),1),INDEX($AC$4:$AC$503,MATCH(P29,$AB$4:$AB$503,0),1)&amp;"-"&amp;INDEX($AC$4:$AC$503,MATCH(Q29,$AB$4:$AB$503,0),1))),"")</f>
        <v/>
      </c>
      <c r="AF29" s="132" t="str">
        <f>IF(ISNUMBER(P29), IF(Dashboard!$H$6&lt;&gt;"Horizontal",IF(S29="S",INDEX($AD$4:$AD$503,MATCH(P29,$AB$4:$AB$503,0),1)+boxDistance*(T29+IF(Y29="No",IF(ISODD(T29),IF(T29&gt;0,1,-1),0),0))*IF(Y29="No",IF(ISODD(T29),0.5,-0.5),1),timelineStartColumn-boxDistance * IF(AND(ISNUMBER(V29),V29&gt;1),V29*0.85,1)   ),IF( S29="S",INDEX($AD$4:$AD$503,MATCH(P29,$AB$4:$AB$503,0),1),INDEX($AD$4:$AD$503,MATCH(P29,$AB$4:$AB$503,0),1)&amp;"-"&amp;INDEX($AD$4:$AD$503,MATCH(Q29,$AB$4:$AB$503,0),1))),"")</f>
        <v/>
      </c>
      <c r="AG29" s="133" t="str">
        <f t="shared" si="9"/>
        <v/>
      </c>
      <c r="AH29" s="134" t="str">
        <f t="shared" si="16"/>
        <v/>
      </c>
      <c r="AI29" s="135" t="str">
        <f t="shared" si="3"/>
        <v/>
      </c>
      <c r="AJ29" s="135" t="str">
        <f t="shared" si="11"/>
        <v/>
      </c>
      <c r="AK29" s="126" t="str">
        <f t="shared" si="4"/>
        <v/>
      </c>
      <c r="AL29" s="126" t="str">
        <f ca="1">IFERROR(IF(AK29="","", MATCH(AK29,OFFSET(Icons!$B$5,1,AM29-3,20,1),0)+5),"")</f>
        <v/>
      </c>
      <c r="AM29" s="126" t="str">
        <f t="shared" si="12"/>
        <v/>
      </c>
      <c r="AN29" s="90"/>
      <c r="AW29" s="123">
        <v>5</v>
      </c>
      <c r="AX29" s="172" t="str">
        <f t="array" ref="AX29">IF(INDEX(iconsTable,ROW(AX9)-ROW($AX$3),3)="","",INDEX(iconsTable,ROW(AX9)-ROW($AX$3),3))</f>
        <v>diploma</v>
      </c>
      <c r="AY29" s="123">
        <f t="shared" si="13"/>
        <v>46</v>
      </c>
      <c r="AZ29" s="137" t="str">
        <f t="shared" si="14"/>
        <v>dog</v>
      </c>
    </row>
    <row r="30" spans="5:52" ht="15" customHeight="1" x14ac:dyDescent="0.25">
      <c r="E30" s="126">
        <v>27</v>
      </c>
      <c r="F30" s="126"/>
      <c r="G30" s="127"/>
      <c r="H30" s="127"/>
      <c r="I30" s="126"/>
      <c r="K30" s="137" t="str">
        <f t="shared" si="5"/>
        <v/>
      </c>
      <c r="L30" s="127" t="str">
        <f t="shared" si="0"/>
        <v/>
      </c>
      <c r="N30" s="128" t="str">
        <f t="shared" si="6"/>
        <v/>
      </c>
      <c r="O30" s="126" t="str">
        <f t="array" ref="O30">IFERROR(SMALL(IF(($G$4:$G$253=P30),ROW($G$4:$G$253)-ROW($G$3),"" ),N30),"")</f>
        <v/>
      </c>
      <c r="P30" s="127" t="str">
        <f t="array" ref="P30">IFERROR(SMALL($G$4:$G$253,E30),"")</f>
        <v/>
      </c>
      <c r="Q30" s="127" t="str">
        <f t="shared" si="7"/>
        <v/>
      </c>
      <c r="R30" s="126" t="str">
        <f t="shared" si="8"/>
        <v/>
      </c>
      <c r="S30" s="126" t="str">
        <f t="shared" si="1"/>
        <v/>
      </c>
      <c r="T30" s="128" t="str">
        <f>IF(OR(S30="R",S30=""),"",COUNTIFS($P$4:P30,P30,$S$4:S30,"S")*U30)</f>
        <v/>
      </c>
      <c r="U30" s="128" t="str">
        <f>IF(ISNUMBER(N30),IF($C$11=TRUE,IF(OR(ISODD(COUNTIF($N$4:N30,1)),Y30="Yes"),1,-1),1),"")</f>
        <v/>
      </c>
      <c r="V30" s="128" t="str">
        <f ca="1">IFERROR(IF(AND(S30="R",W30&lt;&gt;""),1,IF(S30="R",MAX(OFFSET(V29,0,0,-1*(ROW(W30)-3-MATCH(MAX($W$4:W29),$W$4:W29,0)),1))+1,"")),"")</f>
        <v/>
      </c>
      <c r="W30" s="129" t="str">
        <f>IFERROR(IF(AND(S30="R", P30&gt;MAX($X$3:X29)),P30,""),"")</f>
        <v/>
      </c>
      <c r="X30" s="129" t="str">
        <f>IFERROR(IF(AND(W30="",Q30&gt;=MAX($X$3:X29)),IF(S30="R",Q30,IF(AND(W30="",P30&lt;=MAX($X$3:X29)),MAX($X$3:X29),"")),IF(W30&lt;&gt;"", Q30,"")),"")</f>
        <v/>
      </c>
      <c r="Y30" s="126" t="str">
        <f>IF(S30="S",IF(OR(P30&lt;=MAX($X$3:X29),P30&gt;=IF(MIN(W31:$W$53)&lt;1,99999999,MIN(W31:$W$53))),"Yes","No"),"")</f>
        <v/>
      </c>
      <c r="AA30" s="130" t="str">
        <f t="shared" si="2"/>
        <v/>
      </c>
      <c r="AB30" s="131" t="str">
        <f t="array" ref="AB30">IF(AA30&lt;=$AA$2,MIN(IF($L$4:$L$503&lt;=AB29,99999999999,$L$4:$L$503)),"")</f>
        <v/>
      </c>
      <c r="AC30" s="130" t="str">
        <f>IF(ISNUMBER(AA30),IF(Dashboard!$H$6&lt;&gt;"Horizontal",AC29+dateDistance,AC29),"")</f>
        <v/>
      </c>
      <c r="AD30" s="130" t="str">
        <f>IF(ISNUMBER(AA30),IF(Dashboard!$H$6="Horizontal",AD29+dateDistance,AD29),"")</f>
        <v/>
      </c>
      <c r="AE30" s="132" t="str">
        <f>IF(ISNUMBER(P30), IF(Dashboard!$H$6="Horizontal",IF(S30="S",INDEX($AC$4:$AC$503,MATCH(P30,$AB$4:$AB$503,0),1)+boxDistance*(T30+IF(Y30="No",IF(ISODD(T30),IF(T30&gt;0,1,-1),0),0))*IF(Y30="No",IF(ISODD(T30),0.5,-0.5),1),timelineStartRow - boxDistance * V30),IF( S30="S",INDEX($AC$4:$AC$503,MATCH(P30,$AB$4:$AB$503,0),1),INDEX($AC$4:$AC$503,MATCH(P30,$AB$4:$AB$503,0),1)&amp;"-"&amp;INDEX($AC$4:$AC$503,MATCH(Q30,$AB$4:$AB$503,0),1))),"")</f>
        <v/>
      </c>
      <c r="AF30" s="132" t="str">
        <f>IF(ISNUMBER(P30), IF(Dashboard!$H$6&lt;&gt;"Horizontal",IF(S30="S",INDEX($AD$4:$AD$503,MATCH(P30,$AB$4:$AB$503,0),1)+boxDistance*(T30+IF(Y30="No",IF(ISODD(T30),IF(T30&gt;0,1,-1),0),0))*IF(Y30="No",IF(ISODD(T30),0.5,-0.5),1),timelineStartColumn-boxDistance * IF(AND(ISNUMBER(V30),V30&gt;1),V30*0.85,1)   ),IF( S30="S",INDEX($AD$4:$AD$503,MATCH(P30,$AB$4:$AB$503,0),1),INDEX($AD$4:$AD$503,MATCH(P30,$AB$4:$AB$503,0),1)&amp;"-"&amp;INDEX($AD$4:$AD$503,MATCH(Q30,$AB$4:$AB$503,0),1))),"")</f>
        <v/>
      </c>
      <c r="AG30" s="133" t="str">
        <f t="shared" si="9"/>
        <v/>
      </c>
      <c r="AH30" s="134" t="str">
        <f t="shared" si="16"/>
        <v/>
      </c>
      <c r="AI30" s="135" t="str">
        <f t="shared" si="3"/>
        <v/>
      </c>
      <c r="AJ30" s="135" t="str">
        <f t="shared" si="11"/>
        <v/>
      </c>
      <c r="AK30" s="126" t="str">
        <f t="shared" si="4"/>
        <v/>
      </c>
      <c r="AL30" s="126" t="str">
        <f ca="1">IFERROR(IF(AK30="","", MATCH(AK30,OFFSET(Icons!$B$5,1,AM30-3,20,1),0)+5),"")</f>
        <v/>
      </c>
      <c r="AM30" s="126" t="str">
        <f t="shared" si="12"/>
        <v/>
      </c>
      <c r="AN30" s="90"/>
      <c r="AW30" s="123">
        <v>5</v>
      </c>
      <c r="AX30" s="172" t="str">
        <f t="array" ref="AX30">IF(INDEX(iconsTable,ROW(AX10)-ROW($AX$3),3)="","",INDEX(iconsTable,ROW(AX10)-ROW($AX$3),3))</f>
        <v>dirty_hands</v>
      </c>
      <c r="AY30" s="123">
        <f t="shared" si="13"/>
        <v>47</v>
      </c>
      <c r="AZ30" s="137" t="str">
        <f t="shared" si="14"/>
        <v>electric_car</v>
      </c>
    </row>
    <row r="31" spans="5:52" ht="15" customHeight="1" x14ac:dyDescent="0.25">
      <c r="E31" s="126">
        <v>28</v>
      </c>
      <c r="F31" s="126"/>
      <c r="G31" s="127"/>
      <c r="H31" s="127"/>
      <c r="I31" s="126"/>
      <c r="K31" s="137" t="str">
        <f t="shared" si="5"/>
        <v/>
      </c>
      <c r="L31" s="127" t="str">
        <f t="shared" si="0"/>
        <v/>
      </c>
      <c r="N31" s="128" t="str">
        <f t="shared" si="6"/>
        <v/>
      </c>
      <c r="O31" s="126" t="str">
        <f t="array" ref="O31">IFERROR(SMALL(IF(($G$4:$G$253=P31),ROW($G$4:$G$253)-ROW($G$3),"" ),N31),"")</f>
        <v/>
      </c>
      <c r="P31" s="127" t="str">
        <f t="array" ref="P31">IFERROR(SMALL($G$4:$G$253,E31),"")</f>
        <v/>
      </c>
      <c r="Q31" s="127" t="str">
        <f t="shared" si="7"/>
        <v/>
      </c>
      <c r="R31" s="126" t="str">
        <f t="shared" si="8"/>
        <v/>
      </c>
      <c r="S31" s="126" t="str">
        <f t="shared" si="1"/>
        <v/>
      </c>
      <c r="T31" s="128" t="str">
        <f>IF(OR(S31="R",S31=""),"",COUNTIFS($P$4:P31,P31,$S$4:S31,"S")*U31)</f>
        <v/>
      </c>
      <c r="U31" s="128" t="str">
        <f>IF(ISNUMBER(N31),IF($C$11=TRUE,IF(OR(ISODD(COUNTIF($N$4:N31,1)),Y31="Yes"),1,-1),1),"")</f>
        <v/>
      </c>
      <c r="V31" s="128" t="str">
        <f ca="1">IFERROR(IF(AND(S31="R",W31&lt;&gt;""),1,IF(S31="R",MAX(OFFSET(V30,0,0,-1*(ROW(W31)-3-MATCH(MAX($W$4:W30),$W$4:W30,0)),1))+1,"")),"")</f>
        <v/>
      </c>
      <c r="W31" s="129" t="str">
        <f>IFERROR(IF(AND(S31="R", P31&gt;MAX($X$3:X30)),P31,""),"")</f>
        <v/>
      </c>
      <c r="X31" s="129" t="str">
        <f>IFERROR(IF(AND(W31="",Q31&gt;=MAX($X$3:X30)),IF(S31="R",Q31,IF(AND(W31="",P31&lt;=MAX($X$3:X30)),MAX($X$3:X30),"")),IF(W31&lt;&gt;"", Q31,"")),"")</f>
        <v/>
      </c>
      <c r="Y31" s="126" t="str">
        <f>IF(S31="S",IF(OR(P31&lt;=MAX($X$3:X30),P31&gt;=IF(MIN(W32:$W$53)&lt;1,99999999,MIN(W32:$W$53))),"Yes","No"),"")</f>
        <v/>
      </c>
      <c r="AA31" s="130" t="str">
        <f t="shared" si="2"/>
        <v/>
      </c>
      <c r="AB31" s="131" t="str">
        <f t="array" ref="AB31">IF(AA31&lt;=$AA$2,MIN(IF($L$4:$L$503&lt;=AB30,99999999999,$L$4:$L$503)),"")</f>
        <v/>
      </c>
      <c r="AC31" s="130" t="str">
        <f>IF(ISNUMBER(AA31),IF(Dashboard!$H$6&lt;&gt;"Horizontal",AC30+dateDistance,AC30),"")</f>
        <v/>
      </c>
      <c r="AD31" s="130" t="str">
        <f>IF(ISNUMBER(AA31),IF(Dashboard!$H$6="Horizontal",AD30+dateDistance,AD30),"")</f>
        <v/>
      </c>
      <c r="AE31" s="132" t="str">
        <f>IF(ISNUMBER(P31), IF(Dashboard!$H$6="Horizontal",IF(S31="S",INDEX($AC$4:$AC$503,MATCH(P31,$AB$4:$AB$503,0),1)+boxDistance*(T31+IF(Y31="No",IF(ISODD(T31),IF(T31&gt;0,1,-1),0),0))*IF(Y31="No",IF(ISODD(T31),0.5,-0.5),1),timelineStartRow - boxDistance * V31),IF( S31="S",INDEX($AC$4:$AC$503,MATCH(P31,$AB$4:$AB$503,0),1),INDEX($AC$4:$AC$503,MATCH(P31,$AB$4:$AB$503,0),1)&amp;"-"&amp;INDEX($AC$4:$AC$503,MATCH(Q31,$AB$4:$AB$503,0),1))),"")</f>
        <v/>
      </c>
      <c r="AF31" s="132" t="str">
        <f>IF(ISNUMBER(P31), IF(Dashboard!$H$6&lt;&gt;"Horizontal",IF(S31="S",INDEX($AD$4:$AD$503,MATCH(P31,$AB$4:$AB$503,0),1)+boxDistance*(T31+IF(Y31="No",IF(ISODD(T31),IF(T31&gt;0,1,-1),0),0))*IF(Y31="No",IF(ISODD(T31),0.5,-0.5),1),timelineStartColumn-boxDistance * IF(AND(ISNUMBER(V31),V31&gt;1),V31*0.85,1)   ),IF( S31="S",INDEX($AD$4:$AD$503,MATCH(P31,$AB$4:$AB$503,0),1),INDEX($AD$4:$AD$503,MATCH(P31,$AB$4:$AB$503,0),1)&amp;"-"&amp;INDEX($AD$4:$AD$503,MATCH(Q31,$AB$4:$AB$503,0),1))),"")</f>
        <v/>
      </c>
      <c r="AG31" s="133" t="str">
        <f t="shared" si="9"/>
        <v/>
      </c>
      <c r="AH31" s="134" t="str">
        <f t="shared" si="16"/>
        <v/>
      </c>
      <c r="AI31" s="135" t="str">
        <f t="shared" si="3"/>
        <v/>
      </c>
      <c r="AJ31" s="135" t="str">
        <f t="shared" si="11"/>
        <v/>
      </c>
      <c r="AK31" s="126" t="str">
        <f t="shared" si="4"/>
        <v/>
      </c>
      <c r="AL31" s="126" t="str">
        <f ca="1">IFERROR(IF(AK31="","", MATCH(AK31,OFFSET(Icons!$B$5,1,AM31-3,20,1),0)+5),"")</f>
        <v/>
      </c>
      <c r="AM31" s="126" t="str">
        <f t="shared" si="12"/>
        <v/>
      </c>
      <c r="AN31" s="90"/>
      <c r="AW31" s="123">
        <v>5</v>
      </c>
      <c r="AX31" s="172" t="str">
        <f t="array" ref="AX31">IF(INDEX(iconsTable,ROW(AX11)-ROW($AX$3),3)="","",INDEX(iconsTable,ROW(AX11)-ROW($AX$3),3))</f>
        <v>dislike</v>
      </c>
      <c r="AY31" s="123">
        <f t="shared" si="13"/>
        <v>48</v>
      </c>
      <c r="AZ31" s="137" t="str">
        <f t="shared" si="14"/>
        <v>elephant</v>
      </c>
    </row>
    <row r="32" spans="5:52" ht="15" customHeight="1" x14ac:dyDescent="0.25">
      <c r="E32" s="126">
        <v>29</v>
      </c>
      <c r="F32" s="126"/>
      <c r="G32" s="127"/>
      <c r="H32" s="127"/>
      <c r="I32" s="126"/>
      <c r="K32" s="137" t="str">
        <f t="shared" si="5"/>
        <v/>
      </c>
      <c r="L32" s="127" t="str">
        <f t="shared" si="0"/>
        <v/>
      </c>
      <c r="N32" s="128" t="str">
        <f t="shared" si="6"/>
        <v/>
      </c>
      <c r="O32" s="126" t="str">
        <f t="array" ref="O32">IFERROR(SMALL(IF(($G$4:$G$253=P32),ROW($G$4:$G$253)-ROW($G$3),"" ),N32),"")</f>
        <v/>
      </c>
      <c r="P32" s="127" t="str">
        <f t="array" ref="P32">IFERROR(SMALL($G$4:$G$253,E32),"")</f>
        <v/>
      </c>
      <c r="Q32" s="127" t="str">
        <f t="shared" si="7"/>
        <v/>
      </c>
      <c r="R32" s="126" t="str">
        <f t="shared" si="8"/>
        <v/>
      </c>
      <c r="S32" s="126" t="str">
        <f t="shared" si="1"/>
        <v/>
      </c>
      <c r="T32" s="128" t="str">
        <f>IF(OR(S32="R",S32=""),"",COUNTIFS($P$4:P32,P32,$S$4:S32,"S")*U32)</f>
        <v/>
      </c>
      <c r="U32" s="128" t="str">
        <f>IF(ISNUMBER(N32),IF($C$11=TRUE,IF(OR(ISODD(COUNTIF($N$4:N32,1)),Y32="Yes"),1,-1),1),"")</f>
        <v/>
      </c>
      <c r="V32" s="128" t="str">
        <f ca="1">IFERROR(IF(AND(S32="R",W32&lt;&gt;""),1,IF(S32="R",MAX(OFFSET(V31,0,0,-1*(ROW(W32)-3-MATCH(MAX($W$4:W31),$W$4:W31,0)),1))+1,"")),"")</f>
        <v/>
      </c>
      <c r="W32" s="129" t="str">
        <f>IFERROR(IF(AND(S32="R", P32&gt;MAX($X$3:X31)),P32,""),"")</f>
        <v/>
      </c>
      <c r="X32" s="129" t="str">
        <f>IFERROR(IF(AND(W32="",Q32&gt;=MAX($X$3:X31)),IF(S32="R",Q32,IF(AND(W32="",P32&lt;=MAX($X$3:X31)),MAX($X$3:X31),"")),IF(W32&lt;&gt;"", Q32,"")),"")</f>
        <v/>
      </c>
      <c r="Y32" s="126" t="str">
        <f>IF(S32="S",IF(OR(P32&lt;=MAX($X$3:X31),P32&gt;=IF(MIN(W33:$W$53)&lt;1,99999999,MIN(W33:$W$53))),"Yes","No"),"")</f>
        <v/>
      </c>
      <c r="AA32" s="130" t="str">
        <f t="shared" si="2"/>
        <v/>
      </c>
      <c r="AB32" s="131" t="str">
        <f t="array" ref="AB32">IF(AA32&lt;=$AA$2,MIN(IF($L$4:$L$503&lt;=AB31,99999999999,$L$4:$L$503)),"")</f>
        <v/>
      </c>
      <c r="AC32" s="130" t="str">
        <f>IF(ISNUMBER(AA32),IF(Dashboard!$H$6&lt;&gt;"Horizontal",AC31+dateDistance,AC31),"")</f>
        <v/>
      </c>
      <c r="AD32" s="130" t="str">
        <f>IF(ISNUMBER(AA32),IF(Dashboard!$H$6="Horizontal",AD31+dateDistance,AD31),"")</f>
        <v/>
      </c>
      <c r="AE32" s="132" t="str">
        <f>IF(ISNUMBER(P32), IF(Dashboard!$H$6="Horizontal",IF(S32="S",INDEX($AC$4:$AC$503,MATCH(P32,$AB$4:$AB$503,0),1)+boxDistance*(T32+IF(Y32="No",IF(ISODD(T32),IF(T32&gt;0,1,-1),0),0))*IF(Y32="No",IF(ISODD(T32),0.5,-0.5),1),timelineStartRow - boxDistance * V32),IF( S32="S",INDEX($AC$4:$AC$503,MATCH(P32,$AB$4:$AB$503,0),1),INDEX($AC$4:$AC$503,MATCH(P32,$AB$4:$AB$503,0),1)&amp;"-"&amp;INDEX($AC$4:$AC$503,MATCH(Q32,$AB$4:$AB$503,0),1))),"")</f>
        <v/>
      </c>
      <c r="AF32" s="132" t="str">
        <f>IF(ISNUMBER(P32), IF(Dashboard!$H$6&lt;&gt;"Horizontal",IF(S32="S",INDEX($AD$4:$AD$503,MATCH(P32,$AB$4:$AB$503,0),1)+boxDistance*(T32+IF(Y32="No",IF(ISODD(T32),IF(T32&gt;0,1,-1),0),0))*IF(Y32="No",IF(ISODD(T32),0.5,-0.5),1),timelineStartColumn-boxDistance * IF(AND(ISNUMBER(V32),V32&gt;1),V32*0.85,1)   ),IF( S32="S",INDEX($AD$4:$AD$503,MATCH(P32,$AB$4:$AB$503,0),1),INDEX($AD$4:$AD$503,MATCH(P32,$AB$4:$AB$503,0),1)&amp;"-"&amp;INDEX($AD$4:$AD$503,MATCH(Q32,$AB$4:$AB$503,0),1))),"")</f>
        <v/>
      </c>
      <c r="AG32" s="133" t="str">
        <f t="shared" si="9"/>
        <v/>
      </c>
      <c r="AH32" s="134" t="str">
        <f t="shared" si="16"/>
        <v/>
      </c>
      <c r="AI32" s="135" t="str">
        <f t="shared" si="3"/>
        <v/>
      </c>
      <c r="AJ32" s="135" t="str">
        <f t="shared" si="11"/>
        <v/>
      </c>
      <c r="AK32" s="126" t="str">
        <f t="shared" si="4"/>
        <v/>
      </c>
      <c r="AL32" s="126" t="str">
        <f ca="1">IFERROR(IF(AK32="","", MATCH(AK32,OFFSET(Icons!$B$5,1,AM32-3,20,1),0)+5),"")</f>
        <v/>
      </c>
      <c r="AM32" s="126" t="str">
        <f t="shared" si="12"/>
        <v/>
      </c>
      <c r="AN32" s="90"/>
      <c r="AW32" s="123">
        <v>5</v>
      </c>
      <c r="AX32" s="172" t="str">
        <f t="array" ref="AX32">IF(INDEX(iconsTable,ROW(AX12)-ROW($AX$3),3)="","",INDEX(iconsTable,ROW(AX12)-ROW($AX$3),3))</f>
        <v>dj</v>
      </c>
      <c r="AY32" s="123">
        <f t="shared" si="13"/>
        <v>49</v>
      </c>
      <c r="AZ32" s="137" t="str">
        <f t="shared" si="14"/>
        <v>engagement</v>
      </c>
    </row>
    <row r="33" spans="5:52" ht="15" customHeight="1" x14ac:dyDescent="0.25">
      <c r="E33" s="126">
        <v>30</v>
      </c>
      <c r="F33" s="126"/>
      <c r="G33" s="127"/>
      <c r="H33" s="127"/>
      <c r="I33" s="126"/>
      <c r="K33" s="137" t="str">
        <f t="shared" si="5"/>
        <v/>
      </c>
      <c r="L33" s="127" t="str">
        <f t="shared" si="0"/>
        <v/>
      </c>
      <c r="N33" s="128" t="str">
        <f t="shared" si="6"/>
        <v/>
      </c>
      <c r="O33" s="126" t="str">
        <f t="array" ref="O33">IFERROR(SMALL(IF(($G$4:$G$253=P33),ROW($G$4:$G$253)-ROW($G$3),"" ),N33),"")</f>
        <v/>
      </c>
      <c r="P33" s="127" t="str">
        <f t="array" ref="P33">IFERROR(SMALL($G$4:$G$253,E33),"")</f>
        <v/>
      </c>
      <c r="Q33" s="127" t="str">
        <f t="shared" si="7"/>
        <v/>
      </c>
      <c r="R33" s="126" t="str">
        <f t="shared" si="8"/>
        <v/>
      </c>
      <c r="S33" s="126" t="str">
        <f t="shared" si="1"/>
        <v/>
      </c>
      <c r="T33" s="128" t="str">
        <f>IF(OR(S33="R",S33=""),"",COUNTIFS($P$4:P33,P33,$S$4:S33,"S")*U33)</f>
        <v/>
      </c>
      <c r="U33" s="128" t="str">
        <f>IF(ISNUMBER(N33),IF($C$11=TRUE,IF(OR(ISODD(COUNTIF($N$4:N33,1)),Y33="Yes"),1,-1),1),"")</f>
        <v/>
      </c>
      <c r="V33" s="128" t="str">
        <f ca="1">IFERROR(IF(AND(S33="R",W33&lt;&gt;""),1,IF(S33="R",MAX(OFFSET(V32,0,0,-1*(ROW(W33)-3-MATCH(MAX($W$4:W32),$W$4:W32,0)),1))+1,"")),"")</f>
        <v/>
      </c>
      <c r="W33" s="129" t="str">
        <f>IFERROR(IF(AND(S33="R", P33&gt;MAX($X$3:X32)),P33,""),"")</f>
        <v/>
      </c>
      <c r="X33" s="129" t="str">
        <f>IFERROR(IF(AND(W33="",Q33&gt;=MAX($X$3:X32)),IF(S33="R",Q33,IF(AND(W33="",P33&lt;=MAX($X$3:X32)),MAX($X$3:X32),"")),IF(W33&lt;&gt;"", Q33,"")),"")</f>
        <v/>
      </c>
      <c r="Y33" s="126" t="str">
        <f>IF(S33="S",IF(OR(P33&lt;=MAX($X$3:X32),P33&gt;=IF(MIN(W34:$W$53)&lt;1,99999999,MIN(W34:$W$53))),"Yes","No"),"")</f>
        <v/>
      </c>
      <c r="AA33" s="130" t="str">
        <f t="shared" si="2"/>
        <v/>
      </c>
      <c r="AB33" s="131" t="str">
        <f t="array" ref="AB33">IF(AA33&lt;=$AA$2,MIN(IF($L$4:$L$503&lt;=AB32,99999999999,$L$4:$L$503)),"")</f>
        <v/>
      </c>
      <c r="AC33" s="130" t="str">
        <f>IF(ISNUMBER(AA33),IF(Dashboard!$H$6&lt;&gt;"Horizontal",AC32+dateDistance,AC32),"")</f>
        <v/>
      </c>
      <c r="AD33" s="130" t="str">
        <f>IF(ISNUMBER(AA33),IF(Dashboard!$H$6="Horizontal",AD32+dateDistance,AD32),"")</f>
        <v/>
      </c>
      <c r="AE33" s="132" t="str">
        <f>IF(ISNUMBER(P33), IF(Dashboard!$H$6="Horizontal",IF(S33="S",INDEX($AC$4:$AC$503,MATCH(P33,$AB$4:$AB$503,0),1)+boxDistance*(T33+IF(Y33="No",IF(ISODD(T33),IF(T33&gt;0,1,-1),0),0))*IF(Y33="No",IF(ISODD(T33),0.5,-0.5),1),timelineStartRow - boxDistance * V33),IF( S33="S",INDEX($AC$4:$AC$503,MATCH(P33,$AB$4:$AB$503,0),1),INDEX($AC$4:$AC$503,MATCH(P33,$AB$4:$AB$503,0),1)&amp;"-"&amp;INDEX($AC$4:$AC$503,MATCH(Q33,$AB$4:$AB$503,0),1))),"")</f>
        <v/>
      </c>
      <c r="AF33" s="132" t="str">
        <f>IF(ISNUMBER(P33), IF(Dashboard!$H$6&lt;&gt;"Horizontal",IF(S33="S",INDEX($AD$4:$AD$503,MATCH(P33,$AB$4:$AB$503,0),1)+boxDistance*(T33+IF(Y33="No",IF(ISODD(T33),IF(T33&gt;0,1,-1),0),0))*IF(Y33="No",IF(ISODD(T33),0.5,-0.5),1),timelineStartColumn-boxDistance * IF(AND(ISNUMBER(V33),V33&gt;1),V33*0.85,1)   ),IF( S33="S",INDEX($AD$4:$AD$503,MATCH(P33,$AB$4:$AB$503,0),1),INDEX($AD$4:$AD$503,MATCH(P33,$AB$4:$AB$503,0),1)&amp;"-"&amp;INDEX($AD$4:$AD$503,MATCH(Q33,$AB$4:$AB$503,0),1))),"")</f>
        <v/>
      </c>
      <c r="AG33" s="133" t="str">
        <f t="shared" si="9"/>
        <v/>
      </c>
      <c r="AH33" s="134" t="str">
        <f t="shared" si="16"/>
        <v/>
      </c>
      <c r="AI33" s="135" t="str">
        <f t="shared" si="3"/>
        <v/>
      </c>
      <c r="AJ33" s="135" t="str">
        <f t="shared" si="11"/>
        <v/>
      </c>
      <c r="AK33" s="126" t="str">
        <f t="shared" si="4"/>
        <v/>
      </c>
      <c r="AL33" s="126" t="str">
        <f ca="1">IFERROR(IF(AK33="","", MATCH(AK33,OFFSET(Icons!$B$5,1,AM33-3,20,1),0)+5),"")</f>
        <v/>
      </c>
      <c r="AM33" s="126" t="str">
        <f t="shared" si="12"/>
        <v/>
      </c>
      <c r="AN33" s="90"/>
      <c r="AW33" s="123">
        <v>5</v>
      </c>
      <c r="AX33" s="172" t="str">
        <f t="array" ref="AX33">IF(INDEX(iconsTable,ROW(AX13)-ROW($AX$3),3)="","",INDEX(iconsTable,ROW(AX13)-ROW($AX$3),3))</f>
        <v>DNA</v>
      </c>
      <c r="AY33" s="123">
        <f t="shared" si="13"/>
        <v>50</v>
      </c>
      <c r="AZ33" s="137" t="str">
        <f t="shared" si="14"/>
        <v>euro</v>
      </c>
    </row>
    <row r="34" spans="5:52" ht="15" customHeight="1" x14ac:dyDescent="0.25">
      <c r="E34" s="126">
        <v>31</v>
      </c>
      <c r="F34" s="126"/>
      <c r="G34" s="127"/>
      <c r="H34" s="127"/>
      <c r="I34" s="126"/>
      <c r="K34" s="137" t="str">
        <f t="shared" si="5"/>
        <v/>
      </c>
      <c r="L34" s="127" t="str">
        <f t="shared" si="0"/>
        <v/>
      </c>
      <c r="N34" s="128" t="str">
        <f t="shared" si="6"/>
        <v/>
      </c>
      <c r="O34" s="126" t="str">
        <f t="array" ref="O34">IFERROR(SMALL(IF(($G$4:$G$253=P34),ROW($G$4:$G$253)-ROW($G$3),"" ),N34),"")</f>
        <v/>
      </c>
      <c r="P34" s="127" t="str">
        <f t="array" ref="P34">IFERROR(SMALL($G$4:$G$253,E34),"")</f>
        <v/>
      </c>
      <c r="Q34" s="127" t="str">
        <f t="shared" si="7"/>
        <v/>
      </c>
      <c r="R34" s="126" t="str">
        <f t="shared" si="8"/>
        <v/>
      </c>
      <c r="S34" s="126" t="str">
        <f t="shared" si="1"/>
        <v/>
      </c>
      <c r="T34" s="128" t="str">
        <f>IF(OR(S34="R",S34=""),"",COUNTIFS($P$4:P34,P34,$S$4:S34,"S")*U34)</f>
        <v/>
      </c>
      <c r="U34" s="128" t="str">
        <f>IF(ISNUMBER(N34),IF($C$11=TRUE,IF(OR(ISODD(COUNTIF($N$4:N34,1)),Y34="Yes"),1,-1),1),"")</f>
        <v/>
      </c>
      <c r="V34" s="128" t="str">
        <f ca="1">IFERROR(IF(AND(S34="R",W34&lt;&gt;""),1,IF(S34="R",MAX(OFFSET(V33,0,0,-1*(ROW(W34)-3-MATCH(MAX($W$4:W33),$W$4:W33,0)),1))+1,"")),"")</f>
        <v/>
      </c>
      <c r="W34" s="129" t="str">
        <f>IFERROR(IF(AND(S34="R", P34&gt;MAX($X$3:X33)),P34,""),"")</f>
        <v/>
      </c>
      <c r="X34" s="129" t="str">
        <f>IFERROR(IF(AND(W34="",Q34&gt;=MAX($X$3:X33)),IF(S34="R",Q34,IF(AND(W34="",P34&lt;=MAX($X$3:X33)),MAX($X$3:X33),"")),IF(W34&lt;&gt;"", Q34,"")),"")</f>
        <v/>
      </c>
      <c r="Y34" s="126" t="str">
        <f>IF(S34="S",IF(OR(P34&lt;=MAX($X$3:X33),P34&gt;=IF(MIN(W35:$W$53)&lt;1,99999999,MIN(W35:$W$53))),"Yes","No"),"")</f>
        <v/>
      </c>
      <c r="AA34" s="130" t="str">
        <f t="shared" si="2"/>
        <v/>
      </c>
      <c r="AB34" s="131" t="str">
        <f t="array" ref="AB34">IF(AA34&lt;=$AA$2,MIN(IF($L$4:$L$503&lt;=AB33,99999999999,$L$4:$L$503)),"")</f>
        <v/>
      </c>
      <c r="AC34" s="130" t="str">
        <f>IF(ISNUMBER(AA34),IF(Dashboard!$H$6&lt;&gt;"Horizontal",AC33+dateDistance,AC33),"")</f>
        <v/>
      </c>
      <c r="AD34" s="130" t="str">
        <f>IF(ISNUMBER(AA34),IF(Dashboard!$H$6="Horizontal",AD33+dateDistance,AD33),"")</f>
        <v/>
      </c>
      <c r="AE34" s="132" t="str">
        <f>IF(ISNUMBER(P34), IF(Dashboard!$H$6="Horizontal",IF(S34="S",INDEX($AC$4:$AC$503,MATCH(P34,$AB$4:$AB$503,0),1)+boxDistance*(T34+IF(Y34="No",IF(ISODD(T34),IF(T34&gt;0,1,-1),0),0))*IF(Y34="No",IF(ISODD(T34),0.5,-0.5),1),timelineStartRow - boxDistance * V34),IF( S34="S",INDEX($AC$4:$AC$503,MATCH(P34,$AB$4:$AB$503,0),1),INDEX($AC$4:$AC$503,MATCH(P34,$AB$4:$AB$503,0),1)&amp;"-"&amp;INDEX($AC$4:$AC$503,MATCH(Q34,$AB$4:$AB$503,0),1))),"")</f>
        <v/>
      </c>
      <c r="AF34" s="132" t="str">
        <f>IF(ISNUMBER(P34), IF(Dashboard!$H$6&lt;&gt;"Horizontal",IF(S34="S",INDEX($AD$4:$AD$503,MATCH(P34,$AB$4:$AB$503,0),1)+boxDistance*(T34+IF(Y34="No",IF(ISODD(T34),IF(T34&gt;0,1,-1),0),0))*IF(Y34="No",IF(ISODD(T34),0.5,-0.5),1),timelineStartColumn-boxDistance * IF(AND(ISNUMBER(V34),V34&gt;1),V34*0.85,1)   ),IF( S34="S",INDEX($AD$4:$AD$503,MATCH(P34,$AB$4:$AB$503,0),1),INDEX($AD$4:$AD$503,MATCH(P34,$AB$4:$AB$503,0),1)&amp;"-"&amp;INDEX($AD$4:$AD$503,MATCH(Q34,$AB$4:$AB$503,0),1))),"")</f>
        <v/>
      </c>
      <c r="AG34" s="133" t="str">
        <f t="shared" si="9"/>
        <v/>
      </c>
      <c r="AH34" s="134" t="str">
        <f t="shared" si="16"/>
        <v/>
      </c>
      <c r="AI34" s="135" t="str">
        <f t="shared" si="3"/>
        <v/>
      </c>
      <c r="AJ34" s="135" t="str">
        <f t="shared" si="11"/>
        <v/>
      </c>
      <c r="AK34" s="126" t="str">
        <f t="shared" si="4"/>
        <v/>
      </c>
      <c r="AL34" s="126" t="str">
        <f ca="1">IFERROR(IF(AK34="","", MATCH(AK34,OFFSET(Icons!$B$5,1,AM34-3,20,1),0)+5),"")</f>
        <v/>
      </c>
      <c r="AM34" s="126" t="str">
        <f t="shared" si="12"/>
        <v/>
      </c>
      <c r="AN34" s="90"/>
      <c r="AW34" s="123">
        <v>5</v>
      </c>
      <c r="AX34" s="172" t="str">
        <f t="array" ref="AX34">IF(INDEX(iconsTable,ROW(AX14)-ROW($AX$3),3)="","",INDEX(iconsTable,ROW(AX14)-ROW($AX$3),3))</f>
        <v>dog</v>
      </c>
      <c r="AY34" s="123">
        <f t="shared" si="13"/>
        <v>51</v>
      </c>
      <c r="AZ34" s="137" t="str">
        <f t="shared" si="14"/>
        <v>fireworks</v>
      </c>
    </row>
    <row r="35" spans="5:52" ht="15" customHeight="1" x14ac:dyDescent="0.25">
      <c r="E35" s="126">
        <v>32</v>
      </c>
      <c r="F35" s="126"/>
      <c r="G35" s="127"/>
      <c r="H35" s="127"/>
      <c r="I35" s="126"/>
      <c r="K35" s="137" t="str">
        <f t="shared" si="5"/>
        <v/>
      </c>
      <c r="L35" s="127" t="str">
        <f t="shared" si="0"/>
        <v/>
      </c>
      <c r="N35" s="128" t="str">
        <f t="shared" si="6"/>
        <v/>
      </c>
      <c r="O35" s="126" t="str">
        <f t="array" ref="O35">IFERROR(SMALL(IF(($G$4:$G$253=P35),ROW($G$4:$G$253)-ROW($G$3),"" ),N35),"")</f>
        <v/>
      </c>
      <c r="P35" s="127" t="str">
        <f t="array" ref="P35">IFERROR(SMALL($G$4:$G$253,E35),"")</f>
        <v/>
      </c>
      <c r="Q35" s="127" t="str">
        <f t="shared" si="7"/>
        <v/>
      </c>
      <c r="R35" s="126" t="str">
        <f t="shared" si="8"/>
        <v/>
      </c>
      <c r="S35" s="126" t="str">
        <f t="shared" si="1"/>
        <v/>
      </c>
      <c r="T35" s="128" t="str">
        <f>IF(OR(S35="R",S35=""),"",COUNTIFS($P$4:P35,P35,$S$4:S35,"S")*U35)</f>
        <v/>
      </c>
      <c r="U35" s="128" t="str">
        <f>IF(ISNUMBER(N35),IF($C$11=TRUE,IF(OR(ISODD(COUNTIF($N$4:N35,1)),Y35="Yes"),1,-1),1),"")</f>
        <v/>
      </c>
      <c r="V35" s="128" t="str">
        <f ca="1">IFERROR(IF(AND(S35="R",W35&lt;&gt;""),1,IF(S35="R",MAX(OFFSET(V34,0,0,-1*(ROW(W35)-3-MATCH(MAX($W$4:W34),$W$4:W34,0)),1))+1,"")),"")</f>
        <v/>
      </c>
      <c r="W35" s="129" t="str">
        <f>IFERROR(IF(AND(S35="R", P35&gt;MAX($X$3:X34)),P35,""),"")</f>
        <v/>
      </c>
      <c r="X35" s="129" t="str">
        <f>IFERROR(IF(AND(W35="",Q35&gt;=MAX($X$3:X34)),IF(S35="R",Q35,IF(AND(W35="",P35&lt;=MAX($X$3:X34)),MAX($X$3:X34),"")),IF(W35&lt;&gt;"", Q35,"")),"")</f>
        <v/>
      </c>
      <c r="Y35" s="126" t="str">
        <f>IF(S35="S",IF(OR(P35&lt;=MAX($X$3:X34),P35&gt;=IF(MIN(W36:$W$53)&lt;1,99999999,MIN(W36:$W$53))),"Yes","No"),"")</f>
        <v/>
      </c>
      <c r="AA35" s="130" t="str">
        <f t="shared" si="2"/>
        <v/>
      </c>
      <c r="AB35" s="131" t="str">
        <f t="array" ref="AB35">IF(AA35&lt;=$AA$2,MIN(IF($L$4:$L$503&lt;=AB34,99999999999,$L$4:$L$503)),"")</f>
        <v/>
      </c>
      <c r="AC35" s="130" t="str">
        <f>IF(ISNUMBER(AA35),IF(Dashboard!$H$6&lt;&gt;"Horizontal",AC34+dateDistance,AC34),"")</f>
        <v/>
      </c>
      <c r="AD35" s="130" t="str">
        <f>IF(ISNUMBER(AA35),IF(Dashboard!$H$6="Horizontal",AD34+dateDistance,AD34),"")</f>
        <v/>
      </c>
      <c r="AE35" s="132" t="str">
        <f>IF(ISNUMBER(P35), IF(Dashboard!$H$6="Horizontal",IF(S35="S",INDEX($AC$4:$AC$503,MATCH(P35,$AB$4:$AB$503,0),1)+boxDistance*(T35+IF(Y35="No",IF(ISODD(T35),IF(T35&gt;0,1,-1),0),0))*IF(Y35="No",IF(ISODD(T35),0.5,-0.5),1),timelineStartRow - boxDistance * V35),IF( S35="S",INDEX($AC$4:$AC$503,MATCH(P35,$AB$4:$AB$503,0),1),INDEX($AC$4:$AC$503,MATCH(P35,$AB$4:$AB$503,0),1)&amp;"-"&amp;INDEX($AC$4:$AC$503,MATCH(Q35,$AB$4:$AB$503,0),1))),"")</f>
        <v/>
      </c>
      <c r="AF35" s="132" t="str">
        <f>IF(ISNUMBER(P35), IF(Dashboard!$H$6&lt;&gt;"Horizontal",IF(S35="S",INDEX($AD$4:$AD$503,MATCH(P35,$AB$4:$AB$503,0),1)+boxDistance*(T35+IF(Y35="No",IF(ISODD(T35),IF(T35&gt;0,1,-1),0),0))*IF(Y35="No",IF(ISODD(T35),0.5,-0.5),1),timelineStartColumn-boxDistance * IF(AND(ISNUMBER(V35),V35&gt;1),V35*0.85,1)   ),IF( S35="S",INDEX($AD$4:$AD$503,MATCH(P35,$AB$4:$AB$503,0),1),INDEX($AD$4:$AD$503,MATCH(P35,$AB$4:$AB$503,0),1)&amp;"-"&amp;INDEX($AD$4:$AD$503,MATCH(Q35,$AB$4:$AB$503,0),1))),"")</f>
        <v/>
      </c>
      <c r="AG35" s="133" t="str">
        <f t="shared" si="9"/>
        <v/>
      </c>
      <c r="AH35" s="134" t="str">
        <f t="shared" si="16"/>
        <v/>
      </c>
      <c r="AI35" s="135" t="str">
        <f t="shared" si="3"/>
        <v/>
      </c>
      <c r="AJ35" s="135" t="str">
        <f t="shared" si="11"/>
        <v/>
      </c>
      <c r="AK35" s="126" t="str">
        <f t="shared" si="4"/>
        <v/>
      </c>
      <c r="AL35" s="126" t="str">
        <f ca="1">IFERROR(IF(AK35="","", MATCH(AK35,OFFSET(Icons!$B$5,1,AM35-3,20,1),0)+5),"")</f>
        <v/>
      </c>
      <c r="AM35" s="126" t="str">
        <f t="shared" si="12"/>
        <v/>
      </c>
      <c r="AN35" s="90"/>
      <c r="AW35" s="123">
        <v>5</v>
      </c>
      <c r="AX35" s="172" t="str">
        <f t="array" ref="AX35">IF(INDEX(iconsTable,ROW(AX15)-ROW($AX$3),3)="","",INDEX(iconsTable,ROW(AX15)-ROW($AX$3),3))</f>
        <v>electric_car</v>
      </c>
      <c r="AY35" s="123">
        <f t="shared" si="13"/>
        <v>52</v>
      </c>
      <c r="AZ35" s="137" t="str">
        <f t="shared" si="14"/>
        <v>fish</v>
      </c>
    </row>
    <row r="36" spans="5:52" ht="15" customHeight="1" x14ac:dyDescent="0.25">
      <c r="E36" s="126">
        <v>33</v>
      </c>
      <c r="F36" s="126"/>
      <c r="G36" s="127"/>
      <c r="H36" s="127"/>
      <c r="I36" s="126"/>
      <c r="K36" s="137" t="str">
        <f t="shared" si="5"/>
        <v/>
      </c>
      <c r="L36" s="127" t="str">
        <f t="shared" si="0"/>
        <v/>
      </c>
      <c r="N36" s="128" t="str">
        <f t="shared" si="6"/>
        <v/>
      </c>
      <c r="O36" s="126" t="str">
        <f t="array" ref="O36">IFERROR(SMALL(IF(($G$4:$G$253=P36),ROW($G$4:$G$253)-ROW($G$3),"" ),N36),"")</f>
        <v/>
      </c>
      <c r="P36" s="127" t="str">
        <f t="array" ref="P36">IFERROR(SMALL($G$4:$G$253,E36),"")</f>
        <v/>
      </c>
      <c r="Q36" s="127" t="str">
        <f t="shared" si="7"/>
        <v/>
      </c>
      <c r="R36" s="126" t="str">
        <f t="shared" si="8"/>
        <v/>
      </c>
      <c r="S36" s="126" t="str">
        <f t="shared" si="1"/>
        <v/>
      </c>
      <c r="T36" s="128" t="str">
        <f>IF(OR(S36="R",S36=""),"",COUNTIFS($P$4:P36,P36,$S$4:S36,"S")*U36)</f>
        <v/>
      </c>
      <c r="U36" s="128" t="str">
        <f>IF(ISNUMBER(N36),IF($C$11=TRUE,IF(OR(ISODD(COUNTIF($N$4:N36,1)),Y36="Yes"),1,-1),1),"")</f>
        <v/>
      </c>
      <c r="V36" s="128" t="str">
        <f ca="1">IFERROR(IF(AND(S36="R",W36&lt;&gt;""),1,IF(S36="R",MAX(OFFSET(V35,0,0,-1*(ROW(W36)-3-MATCH(MAX($W$4:W35),$W$4:W35,0)),1))+1,"")),"")</f>
        <v/>
      </c>
      <c r="W36" s="129" t="str">
        <f>IFERROR(IF(AND(S36="R", P36&gt;MAX($X$3:X35)),P36,""),"")</f>
        <v/>
      </c>
      <c r="X36" s="129" t="str">
        <f>IFERROR(IF(AND(W36="",Q36&gt;=MAX($X$3:X35)),IF(S36="R",Q36,IF(AND(W36="",P36&lt;=MAX($X$3:X35)),MAX($X$3:X35),"")),IF(W36&lt;&gt;"", Q36,"")),"")</f>
        <v/>
      </c>
      <c r="Y36" s="126" t="str">
        <f>IF(S36="S",IF(OR(P36&lt;=MAX($X$3:X35),P36&gt;=IF(MIN(W37:$W$53)&lt;1,99999999,MIN(W37:$W$53))),"Yes","No"),"")</f>
        <v/>
      </c>
      <c r="AA36" s="130" t="str">
        <f t="shared" si="2"/>
        <v/>
      </c>
      <c r="AB36" s="131" t="str">
        <f t="array" ref="AB36">IF(AA36&lt;=$AA$2,MIN(IF($L$4:$L$503&lt;=AB35,99999999999,$L$4:$L$503)),"")</f>
        <v/>
      </c>
      <c r="AC36" s="130" t="str">
        <f>IF(ISNUMBER(AA36),IF(Dashboard!$H$6&lt;&gt;"Horizontal",AC35+dateDistance,AC35),"")</f>
        <v/>
      </c>
      <c r="AD36" s="130" t="str">
        <f>IF(ISNUMBER(AA36),IF(Dashboard!$H$6="Horizontal",AD35+dateDistance,AD35),"")</f>
        <v/>
      </c>
      <c r="AE36" s="132" t="str">
        <f>IF(ISNUMBER(P36), IF(Dashboard!$H$6="Horizontal",IF(S36="S",INDEX($AC$4:$AC$503,MATCH(P36,$AB$4:$AB$503,0),1)+boxDistance*(T36+IF(Y36="No",IF(ISODD(T36),IF(T36&gt;0,1,-1),0),0))*IF(Y36="No",IF(ISODD(T36),0.5,-0.5),1),timelineStartRow - boxDistance * V36),IF( S36="S",INDEX($AC$4:$AC$503,MATCH(P36,$AB$4:$AB$503,0),1),INDEX($AC$4:$AC$503,MATCH(P36,$AB$4:$AB$503,0),1)&amp;"-"&amp;INDEX($AC$4:$AC$503,MATCH(Q36,$AB$4:$AB$503,0),1))),"")</f>
        <v/>
      </c>
      <c r="AF36" s="132" t="str">
        <f>IF(ISNUMBER(P36), IF(Dashboard!$H$6&lt;&gt;"Horizontal",IF(S36="S",INDEX($AD$4:$AD$503,MATCH(P36,$AB$4:$AB$503,0),1)+boxDistance*(T36+IF(Y36="No",IF(ISODD(T36),IF(T36&gt;0,1,-1),0),0))*IF(Y36="No",IF(ISODD(T36),0.5,-0.5),1),timelineStartColumn-boxDistance * IF(AND(ISNUMBER(V36),V36&gt;1),V36*0.85,1)   ),IF( S36="S",INDEX($AD$4:$AD$503,MATCH(P36,$AB$4:$AB$503,0),1),INDEX($AD$4:$AD$503,MATCH(P36,$AB$4:$AB$503,0),1)&amp;"-"&amp;INDEX($AD$4:$AD$503,MATCH(Q36,$AB$4:$AB$503,0),1))),"")</f>
        <v/>
      </c>
      <c r="AG36" s="133" t="str">
        <f t="shared" si="9"/>
        <v/>
      </c>
      <c r="AH36" s="134" t="str">
        <f t="shared" si="16"/>
        <v/>
      </c>
      <c r="AI36" s="135" t="str">
        <f t="shared" si="3"/>
        <v/>
      </c>
      <c r="AJ36" s="135" t="str">
        <f t="shared" si="11"/>
        <v/>
      </c>
      <c r="AK36" s="126" t="str">
        <f t="shared" ref="AK36:AK68" si="17">IFERROR(INDEX($I$4:$I$253,O36,1),"")</f>
        <v/>
      </c>
      <c r="AL36" s="126" t="str">
        <f ca="1">IFERROR(IF(AK36="","", MATCH(AK36,OFFSET(Icons!$B$5,1,AM36-3,20,1),0)+5),"")</f>
        <v/>
      </c>
      <c r="AM36" s="126" t="str">
        <f t="shared" si="12"/>
        <v/>
      </c>
      <c r="AN36" s="90"/>
      <c r="AW36" s="123">
        <v>5</v>
      </c>
      <c r="AX36" s="172" t="str">
        <f t="array" ref="AX36">IF(INDEX(iconsTable,ROW(AX16)-ROW($AX$3),3)="","",INDEX(iconsTable,ROW(AX16)-ROW($AX$3),3))</f>
        <v>elephant</v>
      </c>
      <c r="AY36" s="123">
        <f t="shared" si="13"/>
        <v>53</v>
      </c>
      <c r="AZ36" s="137" t="str">
        <f t="shared" si="14"/>
        <v>forest</v>
      </c>
    </row>
    <row r="37" spans="5:52" ht="15" customHeight="1" x14ac:dyDescent="0.25">
      <c r="E37" s="126">
        <v>34</v>
      </c>
      <c r="F37" s="126"/>
      <c r="G37" s="127"/>
      <c r="H37" s="127"/>
      <c r="I37" s="126"/>
      <c r="K37" s="137" t="str">
        <f t="shared" si="5"/>
        <v/>
      </c>
      <c r="L37" s="127" t="str">
        <f t="shared" si="0"/>
        <v/>
      </c>
      <c r="N37" s="128" t="str">
        <f t="shared" si="6"/>
        <v/>
      </c>
      <c r="O37" s="126" t="str">
        <f t="array" ref="O37">IFERROR(SMALL(IF(($G$4:$G$253=P37),ROW($G$4:$G$253)-ROW($G$3),"" ),N37),"")</f>
        <v/>
      </c>
      <c r="P37" s="127" t="str">
        <f t="array" ref="P37">IFERROR(SMALL($G$4:$G$253,E37),"")</f>
        <v/>
      </c>
      <c r="Q37" s="127" t="str">
        <f t="shared" si="7"/>
        <v/>
      </c>
      <c r="R37" s="126" t="str">
        <f t="shared" si="8"/>
        <v/>
      </c>
      <c r="S37" s="126" t="str">
        <f t="shared" si="1"/>
        <v/>
      </c>
      <c r="T37" s="128" t="str">
        <f>IF(OR(S37="R",S37=""),"",COUNTIFS($P$4:P37,P37,$S$4:S37,"S")*U37)</f>
        <v/>
      </c>
      <c r="U37" s="128" t="str">
        <f>IF(ISNUMBER(N37),IF($C$11=TRUE,IF(OR(ISODD(COUNTIF($N$4:N37,1)),Y37="Yes"),1,-1),1),"")</f>
        <v/>
      </c>
      <c r="V37" s="128" t="str">
        <f ca="1">IFERROR(IF(AND(S37="R",W37&lt;&gt;""),1,IF(S37="R",MAX(OFFSET(V36,0,0,-1*(ROW(W37)-3-MATCH(MAX($W$4:W36),$W$4:W36,0)),1))+1,"")),"")</f>
        <v/>
      </c>
      <c r="W37" s="129" t="str">
        <f>IFERROR(IF(AND(S37="R", P37&gt;MAX($X$3:X36)),P37,""),"")</f>
        <v/>
      </c>
      <c r="X37" s="129" t="str">
        <f>IFERROR(IF(AND(W37="",Q37&gt;=MAX($X$3:X36)),IF(S37="R",Q37,IF(AND(W37="",P37&lt;=MAX($X$3:X36)),MAX($X$3:X36),"")),IF(W37&lt;&gt;"", Q37,"")),"")</f>
        <v/>
      </c>
      <c r="Y37" s="126" t="str">
        <f>IF(S37="S",IF(OR(P37&lt;=MAX($X$3:X36),P37&gt;=IF(MIN(W38:$W$53)&lt;1,99999999,MIN(W38:$W$53))),"Yes","No"),"")</f>
        <v/>
      </c>
      <c r="AA37" s="130" t="str">
        <f t="shared" si="2"/>
        <v/>
      </c>
      <c r="AB37" s="131" t="str">
        <f t="array" ref="AB37">IF(AA37&lt;=$AA$2,MIN(IF($L$4:$L$503&lt;=AB36,99999999999,$L$4:$L$503)),"")</f>
        <v/>
      </c>
      <c r="AC37" s="130" t="str">
        <f>IF(ISNUMBER(AA37),IF(Dashboard!$H$6&lt;&gt;"Horizontal",AC36+dateDistance,AC36),"")</f>
        <v/>
      </c>
      <c r="AD37" s="130" t="str">
        <f>IF(ISNUMBER(AA37),IF(Dashboard!$H$6="Horizontal",AD36+dateDistance,AD36),"")</f>
        <v/>
      </c>
      <c r="AE37" s="132" t="str">
        <f>IF(ISNUMBER(P37), IF(Dashboard!$H$6="Horizontal",IF(S37="S",INDEX($AC$4:$AC$503,MATCH(P37,$AB$4:$AB$503,0),1)+boxDistance*(T37+IF(Y37="No",IF(ISODD(T37),IF(T37&gt;0,1,-1),0),0))*IF(Y37="No",IF(ISODD(T37),0.5,-0.5),1),timelineStartRow - boxDistance * V37),IF( S37="S",INDEX($AC$4:$AC$503,MATCH(P37,$AB$4:$AB$503,0),1),INDEX($AC$4:$AC$503,MATCH(P37,$AB$4:$AB$503,0),1)&amp;"-"&amp;INDEX($AC$4:$AC$503,MATCH(Q37,$AB$4:$AB$503,0),1))),"")</f>
        <v/>
      </c>
      <c r="AF37" s="132" t="str">
        <f>IF(ISNUMBER(P37), IF(Dashboard!$H$6&lt;&gt;"Horizontal",IF(S37="S",INDEX($AD$4:$AD$503,MATCH(P37,$AB$4:$AB$503,0),1)+boxDistance*(T37+IF(Y37="No",IF(ISODD(T37),IF(T37&gt;0,1,-1),0),0))*IF(Y37="No",IF(ISODD(T37),0.5,-0.5),1),timelineStartColumn-boxDistance * IF(AND(ISNUMBER(V37),V37&gt;1),V37*0.85,1)   ),IF( S37="S",INDEX($AD$4:$AD$503,MATCH(P37,$AB$4:$AB$503,0),1),INDEX($AD$4:$AD$503,MATCH(P37,$AB$4:$AB$503,0),1)&amp;"-"&amp;INDEX($AD$4:$AD$503,MATCH(Q37,$AB$4:$AB$503,0),1))),"")</f>
        <v/>
      </c>
      <c r="AG37" s="133" t="str">
        <f t="shared" si="9"/>
        <v/>
      </c>
      <c r="AH37" s="134" t="str">
        <f t="shared" si="16"/>
        <v/>
      </c>
      <c r="AI37" s="135" t="str">
        <f t="shared" si="3"/>
        <v/>
      </c>
      <c r="AJ37" s="135" t="str">
        <f t="shared" si="11"/>
        <v/>
      </c>
      <c r="AK37" s="126" t="str">
        <f t="shared" si="17"/>
        <v/>
      </c>
      <c r="AL37" s="126" t="str">
        <f ca="1">IFERROR(IF(AK37="","", MATCH(AK37,OFFSET(Icons!$B$5,1,AM37-3,20,1),0)+5),"")</f>
        <v/>
      </c>
      <c r="AM37" s="126" t="str">
        <f t="shared" si="12"/>
        <v/>
      </c>
      <c r="AN37" s="90"/>
      <c r="AW37" s="123">
        <v>5</v>
      </c>
      <c r="AX37" s="172" t="str">
        <f t="array" ref="AX37">IF(INDEX(iconsTable,ROW(AX17)-ROW($AX$3),3)="","",INDEX(iconsTable,ROW(AX17)-ROW($AX$3),3))</f>
        <v>engagement</v>
      </c>
      <c r="AY37" s="123">
        <f t="shared" si="13"/>
        <v>54</v>
      </c>
      <c r="AZ37" s="137" t="str">
        <f t="shared" si="14"/>
        <v>germs</v>
      </c>
    </row>
    <row r="38" spans="5:52" ht="15" customHeight="1" x14ac:dyDescent="0.25">
      <c r="E38" s="126">
        <v>35</v>
      </c>
      <c r="F38" s="126"/>
      <c r="G38" s="127"/>
      <c r="H38" s="127"/>
      <c r="I38" s="126"/>
      <c r="K38" s="137" t="str">
        <f t="shared" si="5"/>
        <v/>
      </c>
      <c r="L38" s="127" t="str">
        <f t="shared" si="0"/>
        <v/>
      </c>
      <c r="N38" s="128" t="str">
        <f t="shared" si="6"/>
        <v/>
      </c>
      <c r="O38" s="126" t="str">
        <f t="array" ref="O38">IFERROR(SMALL(IF(($G$4:$G$253=P38),ROW($G$4:$G$253)-ROW($G$3),"" ),N38),"")</f>
        <v/>
      </c>
      <c r="P38" s="127" t="str">
        <f t="array" ref="P38">IFERROR(SMALL($G$4:$G$253,E38),"")</f>
        <v/>
      </c>
      <c r="Q38" s="127" t="str">
        <f t="shared" si="7"/>
        <v/>
      </c>
      <c r="R38" s="126" t="str">
        <f t="shared" si="8"/>
        <v/>
      </c>
      <c r="S38" s="126" t="str">
        <f t="shared" si="1"/>
        <v/>
      </c>
      <c r="T38" s="128" t="str">
        <f>IF(OR(S38="R",S38=""),"",COUNTIFS($P$4:P38,P38,$S$4:S38,"S")*U38)</f>
        <v/>
      </c>
      <c r="U38" s="128" t="str">
        <f>IF(ISNUMBER(N38),IF($C$11=TRUE,IF(OR(ISODD(COUNTIF($N$4:N38,1)),Y38="Yes"),1,-1),1),"")</f>
        <v/>
      </c>
      <c r="V38" s="128" t="str">
        <f ca="1">IFERROR(IF(AND(S38="R",W38&lt;&gt;""),1,IF(S38="R",MAX(OFFSET(V37,0,0,-1*(ROW(W38)-3-MATCH(MAX($W$4:W37),$W$4:W37,0)),1))+1,"")),"")</f>
        <v/>
      </c>
      <c r="W38" s="129" t="str">
        <f>IFERROR(IF(AND(S38="R", P38&gt;MAX($X$3:X37)),P38,""),"")</f>
        <v/>
      </c>
      <c r="X38" s="129" t="str">
        <f>IFERROR(IF(AND(W38="",Q38&gt;=MAX($X$3:X37)),IF(S38="R",Q38,IF(AND(W38="",P38&lt;=MAX($X$3:X37)),MAX($X$3:X37),"")),IF(W38&lt;&gt;"", Q38,"")),"")</f>
        <v/>
      </c>
      <c r="Y38" s="126" t="str">
        <f>IF(S38="S",IF(OR(P38&lt;=MAX($X$3:X37),P38&gt;=IF(MIN(W39:$W$53)&lt;1,99999999,MIN(W39:$W$53))),"Yes","No"),"")</f>
        <v/>
      </c>
      <c r="AA38" s="130" t="str">
        <f t="shared" si="2"/>
        <v/>
      </c>
      <c r="AB38" s="131" t="str">
        <f t="array" ref="AB38">IF(AA38&lt;=$AA$2,MIN(IF($L$4:$L$503&lt;=AB37,99999999999,$L$4:$L$503)),"")</f>
        <v/>
      </c>
      <c r="AC38" s="130" t="str">
        <f>IF(ISNUMBER(AA38),IF(Dashboard!$H$6&lt;&gt;"Horizontal",AC37+dateDistance,AC37),"")</f>
        <v/>
      </c>
      <c r="AD38" s="130" t="str">
        <f>IF(ISNUMBER(AA38),IF(Dashboard!$H$6="Horizontal",AD37+dateDistance,AD37),"")</f>
        <v/>
      </c>
      <c r="AE38" s="132" t="str">
        <f>IF(ISNUMBER(P38), IF(Dashboard!$H$6="Horizontal",IF(S38="S",INDEX($AC$4:$AC$503,MATCH(P38,$AB$4:$AB$503,0),1)+boxDistance*(T38+IF(Y38="No",IF(ISODD(T38),IF(T38&gt;0,1,-1),0),0))*IF(Y38="No",IF(ISODD(T38),0.5,-0.5),1),timelineStartRow - boxDistance * V38),IF( S38="S",INDEX($AC$4:$AC$503,MATCH(P38,$AB$4:$AB$503,0),1),INDEX($AC$4:$AC$503,MATCH(P38,$AB$4:$AB$503,0),1)&amp;"-"&amp;INDEX($AC$4:$AC$503,MATCH(Q38,$AB$4:$AB$503,0),1))),"")</f>
        <v/>
      </c>
      <c r="AF38" s="132" t="str">
        <f>IF(ISNUMBER(P38), IF(Dashboard!$H$6&lt;&gt;"Horizontal",IF(S38="S",INDEX($AD$4:$AD$503,MATCH(P38,$AB$4:$AB$503,0),1)+boxDistance*(T38+IF(Y38="No",IF(ISODD(T38),IF(T38&gt;0,1,-1),0),0))*IF(Y38="No",IF(ISODD(T38),0.5,-0.5),1),timelineStartColumn-boxDistance * IF(AND(ISNUMBER(V38),V38&gt;1),V38*0.85,1)   ),IF( S38="S",INDEX($AD$4:$AD$503,MATCH(P38,$AB$4:$AB$503,0),1),INDEX($AD$4:$AD$503,MATCH(P38,$AB$4:$AB$503,0),1)&amp;"-"&amp;INDEX($AD$4:$AD$503,MATCH(Q38,$AB$4:$AB$503,0),1))),"")</f>
        <v/>
      </c>
      <c r="AG38" s="133" t="str">
        <f t="shared" si="9"/>
        <v/>
      </c>
      <c r="AH38" s="134" t="str">
        <f t="shared" si="16"/>
        <v/>
      </c>
      <c r="AI38" s="135" t="str">
        <f t="shared" si="3"/>
        <v/>
      </c>
      <c r="AJ38" s="135" t="str">
        <f t="shared" si="11"/>
        <v/>
      </c>
      <c r="AK38" s="126" t="str">
        <f t="shared" si="17"/>
        <v/>
      </c>
      <c r="AL38" s="126" t="str">
        <f ca="1">IFERROR(IF(AK38="","", MATCH(AK38,OFFSET(Icons!$B$5,1,AM38-3,20,1),0)+5),"")</f>
        <v/>
      </c>
      <c r="AM38" s="126" t="str">
        <f t="shared" si="12"/>
        <v/>
      </c>
      <c r="AN38" s="90"/>
      <c r="AW38" s="123">
        <v>5</v>
      </c>
      <c r="AX38" s="172" t="str">
        <f t="array" ref="AX38">IF(INDEX(iconsTable,ROW(AX18)-ROW($AX$3),3)="","",INDEX(iconsTable,ROW(AX18)-ROW($AX$3),3))</f>
        <v>euro</v>
      </c>
      <c r="AY38" s="123">
        <f t="shared" si="13"/>
        <v>55</v>
      </c>
      <c r="AZ38" s="137" t="str">
        <f t="shared" si="14"/>
        <v>giraffe</v>
      </c>
    </row>
    <row r="39" spans="5:52" ht="15" customHeight="1" x14ac:dyDescent="0.25">
      <c r="E39" s="126">
        <v>36</v>
      </c>
      <c r="F39" s="126"/>
      <c r="G39" s="127"/>
      <c r="H39" s="127"/>
      <c r="I39" s="126"/>
      <c r="K39" s="137" t="str">
        <f t="shared" si="5"/>
        <v/>
      </c>
      <c r="L39" s="127" t="str">
        <f t="shared" si="0"/>
        <v/>
      </c>
      <c r="N39" s="128" t="str">
        <f t="shared" si="6"/>
        <v/>
      </c>
      <c r="O39" s="126" t="str">
        <f t="array" ref="O39">IFERROR(SMALL(IF(($G$4:$G$253=P39),ROW($G$4:$G$253)-ROW($G$3),"" ),N39),"")</f>
        <v/>
      </c>
      <c r="P39" s="127" t="str">
        <f t="array" ref="P39">IFERROR(SMALL($G$4:$G$253,E39),"")</f>
        <v/>
      </c>
      <c r="Q39" s="127" t="str">
        <f t="shared" si="7"/>
        <v/>
      </c>
      <c r="R39" s="126" t="str">
        <f t="shared" si="8"/>
        <v/>
      </c>
      <c r="S39" s="126" t="str">
        <f t="shared" si="1"/>
        <v/>
      </c>
      <c r="T39" s="128" t="str">
        <f>IF(OR(S39="R",S39=""),"",COUNTIFS($P$4:P39,P39,$S$4:S39,"S")*U39)</f>
        <v/>
      </c>
      <c r="U39" s="128" t="str">
        <f>IF(ISNUMBER(N39),IF($C$11=TRUE,IF(OR(ISODD(COUNTIF($N$4:N39,1)),Y39="Yes"),1,-1),1),"")</f>
        <v/>
      </c>
      <c r="V39" s="128" t="str">
        <f ca="1">IFERROR(IF(AND(S39="R",W39&lt;&gt;""),1,IF(S39="R",MAX(OFFSET(V38,0,0,-1*(ROW(W39)-3-MATCH(MAX($W$4:W38),$W$4:W38,0)),1))+1,"")),"")</f>
        <v/>
      </c>
      <c r="W39" s="129" t="str">
        <f>IFERROR(IF(AND(S39="R", P39&gt;MAX($X$3:X38)),P39,""),"")</f>
        <v/>
      </c>
      <c r="X39" s="129" t="str">
        <f>IFERROR(IF(AND(W39="",Q39&gt;=MAX($X$3:X38)),IF(S39="R",Q39,IF(AND(W39="",P39&lt;=MAX($X$3:X38)),MAX($X$3:X38),"")),IF(W39&lt;&gt;"", Q39,"")),"")</f>
        <v/>
      </c>
      <c r="Y39" s="126" t="str">
        <f>IF(S39="S",IF(OR(P39&lt;=MAX($X$3:X38),P39&gt;=IF(MIN(W40:$W$53)&lt;1,99999999,MIN(W40:$W$53))),"Yes","No"),"")</f>
        <v/>
      </c>
      <c r="AA39" s="130" t="str">
        <f t="shared" si="2"/>
        <v/>
      </c>
      <c r="AB39" s="131" t="str">
        <f t="array" ref="AB39">IF(AA39&lt;=$AA$2,MIN(IF($L$4:$L$503&lt;=AB38,99999999999,$L$4:$L$503)),"")</f>
        <v/>
      </c>
      <c r="AC39" s="130" t="str">
        <f>IF(ISNUMBER(AA39),IF(Dashboard!$H$6&lt;&gt;"Horizontal",AC38+dateDistance,AC38),"")</f>
        <v/>
      </c>
      <c r="AD39" s="130" t="str">
        <f>IF(ISNUMBER(AA39),IF(Dashboard!$H$6="Horizontal",AD38+dateDistance,AD38),"")</f>
        <v/>
      </c>
      <c r="AE39" s="132" t="str">
        <f>IF(ISNUMBER(P39), IF(Dashboard!$H$6="Horizontal",IF(S39="S",INDEX($AC$4:$AC$503,MATCH(P39,$AB$4:$AB$503,0),1)+boxDistance*(T39+IF(Y39="No",IF(ISODD(T39),IF(T39&gt;0,1,-1),0),0))*IF(Y39="No",IF(ISODD(T39),0.5,-0.5),1),timelineStartRow - boxDistance * V39),IF( S39="S",INDEX($AC$4:$AC$503,MATCH(P39,$AB$4:$AB$503,0),1),INDEX($AC$4:$AC$503,MATCH(P39,$AB$4:$AB$503,0),1)&amp;"-"&amp;INDEX($AC$4:$AC$503,MATCH(Q39,$AB$4:$AB$503,0),1))),"")</f>
        <v/>
      </c>
      <c r="AF39" s="132" t="str">
        <f>IF(ISNUMBER(P39), IF(Dashboard!$H$6&lt;&gt;"Horizontal",IF(S39="S",INDEX($AD$4:$AD$503,MATCH(P39,$AB$4:$AB$503,0),1)+boxDistance*(T39+IF(Y39="No",IF(ISODD(T39),IF(T39&gt;0,1,-1),0),0))*IF(Y39="No",IF(ISODD(T39),0.5,-0.5),1),timelineStartColumn-boxDistance * IF(AND(ISNUMBER(V39),V39&gt;1),V39*0.85,1)   ),IF( S39="S",INDEX($AD$4:$AD$503,MATCH(P39,$AB$4:$AB$503,0),1),INDEX($AD$4:$AD$503,MATCH(P39,$AB$4:$AB$503,0),1)&amp;"-"&amp;INDEX($AD$4:$AD$503,MATCH(Q39,$AB$4:$AB$503,0),1))),"")</f>
        <v/>
      </c>
      <c r="AG39" s="133" t="str">
        <f t="shared" si="9"/>
        <v/>
      </c>
      <c r="AH39" s="134" t="str">
        <f t="shared" si="16"/>
        <v/>
      </c>
      <c r="AI39" s="135" t="str">
        <f t="shared" si="3"/>
        <v/>
      </c>
      <c r="AJ39" s="135" t="str">
        <f t="shared" si="11"/>
        <v/>
      </c>
      <c r="AK39" s="126" t="str">
        <f t="shared" si="17"/>
        <v/>
      </c>
      <c r="AL39" s="126" t="str">
        <f ca="1">IFERROR(IF(AK39="","", MATCH(AK39,OFFSET(Icons!$B$5,1,AM39-3,20,1),0)+5),"")</f>
        <v/>
      </c>
      <c r="AM39" s="126" t="str">
        <f t="shared" si="12"/>
        <v/>
      </c>
      <c r="AN39" s="90"/>
      <c r="AW39" s="123">
        <v>5</v>
      </c>
      <c r="AX39" s="172" t="str">
        <f t="array" ref="AX39">IF(INDEX(iconsTable,ROW(AX19)-ROW($AX$3),3)="","",INDEX(iconsTable,ROW(AX19)-ROW($AX$3),3))</f>
        <v/>
      </c>
      <c r="AY39" s="123" t="str">
        <f t="shared" si="13"/>
        <v/>
      </c>
      <c r="AZ39" s="137" t="str">
        <f t="shared" si="14"/>
        <v>graduation</v>
      </c>
    </row>
    <row r="40" spans="5:52" ht="15" customHeight="1" x14ac:dyDescent="0.25">
      <c r="E40" s="126">
        <v>37</v>
      </c>
      <c r="F40" s="126"/>
      <c r="G40" s="127"/>
      <c r="H40" s="127"/>
      <c r="I40" s="126"/>
      <c r="K40" s="137" t="str">
        <f t="shared" si="5"/>
        <v/>
      </c>
      <c r="L40" s="127" t="str">
        <f t="shared" si="0"/>
        <v/>
      </c>
      <c r="N40" s="128" t="str">
        <f t="shared" si="6"/>
        <v/>
      </c>
      <c r="O40" s="126" t="str">
        <f t="array" ref="O40">IFERROR(SMALL(IF(($G$4:$G$253=P40),ROW($G$4:$G$253)-ROW($G$3),"" ),N40),"")</f>
        <v/>
      </c>
      <c r="P40" s="127" t="str">
        <f t="array" ref="P40">IFERROR(SMALL($G$4:$G$253,E40),"")</f>
        <v/>
      </c>
      <c r="Q40" s="127" t="str">
        <f t="shared" si="7"/>
        <v/>
      </c>
      <c r="R40" s="126" t="str">
        <f t="shared" si="8"/>
        <v/>
      </c>
      <c r="S40" s="126" t="str">
        <f t="shared" si="1"/>
        <v/>
      </c>
      <c r="T40" s="128" t="str">
        <f>IF(OR(S40="R",S40=""),"",COUNTIFS($P$4:P40,P40,$S$4:S40,"S")*U40)</f>
        <v/>
      </c>
      <c r="U40" s="128" t="str">
        <f>IF(ISNUMBER(N40),IF($C$11=TRUE,IF(OR(ISODD(COUNTIF($N$4:N40,1)),Y40="Yes"),1,-1),1),"")</f>
        <v/>
      </c>
      <c r="V40" s="128" t="str">
        <f ca="1">IFERROR(IF(AND(S40="R",W40&lt;&gt;""),1,IF(S40="R",MAX(OFFSET(V39,0,0,-1*(ROW(W40)-3-MATCH(MAX($W$4:W39),$W$4:W39,0)),1))+1,"")),"")</f>
        <v/>
      </c>
      <c r="W40" s="129" t="str">
        <f>IFERROR(IF(AND(S40="R", P40&gt;MAX($X$3:X39)),P40,""),"")</f>
        <v/>
      </c>
      <c r="X40" s="129" t="str">
        <f>IFERROR(IF(AND(W40="",Q40&gt;=MAX($X$3:X39)),IF(S40="R",Q40,IF(AND(W40="",P40&lt;=MAX($X$3:X39)),MAX($X$3:X39),"")),IF(W40&lt;&gt;"", Q40,"")),"")</f>
        <v/>
      </c>
      <c r="Y40" s="126" t="str">
        <f>IF(S40="S",IF(OR(P40&lt;=MAX($X$3:X39),P40&gt;=IF(MIN(W41:$W$53)&lt;1,99999999,MIN(W41:$W$53))),"Yes","No"),"")</f>
        <v/>
      </c>
      <c r="AA40" s="130" t="str">
        <f t="shared" si="2"/>
        <v/>
      </c>
      <c r="AB40" s="131" t="str">
        <f t="array" ref="AB40">IF(AA40&lt;=$AA$2,MIN(IF($L$4:$L$503&lt;=AB39,99999999999,$L$4:$L$503)),"")</f>
        <v/>
      </c>
      <c r="AC40" s="130" t="str">
        <f>IF(ISNUMBER(AA40),IF(Dashboard!$H$6&lt;&gt;"Horizontal",AC39+dateDistance,AC39),"")</f>
        <v/>
      </c>
      <c r="AD40" s="130" t="str">
        <f>IF(ISNUMBER(AA40),IF(Dashboard!$H$6="Horizontal",AD39+dateDistance,AD39),"")</f>
        <v/>
      </c>
      <c r="AE40" s="132" t="str">
        <f>IF(ISNUMBER(P40), IF(Dashboard!$H$6="Horizontal",IF(S40="S",INDEX($AC$4:$AC$503,MATCH(P40,$AB$4:$AB$503,0),1)+boxDistance*(T40+IF(Y40="No",IF(ISODD(T40),IF(T40&gt;0,1,-1),0),0))*IF(Y40="No",IF(ISODD(T40),0.5,-0.5),1),timelineStartRow - boxDistance * V40),IF( S40="S",INDEX($AC$4:$AC$503,MATCH(P40,$AB$4:$AB$503,0),1),INDEX($AC$4:$AC$503,MATCH(P40,$AB$4:$AB$503,0),1)&amp;"-"&amp;INDEX($AC$4:$AC$503,MATCH(Q40,$AB$4:$AB$503,0),1))),"")</f>
        <v/>
      </c>
      <c r="AF40" s="132" t="str">
        <f>IF(ISNUMBER(P40), IF(Dashboard!$H$6&lt;&gt;"Horizontal",IF(S40="S",INDEX($AD$4:$AD$503,MATCH(P40,$AB$4:$AB$503,0),1)+boxDistance*(T40+IF(Y40="No",IF(ISODD(T40),IF(T40&gt;0,1,-1),0),0))*IF(Y40="No",IF(ISODD(T40),0.5,-0.5),1),timelineStartColumn-boxDistance * IF(AND(ISNUMBER(V40),V40&gt;1),V40*0.85,1)   ),IF( S40="S",INDEX($AD$4:$AD$503,MATCH(P40,$AB$4:$AB$503,0),1),INDEX($AD$4:$AD$503,MATCH(P40,$AB$4:$AB$503,0),1)&amp;"-"&amp;INDEX($AD$4:$AD$503,MATCH(Q40,$AB$4:$AB$503,0),1))),"")</f>
        <v/>
      </c>
      <c r="AG40" s="133" t="str">
        <f t="shared" si="9"/>
        <v/>
      </c>
      <c r="AH40" s="134" t="str">
        <f t="shared" si="16"/>
        <v/>
      </c>
      <c r="AI40" s="135" t="str">
        <f t="shared" si="3"/>
        <v/>
      </c>
      <c r="AJ40" s="135" t="str">
        <f t="shared" si="11"/>
        <v/>
      </c>
      <c r="AK40" s="126" t="str">
        <f t="shared" si="17"/>
        <v/>
      </c>
      <c r="AL40" s="126" t="str">
        <f ca="1">IFERROR(IF(AK40="","", MATCH(AK40,OFFSET(Icons!$B$5,1,AM40-3,20,1),0)+5),"")</f>
        <v/>
      </c>
      <c r="AM40" s="126" t="str">
        <f t="shared" si="12"/>
        <v/>
      </c>
      <c r="AN40" s="90"/>
      <c r="AW40" s="123">
        <v>5</v>
      </c>
      <c r="AX40" s="172" t="str">
        <f t="array" ref="AX40">IF(INDEX(iconsTable,ROW(AX20)-ROW($AX$3),3)="","",INDEX(iconsTable,ROW(AX20)-ROW($AX$3),3))</f>
        <v/>
      </c>
      <c r="AY40" s="123" t="str">
        <f t="shared" si="13"/>
        <v/>
      </c>
      <c r="AZ40" s="137" t="str">
        <f t="shared" si="14"/>
        <v>grapes</v>
      </c>
    </row>
    <row r="41" spans="5:52" ht="15" customHeight="1" x14ac:dyDescent="0.25">
      <c r="E41" s="126">
        <v>38</v>
      </c>
      <c r="F41" s="126"/>
      <c r="G41" s="127"/>
      <c r="H41" s="127"/>
      <c r="I41" s="126"/>
      <c r="K41" s="137" t="str">
        <f t="shared" si="5"/>
        <v/>
      </c>
      <c r="L41" s="127" t="str">
        <f t="shared" si="0"/>
        <v/>
      </c>
      <c r="N41" s="128" t="str">
        <f t="shared" si="6"/>
        <v/>
      </c>
      <c r="O41" s="126" t="str">
        <f t="array" ref="O41">IFERROR(SMALL(IF(($G$4:$G$253=P41),ROW($G$4:$G$253)-ROW($G$3),"" ),N41),"")</f>
        <v/>
      </c>
      <c r="P41" s="127" t="str">
        <f t="array" ref="P41">IFERROR(SMALL($G$4:$G$253,E41),"")</f>
        <v/>
      </c>
      <c r="Q41" s="127" t="str">
        <f t="shared" si="7"/>
        <v/>
      </c>
      <c r="R41" s="126" t="str">
        <f t="shared" si="8"/>
        <v/>
      </c>
      <c r="S41" s="126" t="str">
        <f t="shared" si="1"/>
        <v/>
      </c>
      <c r="T41" s="128" t="str">
        <f>IF(OR(S41="R",S41=""),"",COUNTIFS($P$4:P41,P41,$S$4:S41,"S")*U41)</f>
        <v/>
      </c>
      <c r="U41" s="128" t="str">
        <f>IF(ISNUMBER(N41),IF($C$11=TRUE,IF(OR(ISODD(COUNTIF($N$4:N41,1)),Y41="Yes"),1,-1),1),"")</f>
        <v/>
      </c>
      <c r="V41" s="128" t="str">
        <f ca="1">IFERROR(IF(AND(S41="R",W41&lt;&gt;""),1,IF(S41="R",MAX(OFFSET(V40,0,0,-1*(ROW(W41)-3-MATCH(MAX($W$4:W40),$W$4:W40,0)),1))+1,"")),"")</f>
        <v/>
      </c>
      <c r="W41" s="129" t="str">
        <f>IFERROR(IF(AND(S41="R", P41&gt;MAX($X$3:X40)),P41,""),"")</f>
        <v/>
      </c>
      <c r="X41" s="129" t="str">
        <f>IFERROR(IF(AND(W41="",Q41&gt;=MAX($X$3:X40)),IF(S41="R",Q41,IF(AND(W41="",P41&lt;=MAX($X$3:X40)),MAX($X$3:X40),"")),IF(W41&lt;&gt;"", Q41,"")),"")</f>
        <v/>
      </c>
      <c r="Y41" s="126" t="str">
        <f>IF(S41="S",IF(OR(P41&lt;=MAX($X$3:X40),P41&gt;=IF(MIN(W42:$W$53)&lt;1,99999999,MIN(W42:$W$53))),"Yes","No"),"")</f>
        <v/>
      </c>
      <c r="AA41" s="130" t="str">
        <f t="shared" si="2"/>
        <v/>
      </c>
      <c r="AB41" s="131" t="str">
        <f t="array" ref="AB41">IF(AA41&lt;=$AA$2,MIN(IF($L$4:$L$503&lt;=AB40,99999999999,$L$4:$L$503)),"")</f>
        <v/>
      </c>
      <c r="AC41" s="130" t="str">
        <f>IF(ISNUMBER(AA41),IF(Dashboard!$H$6&lt;&gt;"Horizontal",AC40+dateDistance,AC40),"")</f>
        <v/>
      </c>
      <c r="AD41" s="130" t="str">
        <f>IF(ISNUMBER(AA41),IF(Dashboard!$H$6="Horizontal",AD40+dateDistance,AD40),"")</f>
        <v/>
      </c>
      <c r="AE41" s="132" t="str">
        <f>IF(ISNUMBER(P41), IF(Dashboard!$H$6="Horizontal",IF(S41="S",INDEX($AC$4:$AC$503,MATCH(P41,$AB$4:$AB$503,0),1)+boxDistance*(T41+IF(Y41="No",IF(ISODD(T41),IF(T41&gt;0,1,-1),0),0))*IF(Y41="No",IF(ISODD(T41),0.5,-0.5),1),timelineStartRow - boxDistance * V41),IF( S41="S",INDEX($AC$4:$AC$503,MATCH(P41,$AB$4:$AB$503,0),1),INDEX($AC$4:$AC$503,MATCH(P41,$AB$4:$AB$503,0),1)&amp;"-"&amp;INDEX($AC$4:$AC$503,MATCH(Q41,$AB$4:$AB$503,0),1))),"")</f>
        <v/>
      </c>
      <c r="AF41" s="132" t="str">
        <f>IF(ISNUMBER(P41), IF(Dashboard!$H$6&lt;&gt;"Horizontal",IF(S41="S",INDEX($AD$4:$AD$503,MATCH(P41,$AB$4:$AB$503,0),1)+boxDistance*(T41+IF(Y41="No",IF(ISODD(T41),IF(T41&gt;0,1,-1),0),0))*IF(Y41="No",IF(ISODD(T41),0.5,-0.5),1),timelineStartColumn-boxDistance * IF(AND(ISNUMBER(V41),V41&gt;1),V41*0.85,1)   ),IF( S41="S",INDEX($AD$4:$AD$503,MATCH(P41,$AB$4:$AB$503,0),1),INDEX($AD$4:$AD$503,MATCH(P41,$AB$4:$AB$503,0),1)&amp;"-"&amp;INDEX($AD$4:$AD$503,MATCH(Q41,$AB$4:$AB$503,0),1))),"")</f>
        <v/>
      </c>
      <c r="AG41" s="133" t="str">
        <f t="shared" si="9"/>
        <v/>
      </c>
      <c r="AH41" s="134" t="str">
        <f t="shared" si="16"/>
        <v/>
      </c>
      <c r="AI41" s="135" t="str">
        <f t="shared" si="3"/>
        <v/>
      </c>
      <c r="AJ41" s="135" t="str">
        <f t="shared" si="11"/>
        <v/>
      </c>
      <c r="AK41" s="126" t="str">
        <f t="shared" si="17"/>
        <v/>
      </c>
      <c r="AL41" s="126" t="str">
        <f ca="1">IFERROR(IF(AK41="","", MATCH(AK41,OFFSET(Icons!$B$5,1,AM41-3,20,1),0)+5),"")</f>
        <v/>
      </c>
      <c r="AM41" s="126" t="str">
        <f t="shared" si="12"/>
        <v/>
      </c>
      <c r="AN41" s="90"/>
      <c r="AW41" s="123">
        <v>5</v>
      </c>
      <c r="AX41" s="172" t="str">
        <f t="array" ref="AX41">IF(INDEX(iconsTable,ROW(AX21)-ROW($AX$3),3)="","",INDEX(iconsTable,ROW(AX21)-ROW($AX$3),3))</f>
        <v/>
      </c>
      <c r="AY41" s="123" t="str">
        <f t="shared" si="13"/>
        <v/>
      </c>
      <c r="AZ41" s="137" t="str">
        <f t="shared" si="14"/>
        <v>guitar</v>
      </c>
    </row>
    <row r="42" spans="5:52" ht="15" customHeight="1" x14ac:dyDescent="0.25">
      <c r="E42" s="126">
        <v>39</v>
      </c>
      <c r="F42" s="126"/>
      <c r="G42" s="127"/>
      <c r="H42" s="127"/>
      <c r="I42" s="126"/>
      <c r="K42" s="137" t="str">
        <f t="shared" si="5"/>
        <v/>
      </c>
      <c r="L42" s="127" t="str">
        <f t="shared" si="0"/>
        <v/>
      </c>
      <c r="N42" s="128" t="str">
        <f t="shared" si="6"/>
        <v/>
      </c>
      <c r="O42" s="126" t="str">
        <f t="array" ref="O42">IFERROR(SMALL(IF(($G$4:$G$253=P42),ROW($G$4:$G$253)-ROW($G$3),"" ),N42),"")</f>
        <v/>
      </c>
      <c r="P42" s="127" t="str">
        <f t="array" ref="P42">IFERROR(SMALL($G$4:$G$253,E42),"")</f>
        <v/>
      </c>
      <c r="Q42" s="127" t="str">
        <f t="shared" si="7"/>
        <v/>
      </c>
      <c r="R42" s="126" t="str">
        <f t="shared" si="8"/>
        <v/>
      </c>
      <c r="S42" s="126" t="str">
        <f t="shared" si="1"/>
        <v/>
      </c>
      <c r="T42" s="128" t="str">
        <f>IF(OR(S42="R",S42=""),"",COUNTIFS($P$4:P42,P42,$S$4:S42,"S")*U42)</f>
        <v/>
      </c>
      <c r="U42" s="128" t="str">
        <f>IF(ISNUMBER(N42),IF($C$11=TRUE,IF(OR(ISODD(COUNTIF($N$4:N42,1)),Y42="Yes"),1,-1),1),"")</f>
        <v/>
      </c>
      <c r="V42" s="128" t="str">
        <f ca="1">IFERROR(IF(AND(S42="R",W42&lt;&gt;""),1,IF(S42="R",MAX(OFFSET(V41,0,0,-1*(ROW(W42)-3-MATCH(MAX($W$4:W41),$W$4:W41,0)),1))+1,"")),"")</f>
        <v/>
      </c>
      <c r="W42" s="129" t="str">
        <f>IFERROR(IF(AND(S42="R", P42&gt;MAX($X$3:X41)),P42,""),"")</f>
        <v/>
      </c>
      <c r="X42" s="129" t="str">
        <f>IFERROR(IF(AND(W42="",Q42&gt;=MAX($X$3:X41)),IF(S42="R",Q42,IF(AND(W42="",P42&lt;=MAX($X$3:X41)),MAX($X$3:X41),"")),IF(W42&lt;&gt;"", Q42,"")),"")</f>
        <v/>
      </c>
      <c r="Y42" s="126" t="str">
        <f>IF(S42="S",IF(OR(P42&lt;=MAX($X$3:X41),P42&gt;=IF(MIN(W43:$W$53)&lt;1,99999999,MIN(W43:$W$53))),"Yes","No"),"")</f>
        <v/>
      </c>
      <c r="AA42" s="130" t="str">
        <f t="shared" si="2"/>
        <v/>
      </c>
      <c r="AB42" s="131" t="str">
        <f t="array" ref="AB42">IF(AA42&lt;=$AA$2,MIN(IF($L$4:$L$503&lt;=AB41,99999999999,$L$4:$L$503)),"")</f>
        <v/>
      </c>
      <c r="AC42" s="130" t="str">
        <f>IF(ISNUMBER(AA42),IF(Dashboard!$H$6&lt;&gt;"Horizontal",AC41+dateDistance,AC41),"")</f>
        <v/>
      </c>
      <c r="AD42" s="130" t="str">
        <f>IF(ISNUMBER(AA42),IF(Dashboard!$H$6="Horizontal",AD41+dateDistance,AD41),"")</f>
        <v/>
      </c>
      <c r="AE42" s="132" t="str">
        <f>IF(ISNUMBER(P42), IF(Dashboard!$H$6="Horizontal",IF(S42="S",INDEX($AC$4:$AC$503,MATCH(P42,$AB$4:$AB$503,0),1)+boxDistance*(T42+IF(Y42="No",IF(ISODD(T42),IF(T42&gt;0,1,-1),0),0))*IF(Y42="No",IF(ISODD(T42),0.5,-0.5),1),timelineStartRow - boxDistance * V42),IF( S42="S",INDEX($AC$4:$AC$503,MATCH(P42,$AB$4:$AB$503,0),1),INDEX($AC$4:$AC$503,MATCH(P42,$AB$4:$AB$503,0),1)&amp;"-"&amp;INDEX($AC$4:$AC$503,MATCH(Q42,$AB$4:$AB$503,0),1))),"")</f>
        <v/>
      </c>
      <c r="AF42" s="132" t="str">
        <f>IF(ISNUMBER(P42), IF(Dashboard!$H$6&lt;&gt;"Horizontal",IF(S42="S",INDEX($AD$4:$AD$503,MATCH(P42,$AB$4:$AB$503,0),1)+boxDistance*(T42+IF(Y42="No",IF(ISODD(T42),IF(T42&gt;0,1,-1),0),0))*IF(Y42="No",IF(ISODD(T42),0.5,-0.5),1),timelineStartColumn-boxDistance * IF(AND(ISNUMBER(V42),V42&gt;1),V42*0.85,1)   ),IF( S42="S",INDEX($AD$4:$AD$503,MATCH(P42,$AB$4:$AB$503,0),1),INDEX($AD$4:$AD$503,MATCH(P42,$AB$4:$AB$503,0),1)&amp;"-"&amp;INDEX($AD$4:$AD$503,MATCH(Q42,$AB$4:$AB$503,0),1))),"")</f>
        <v/>
      </c>
      <c r="AG42" s="133" t="str">
        <f t="shared" si="9"/>
        <v/>
      </c>
      <c r="AH42" s="134" t="str">
        <f t="shared" si="16"/>
        <v/>
      </c>
      <c r="AI42" s="135" t="str">
        <f t="shared" si="3"/>
        <v/>
      </c>
      <c r="AJ42" s="135" t="str">
        <f t="shared" si="11"/>
        <v/>
      </c>
      <c r="AK42" s="126" t="str">
        <f t="shared" si="17"/>
        <v/>
      </c>
      <c r="AL42" s="126" t="str">
        <f ca="1">IFERROR(IF(AK42="","", MATCH(AK42,OFFSET(Icons!$B$5,1,AM42-3,20,1),0)+5),"")</f>
        <v/>
      </c>
      <c r="AM42" s="126" t="str">
        <f t="shared" si="12"/>
        <v/>
      </c>
      <c r="AN42" s="90"/>
      <c r="AW42" s="123">
        <v>5</v>
      </c>
      <c r="AX42" s="172" t="str">
        <f t="array" ref="AX42">IF(INDEX(iconsTable,ROW(AX22)-ROW($AX$3),3)="","",INDEX(iconsTable,ROW(AX22)-ROW($AX$3),3))</f>
        <v/>
      </c>
      <c r="AY42" s="123" t="str">
        <f t="shared" si="13"/>
        <v/>
      </c>
      <c r="AZ42" s="137" t="str">
        <f t="shared" si="14"/>
        <v>heart</v>
      </c>
    </row>
    <row r="43" spans="5:52" ht="15" customHeight="1" x14ac:dyDescent="0.25">
      <c r="E43" s="126">
        <v>40</v>
      </c>
      <c r="F43" s="126"/>
      <c r="G43" s="127"/>
      <c r="H43" s="127"/>
      <c r="I43" s="126"/>
      <c r="K43" s="137" t="str">
        <f t="shared" si="5"/>
        <v/>
      </c>
      <c r="L43" s="127" t="str">
        <f t="shared" si="0"/>
        <v/>
      </c>
      <c r="N43" s="128" t="str">
        <f t="shared" si="6"/>
        <v/>
      </c>
      <c r="O43" s="126" t="str">
        <f t="array" ref="O43">IFERROR(SMALL(IF(($G$4:$G$253=P43),ROW($G$4:$G$253)-ROW($G$3),"" ),N43),"")</f>
        <v/>
      </c>
      <c r="P43" s="127" t="str">
        <f t="array" ref="P43">IFERROR(SMALL($G$4:$G$253,E43),"")</f>
        <v/>
      </c>
      <c r="Q43" s="127" t="str">
        <f t="shared" si="7"/>
        <v/>
      </c>
      <c r="R43" s="126" t="str">
        <f t="shared" si="8"/>
        <v/>
      </c>
      <c r="S43" s="126" t="str">
        <f t="shared" si="1"/>
        <v/>
      </c>
      <c r="T43" s="128" t="str">
        <f>IF(OR(S43="R",S43=""),"",COUNTIFS($P$4:P43,P43,$S$4:S43,"S")*U43)</f>
        <v/>
      </c>
      <c r="U43" s="128" t="str">
        <f>IF(ISNUMBER(N43),IF($C$11=TRUE,IF(OR(ISODD(COUNTIF($N$4:N43,1)),Y43="Yes"),1,-1),1),"")</f>
        <v/>
      </c>
      <c r="V43" s="128" t="str">
        <f ca="1">IFERROR(IF(AND(S43="R",W43&lt;&gt;""),1,IF(S43="R",MAX(OFFSET(V42,0,0,-1*(ROW(W43)-3-MATCH(MAX($W$4:W42),$W$4:W42,0)),1))+1,"")),"")</f>
        <v/>
      </c>
      <c r="W43" s="129" t="str">
        <f>IFERROR(IF(AND(S43="R", P43&gt;MAX($X$3:X42)),P43,""),"")</f>
        <v/>
      </c>
      <c r="X43" s="129" t="str">
        <f>IFERROR(IF(AND(W43="",Q43&gt;=MAX($X$3:X42)),IF(S43="R",Q43,IF(AND(W43="",P43&lt;=MAX($X$3:X42)),MAX($X$3:X42),"")),IF(W43&lt;&gt;"", Q43,"")),"")</f>
        <v/>
      </c>
      <c r="Y43" s="126" t="str">
        <f>IF(S43="S",IF(OR(P43&lt;=MAX($X$3:X42),P43&gt;=IF(MIN(W44:$W$53)&lt;1,99999999,MIN(W44:$W$53))),"Yes","No"),"")</f>
        <v/>
      </c>
      <c r="AA43" s="130" t="str">
        <f t="shared" si="2"/>
        <v/>
      </c>
      <c r="AB43" s="131" t="str">
        <f t="array" ref="AB43">IF(AA43&lt;=$AA$2,MIN(IF($L$4:$L$503&lt;=AB42,99999999999,$L$4:$L$503)),"")</f>
        <v/>
      </c>
      <c r="AC43" s="130" t="str">
        <f>IF(ISNUMBER(AA43),IF(Dashboard!$H$6&lt;&gt;"Horizontal",AC42+dateDistance,AC42),"")</f>
        <v/>
      </c>
      <c r="AD43" s="130" t="str">
        <f>IF(ISNUMBER(AA43),IF(Dashboard!$H$6="Horizontal",AD42+dateDistance,AD42),"")</f>
        <v/>
      </c>
      <c r="AE43" s="132" t="str">
        <f>IF(ISNUMBER(P43), IF(Dashboard!$H$6="Horizontal",IF(S43="S",INDEX($AC$4:$AC$503,MATCH(P43,$AB$4:$AB$503,0),1)+boxDistance*(T43+IF(Y43="No",IF(ISODD(T43),IF(T43&gt;0,1,-1),0),0))*IF(Y43="No",IF(ISODD(T43),0.5,-0.5),1),timelineStartRow - boxDistance * V43),IF( S43="S",INDEX($AC$4:$AC$503,MATCH(P43,$AB$4:$AB$503,0),1),INDEX($AC$4:$AC$503,MATCH(P43,$AB$4:$AB$503,0),1)&amp;"-"&amp;INDEX($AC$4:$AC$503,MATCH(Q43,$AB$4:$AB$503,0),1))),"")</f>
        <v/>
      </c>
      <c r="AF43" s="132" t="str">
        <f>IF(ISNUMBER(P43), IF(Dashboard!$H$6&lt;&gt;"Horizontal",IF(S43="S",INDEX($AD$4:$AD$503,MATCH(P43,$AB$4:$AB$503,0),1)+boxDistance*(T43+IF(Y43="No",IF(ISODD(T43),IF(T43&gt;0,1,-1),0),0))*IF(Y43="No",IF(ISODD(T43),0.5,-0.5),1),timelineStartColumn-boxDistance * IF(AND(ISNUMBER(V43),V43&gt;1),V43*0.85,1)   ),IF( S43="S",INDEX($AD$4:$AD$503,MATCH(P43,$AB$4:$AB$503,0),1),INDEX($AD$4:$AD$503,MATCH(P43,$AB$4:$AB$503,0),1)&amp;"-"&amp;INDEX($AD$4:$AD$503,MATCH(Q43,$AB$4:$AB$503,0),1))),"")</f>
        <v/>
      </c>
      <c r="AG43" s="133" t="str">
        <f t="shared" si="9"/>
        <v/>
      </c>
      <c r="AH43" s="134" t="str">
        <f t="shared" si="16"/>
        <v/>
      </c>
      <c r="AI43" s="135" t="str">
        <f t="shared" si="3"/>
        <v/>
      </c>
      <c r="AJ43" s="135" t="str">
        <f t="shared" si="11"/>
        <v/>
      </c>
      <c r="AK43" s="126" t="str">
        <f t="shared" si="17"/>
        <v/>
      </c>
      <c r="AL43" s="126" t="str">
        <f ca="1">IFERROR(IF(AK43="","", MATCH(AK43,OFFSET(Icons!$B$5,1,AM43-3,20,1),0)+5),"")</f>
        <v/>
      </c>
      <c r="AM43" s="126" t="str">
        <f t="shared" si="12"/>
        <v/>
      </c>
      <c r="AN43" s="90"/>
      <c r="AW43" s="123">
        <v>5</v>
      </c>
      <c r="AX43" s="172" t="str">
        <f t="array" ref="AX43">IF(INDEX(iconsTable,ROW(AX23)-ROW($AX$3),3)="","",INDEX(iconsTable,ROW(AX23)-ROW($AX$3),3))</f>
        <v/>
      </c>
      <c r="AY43" s="123" t="str">
        <f t="shared" si="13"/>
        <v/>
      </c>
      <c r="AZ43" s="137" t="str">
        <f t="shared" si="14"/>
        <v>heart_rate</v>
      </c>
    </row>
    <row r="44" spans="5:52" ht="15" customHeight="1" x14ac:dyDescent="0.25">
      <c r="E44" s="126">
        <v>41</v>
      </c>
      <c r="F44" s="126"/>
      <c r="G44" s="127"/>
      <c r="H44" s="127"/>
      <c r="I44" s="126"/>
      <c r="K44" s="137" t="str">
        <f t="shared" si="5"/>
        <v/>
      </c>
      <c r="L44" s="127" t="str">
        <f t="shared" si="0"/>
        <v/>
      </c>
      <c r="N44" s="128" t="str">
        <f t="shared" si="6"/>
        <v/>
      </c>
      <c r="O44" s="126" t="str">
        <f t="array" ref="O44">IFERROR(SMALL(IF(($G$4:$G$253=P44),ROW($G$4:$G$253)-ROW($G$3),"" ),N44),"")</f>
        <v/>
      </c>
      <c r="P44" s="127" t="str">
        <f t="array" ref="P44">IFERROR(SMALL($G$4:$G$253,E44),"")</f>
        <v/>
      </c>
      <c r="Q44" s="127" t="str">
        <f t="shared" si="7"/>
        <v/>
      </c>
      <c r="R44" s="126" t="str">
        <f t="shared" si="8"/>
        <v/>
      </c>
      <c r="S44" s="126" t="str">
        <f t="shared" si="1"/>
        <v/>
      </c>
      <c r="T44" s="128" t="str">
        <f>IF(OR(S44="R",S44=""),"",COUNTIFS($P$4:P44,P44,$S$4:S44,"S")*U44)</f>
        <v/>
      </c>
      <c r="U44" s="128" t="str">
        <f>IF(ISNUMBER(N44),IF($C$11=TRUE,IF(OR(ISODD(COUNTIF($N$4:N44,1)),Y44="Yes"),1,-1),1),"")</f>
        <v/>
      </c>
      <c r="V44" s="128" t="str">
        <f ca="1">IFERROR(IF(AND(S44="R",W44&lt;&gt;""),1,IF(S44="R",MAX(OFFSET(V43,0,0,-1*(ROW(W44)-3-MATCH(MAX($W$4:W43),$W$4:W43,0)),1))+1,"")),"")</f>
        <v/>
      </c>
      <c r="W44" s="129" t="str">
        <f>IFERROR(IF(AND(S44="R", P44&gt;MAX($X$3:X43)),P44,""),"")</f>
        <v/>
      </c>
      <c r="X44" s="129" t="str">
        <f>IFERROR(IF(AND(W44="",Q44&gt;=MAX($X$3:X43)),IF(S44="R",Q44,IF(AND(W44="",P44&lt;=MAX($X$3:X43)),MAX($X$3:X43),"")),IF(W44&lt;&gt;"", Q44,"")),"")</f>
        <v/>
      </c>
      <c r="Y44" s="126" t="str">
        <f>IF(S44="S",IF(OR(P44&lt;=MAX($X$3:X43),P44&gt;=IF(MIN(W45:$W$53)&lt;1,99999999,MIN(W45:$W$53))),"Yes","No"),"")</f>
        <v/>
      </c>
      <c r="AA44" s="130" t="str">
        <f t="shared" si="2"/>
        <v/>
      </c>
      <c r="AB44" s="131" t="str">
        <f t="array" ref="AB44">IF(AA44&lt;=$AA$2,MIN(IF($L$4:$L$503&lt;=AB43,99999999999,$L$4:$L$503)),"")</f>
        <v/>
      </c>
      <c r="AC44" s="130" t="str">
        <f>IF(ISNUMBER(AA44),IF(Dashboard!$H$6&lt;&gt;"Horizontal",AC43+dateDistance,AC43),"")</f>
        <v/>
      </c>
      <c r="AD44" s="130" t="str">
        <f>IF(ISNUMBER(AA44),IF(Dashboard!$H$6="Horizontal",AD43+dateDistance,AD43),"")</f>
        <v/>
      </c>
      <c r="AE44" s="132" t="str">
        <f>IF(ISNUMBER(P44), IF(Dashboard!$H$6="Horizontal",IF(S44="S",INDEX($AC$4:$AC$503,MATCH(P44,$AB$4:$AB$503,0),1)+boxDistance*(T44+IF(Y44="No",IF(ISODD(T44),IF(T44&gt;0,1,-1),0),0))*IF(Y44="No",IF(ISODD(T44),0.5,-0.5),1),timelineStartRow - boxDistance * V44),IF( S44="S",INDEX($AC$4:$AC$503,MATCH(P44,$AB$4:$AB$503,0),1),INDEX($AC$4:$AC$503,MATCH(P44,$AB$4:$AB$503,0),1)&amp;"-"&amp;INDEX($AC$4:$AC$503,MATCH(Q44,$AB$4:$AB$503,0),1))),"")</f>
        <v/>
      </c>
      <c r="AF44" s="132" t="str">
        <f>IF(ISNUMBER(P44), IF(Dashboard!$H$6&lt;&gt;"Horizontal",IF(S44="S",INDEX($AD$4:$AD$503,MATCH(P44,$AB$4:$AB$503,0),1)+boxDistance*(T44+IF(Y44="No",IF(ISODD(T44),IF(T44&gt;0,1,-1),0),0))*IF(Y44="No",IF(ISODD(T44),0.5,-0.5),1),timelineStartColumn-boxDistance * IF(AND(ISNUMBER(V44),V44&gt;1),V44*0.85,1)   ),IF( S44="S",INDEX($AD$4:$AD$503,MATCH(P44,$AB$4:$AB$503,0),1),INDEX($AD$4:$AD$503,MATCH(P44,$AB$4:$AB$503,0),1)&amp;"-"&amp;INDEX($AD$4:$AD$503,MATCH(Q44,$AB$4:$AB$503,0),1))),"")</f>
        <v/>
      </c>
      <c r="AG44" s="133" t="str">
        <f t="shared" si="9"/>
        <v/>
      </c>
      <c r="AH44" s="134" t="str">
        <f t="shared" si="16"/>
        <v/>
      </c>
      <c r="AI44" s="135" t="str">
        <f t="shared" si="3"/>
        <v/>
      </c>
      <c r="AJ44" s="135" t="str">
        <f t="shared" si="11"/>
        <v/>
      </c>
      <c r="AK44" s="126" t="str">
        <f t="shared" si="17"/>
        <v/>
      </c>
      <c r="AL44" s="126" t="str">
        <f ca="1">IFERROR(IF(AK44="","", MATCH(AK44,OFFSET(Icons!$B$5,1,AM44-3,20,1),0)+5),"")</f>
        <v/>
      </c>
      <c r="AM44" s="126" t="str">
        <f t="shared" si="12"/>
        <v/>
      </c>
      <c r="AN44" s="90"/>
      <c r="AW44" s="123">
        <v>7</v>
      </c>
      <c r="AX44" s="172" t="str">
        <f t="array" ref="AX44">IF(INDEX(iconsTable,ROW(AX4)-ROW($AX$3),5)="","",INDEX(iconsTable,ROW(AX4)-ROW($AX$3),5))</f>
        <v>fireworks</v>
      </c>
      <c r="AY44" s="123">
        <f t="shared" si="13"/>
        <v>56</v>
      </c>
      <c r="AZ44" s="137" t="str">
        <f t="shared" si="14"/>
        <v>house</v>
      </c>
    </row>
    <row r="45" spans="5:52" ht="15" customHeight="1" x14ac:dyDescent="0.25">
      <c r="E45" s="126">
        <v>42</v>
      </c>
      <c r="F45" s="126"/>
      <c r="G45" s="127"/>
      <c r="H45" s="127"/>
      <c r="I45" s="126"/>
      <c r="K45" s="137" t="str">
        <f t="shared" si="5"/>
        <v/>
      </c>
      <c r="L45" s="127" t="str">
        <f t="shared" si="0"/>
        <v/>
      </c>
      <c r="N45" s="128" t="str">
        <f t="shared" si="6"/>
        <v/>
      </c>
      <c r="O45" s="126" t="str">
        <f t="array" ref="O45">IFERROR(SMALL(IF(($G$4:$G$253=P45),ROW($G$4:$G$253)-ROW($G$3),"" ),N45),"")</f>
        <v/>
      </c>
      <c r="P45" s="127" t="str">
        <f t="array" ref="P45">IFERROR(SMALL($G$4:$G$253,E45),"")</f>
        <v/>
      </c>
      <c r="Q45" s="127" t="str">
        <f t="shared" si="7"/>
        <v/>
      </c>
      <c r="R45" s="126" t="str">
        <f t="shared" si="8"/>
        <v/>
      </c>
      <c r="S45" s="126" t="str">
        <f t="shared" si="1"/>
        <v/>
      </c>
      <c r="T45" s="128" t="str">
        <f>IF(OR(S45="R",S45=""),"",COUNTIFS($P$4:P45,P45,$S$4:S45,"S")*U45)</f>
        <v/>
      </c>
      <c r="U45" s="128" t="str">
        <f>IF(ISNUMBER(N45),IF($C$11=TRUE,IF(OR(ISODD(COUNTIF($N$4:N45,1)),Y45="Yes"),1,-1),1),"")</f>
        <v/>
      </c>
      <c r="V45" s="128" t="str">
        <f ca="1">IFERROR(IF(AND(S45="R",W45&lt;&gt;""),1,IF(S45="R",MAX(OFFSET(V44,0,0,-1*(ROW(W45)-3-MATCH(MAX($W$4:W44),$W$4:W44,0)),1))+1,"")),"")</f>
        <v/>
      </c>
      <c r="W45" s="129" t="str">
        <f>IFERROR(IF(AND(S45="R", P45&gt;MAX($X$3:X44)),P45,""),"")</f>
        <v/>
      </c>
      <c r="X45" s="129" t="str">
        <f>IFERROR(IF(AND(W45="",Q45&gt;=MAX($X$3:X44)),IF(S45="R",Q45,IF(AND(W45="",P45&lt;=MAX($X$3:X44)),MAX($X$3:X44),"")),IF(W45&lt;&gt;"", Q45,"")),"")</f>
        <v/>
      </c>
      <c r="Y45" s="126" t="str">
        <f>IF(S45="S",IF(OR(P45&lt;=MAX($X$3:X44),P45&gt;=IF(MIN(W46:$W$53)&lt;1,99999999,MIN(W46:$W$53))),"Yes","No"),"")</f>
        <v/>
      </c>
      <c r="AA45" s="130" t="str">
        <f t="shared" si="2"/>
        <v/>
      </c>
      <c r="AB45" s="131" t="str">
        <f t="array" ref="AB45">IF(AA45&lt;=$AA$2,MIN(IF($L$4:$L$503&lt;=AB44,99999999999,$L$4:$L$503)),"")</f>
        <v/>
      </c>
      <c r="AC45" s="130" t="str">
        <f>IF(ISNUMBER(AA45),IF(Dashboard!$H$6&lt;&gt;"Horizontal",AC44+dateDistance,AC44),"")</f>
        <v/>
      </c>
      <c r="AD45" s="130" t="str">
        <f>IF(ISNUMBER(AA45),IF(Dashboard!$H$6="Horizontal",AD44+dateDistance,AD44),"")</f>
        <v/>
      </c>
      <c r="AE45" s="132" t="str">
        <f>IF(ISNUMBER(P45), IF(Dashboard!$H$6="Horizontal",IF(S45="S",INDEX($AC$4:$AC$503,MATCH(P45,$AB$4:$AB$503,0),1)+boxDistance*(T45+IF(Y45="No",IF(ISODD(T45),IF(T45&gt;0,1,-1),0),0))*IF(Y45="No",IF(ISODD(T45),0.5,-0.5),1),timelineStartRow - boxDistance * V45),IF( S45="S",INDEX($AC$4:$AC$503,MATCH(P45,$AB$4:$AB$503,0),1),INDEX($AC$4:$AC$503,MATCH(P45,$AB$4:$AB$503,0),1)&amp;"-"&amp;INDEX($AC$4:$AC$503,MATCH(Q45,$AB$4:$AB$503,0),1))),"")</f>
        <v/>
      </c>
      <c r="AF45" s="132" t="str">
        <f>IF(ISNUMBER(P45), IF(Dashboard!$H$6&lt;&gt;"Horizontal",IF(S45="S",INDEX($AD$4:$AD$503,MATCH(P45,$AB$4:$AB$503,0),1)+boxDistance*(T45+IF(Y45="No",IF(ISODD(T45),IF(T45&gt;0,1,-1),0),0))*IF(Y45="No",IF(ISODD(T45),0.5,-0.5),1),timelineStartColumn-boxDistance * IF(AND(ISNUMBER(V45),V45&gt;1),V45*0.85,1)   ),IF( S45="S",INDEX($AD$4:$AD$503,MATCH(P45,$AB$4:$AB$503,0),1),INDEX($AD$4:$AD$503,MATCH(P45,$AB$4:$AB$503,0),1)&amp;"-"&amp;INDEX($AD$4:$AD$503,MATCH(Q45,$AB$4:$AB$503,0),1))),"")</f>
        <v/>
      </c>
      <c r="AG45" s="133" t="str">
        <f t="shared" si="9"/>
        <v/>
      </c>
      <c r="AH45" s="134" t="str">
        <f t="shared" si="16"/>
        <v/>
      </c>
      <c r="AI45" s="135" t="str">
        <f t="shared" si="3"/>
        <v/>
      </c>
      <c r="AJ45" s="135" t="str">
        <f t="shared" si="11"/>
        <v/>
      </c>
      <c r="AK45" s="126" t="str">
        <f t="shared" si="17"/>
        <v/>
      </c>
      <c r="AL45" s="126" t="str">
        <f ca="1">IFERROR(IF(AK45="","", MATCH(AK45,OFFSET(Icons!$B$5,1,AM45-3,20,1),0)+5),"")</f>
        <v/>
      </c>
      <c r="AM45" s="126" t="str">
        <f t="shared" si="12"/>
        <v/>
      </c>
      <c r="AN45" s="90"/>
      <c r="AW45" s="123">
        <v>7</v>
      </c>
      <c r="AX45" s="172" t="str">
        <f t="array" ref="AX45">IF(INDEX(iconsTable,ROW(AX5)-ROW($AX$3),5)="","",INDEX(iconsTable,ROW(AX5)-ROW($AX$3),5))</f>
        <v>fish</v>
      </c>
      <c r="AY45" s="123">
        <f t="shared" si="13"/>
        <v>57</v>
      </c>
      <c r="AZ45" s="137" t="str">
        <f t="shared" si="14"/>
        <v>icecream</v>
      </c>
    </row>
    <row r="46" spans="5:52" ht="15" customHeight="1" x14ac:dyDescent="0.25">
      <c r="E46" s="126">
        <v>43</v>
      </c>
      <c r="F46" s="126"/>
      <c r="G46" s="127"/>
      <c r="H46" s="127"/>
      <c r="I46" s="126"/>
      <c r="K46" s="137" t="str">
        <f t="shared" si="5"/>
        <v/>
      </c>
      <c r="L46" s="127" t="str">
        <f t="shared" si="0"/>
        <v/>
      </c>
      <c r="N46" s="128" t="str">
        <f t="shared" si="6"/>
        <v/>
      </c>
      <c r="O46" s="126" t="str">
        <f t="array" ref="O46">IFERROR(SMALL(IF(($G$4:$G$253=P46),ROW($G$4:$G$253)-ROW($G$3),"" ),N46),"")</f>
        <v/>
      </c>
      <c r="P46" s="127" t="str">
        <f t="array" ref="P46">IFERROR(SMALL($G$4:$G$253,E46),"")</f>
        <v/>
      </c>
      <c r="Q46" s="127" t="str">
        <f t="shared" si="7"/>
        <v/>
      </c>
      <c r="R46" s="126" t="str">
        <f t="shared" si="8"/>
        <v/>
      </c>
      <c r="S46" s="126" t="str">
        <f t="shared" si="1"/>
        <v/>
      </c>
      <c r="T46" s="128" t="str">
        <f>IF(OR(S46="R",S46=""),"",COUNTIFS($P$4:P46,P46,$S$4:S46,"S")*U46)</f>
        <v/>
      </c>
      <c r="U46" s="128" t="str">
        <f>IF(ISNUMBER(N46),IF($C$11=TRUE,IF(OR(ISODD(COUNTIF($N$4:N46,1)),Y46="Yes"),1,-1),1),"")</f>
        <v/>
      </c>
      <c r="V46" s="128" t="str">
        <f ca="1">IFERROR(IF(AND(S46="R",W46&lt;&gt;""),1,IF(S46="R",MAX(OFFSET(V45,0,0,-1*(ROW(W46)-3-MATCH(MAX($W$4:W45),$W$4:W45,0)),1))+1,"")),"")</f>
        <v/>
      </c>
      <c r="W46" s="129" t="str">
        <f>IFERROR(IF(AND(S46="R", P46&gt;MAX($X$3:X45)),P46,""),"")</f>
        <v/>
      </c>
      <c r="X46" s="129" t="str">
        <f>IFERROR(IF(AND(W46="",Q46&gt;=MAX($X$3:X45)),IF(S46="R",Q46,IF(AND(W46="",P46&lt;=MAX($X$3:X45)),MAX($X$3:X45),"")),IF(W46&lt;&gt;"", Q46,"")),"")</f>
        <v/>
      </c>
      <c r="Y46" s="126" t="str">
        <f>IF(S46="S",IF(OR(P46&lt;=MAX($X$3:X45),P46&gt;=IF(MIN(W47:$W$53)&lt;1,99999999,MIN(W47:$W$53))),"Yes","No"),"")</f>
        <v/>
      </c>
      <c r="AA46" s="130" t="str">
        <f t="shared" si="2"/>
        <v/>
      </c>
      <c r="AB46" s="131" t="str">
        <f t="array" ref="AB46">IF(AA46&lt;=$AA$2,MIN(IF($L$4:$L$503&lt;=AB45,99999999999,$L$4:$L$503)),"")</f>
        <v/>
      </c>
      <c r="AC46" s="130" t="str">
        <f>IF(ISNUMBER(AA46),IF(Dashboard!$H$6&lt;&gt;"Horizontal",AC45+dateDistance,AC45),"")</f>
        <v/>
      </c>
      <c r="AD46" s="130" t="str">
        <f>IF(ISNUMBER(AA46),IF(Dashboard!$H$6="Horizontal",AD45+dateDistance,AD45),"")</f>
        <v/>
      </c>
      <c r="AE46" s="132" t="str">
        <f>IF(ISNUMBER(P46), IF(Dashboard!$H$6="Horizontal",IF(S46="S",INDEX($AC$4:$AC$503,MATCH(P46,$AB$4:$AB$503,0),1)+boxDistance*(T46+IF(Y46="No",IF(ISODD(T46),IF(T46&gt;0,1,-1),0),0))*IF(Y46="No",IF(ISODD(T46),0.5,-0.5),1),timelineStartRow - boxDistance * V46),IF( S46="S",INDEX($AC$4:$AC$503,MATCH(P46,$AB$4:$AB$503,0),1),INDEX($AC$4:$AC$503,MATCH(P46,$AB$4:$AB$503,0),1)&amp;"-"&amp;INDEX($AC$4:$AC$503,MATCH(Q46,$AB$4:$AB$503,0),1))),"")</f>
        <v/>
      </c>
      <c r="AF46" s="132" t="str">
        <f>IF(ISNUMBER(P46), IF(Dashboard!$H$6&lt;&gt;"Horizontal",IF(S46="S",INDEX($AD$4:$AD$503,MATCH(P46,$AB$4:$AB$503,0),1)+boxDistance*(T46+IF(Y46="No",IF(ISODD(T46),IF(T46&gt;0,1,-1),0),0))*IF(Y46="No",IF(ISODD(T46),0.5,-0.5),1),timelineStartColumn-boxDistance * IF(AND(ISNUMBER(V46),V46&gt;1),V46*0.85,1)   ),IF( S46="S",INDEX($AD$4:$AD$503,MATCH(P46,$AB$4:$AB$503,0),1),INDEX($AD$4:$AD$503,MATCH(P46,$AB$4:$AB$503,0),1)&amp;"-"&amp;INDEX($AD$4:$AD$503,MATCH(Q46,$AB$4:$AB$503,0),1))),"")</f>
        <v/>
      </c>
      <c r="AG46" s="133" t="str">
        <f t="shared" si="9"/>
        <v/>
      </c>
      <c r="AH46" s="134" t="str">
        <f t="shared" si="16"/>
        <v/>
      </c>
      <c r="AI46" s="135" t="str">
        <f t="shared" si="3"/>
        <v/>
      </c>
      <c r="AJ46" s="135" t="str">
        <f t="shared" si="11"/>
        <v/>
      </c>
      <c r="AK46" s="126" t="str">
        <f t="shared" si="17"/>
        <v/>
      </c>
      <c r="AL46" s="126" t="str">
        <f ca="1">IFERROR(IF(AK46="","", MATCH(AK46,OFFSET(Icons!$B$5,1,AM46-3,20,1),0)+5),"")</f>
        <v/>
      </c>
      <c r="AM46" s="126" t="str">
        <f t="shared" si="12"/>
        <v/>
      </c>
      <c r="AN46" s="90"/>
      <c r="AW46" s="123">
        <v>7</v>
      </c>
      <c r="AX46" s="172" t="str">
        <f t="array" ref="AX46">IF(INDEX(iconsTable,ROW(AX6)-ROW($AX$3),5)="","",INDEX(iconsTable,ROW(AX6)-ROW($AX$3),5))</f>
        <v>forest</v>
      </c>
      <c r="AY46" s="123">
        <f t="shared" si="13"/>
        <v>58</v>
      </c>
      <c r="AZ46" s="137" t="str">
        <f t="shared" si="14"/>
        <v>injection</v>
      </c>
    </row>
    <row r="47" spans="5:52" ht="15" customHeight="1" x14ac:dyDescent="0.25">
      <c r="E47" s="126">
        <v>44</v>
      </c>
      <c r="F47" s="126"/>
      <c r="G47" s="127"/>
      <c r="H47" s="127"/>
      <c r="I47" s="126"/>
      <c r="K47" s="137" t="str">
        <f t="shared" si="5"/>
        <v/>
      </c>
      <c r="L47" s="127" t="str">
        <f t="shared" si="0"/>
        <v/>
      </c>
      <c r="N47" s="128" t="str">
        <f t="shared" si="6"/>
        <v/>
      </c>
      <c r="O47" s="126" t="str">
        <f t="array" ref="O47">IFERROR(SMALL(IF(($G$4:$G$253=P47),ROW($G$4:$G$253)-ROW($G$3),"" ),N47),"")</f>
        <v/>
      </c>
      <c r="P47" s="127" t="str">
        <f t="array" ref="P47">IFERROR(SMALL($G$4:$G$253,E47),"")</f>
        <v/>
      </c>
      <c r="Q47" s="127" t="str">
        <f t="shared" si="7"/>
        <v/>
      </c>
      <c r="R47" s="126" t="str">
        <f t="shared" si="8"/>
        <v/>
      </c>
      <c r="S47" s="126" t="str">
        <f t="shared" si="1"/>
        <v/>
      </c>
      <c r="T47" s="128" t="str">
        <f>IF(OR(S47="R",S47=""),"",COUNTIFS($P$4:P47,P47,$S$4:S47,"S")*U47)</f>
        <v/>
      </c>
      <c r="U47" s="128" t="str">
        <f>IF(ISNUMBER(N47),IF($C$11=TRUE,IF(OR(ISODD(COUNTIF($N$4:N47,1)),Y47="Yes"),1,-1),1),"")</f>
        <v/>
      </c>
      <c r="V47" s="128" t="str">
        <f ca="1">IFERROR(IF(AND(S47="R",W47&lt;&gt;""),1,IF(S47="R",MAX(OFFSET(V46,0,0,-1*(ROW(W47)-3-MATCH(MAX($W$4:W46),$W$4:W46,0)),1))+1,"")),"")</f>
        <v/>
      </c>
      <c r="W47" s="129" t="str">
        <f>IFERROR(IF(AND(S47="R", P47&gt;MAX($X$3:X46)),P47,""),"")</f>
        <v/>
      </c>
      <c r="X47" s="129" t="str">
        <f>IFERROR(IF(AND(W47="",Q47&gt;=MAX($X$3:X46)),IF(S47="R",Q47,IF(AND(W47="",P47&lt;=MAX($X$3:X46)),MAX($X$3:X46),"")),IF(W47&lt;&gt;"", Q47,"")),"")</f>
        <v/>
      </c>
      <c r="Y47" s="126" t="str">
        <f>IF(S47="S",IF(OR(P47&lt;=MAX($X$3:X46),P47&gt;=IF(MIN(W48:$W$53)&lt;1,99999999,MIN(W48:$W$53))),"Yes","No"),"")</f>
        <v/>
      </c>
      <c r="AA47" s="130" t="str">
        <f t="shared" si="2"/>
        <v/>
      </c>
      <c r="AB47" s="131" t="str">
        <f t="array" ref="AB47">IF(AA47&lt;=$AA$2,MIN(IF($L$4:$L$503&lt;=AB46,99999999999,$L$4:$L$503)),"")</f>
        <v/>
      </c>
      <c r="AC47" s="130" t="str">
        <f>IF(ISNUMBER(AA47),IF(Dashboard!$H$6&lt;&gt;"Horizontal",AC46+dateDistance,AC46),"")</f>
        <v/>
      </c>
      <c r="AD47" s="130" t="str">
        <f>IF(ISNUMBER(AA47),IF(Dashboard!$H$6="Horizontal",AD46+dateDistance,AD46),"")</f>
        <v/>
      </c>
      <c r="AE47" s="132" t="str">
        <f>IF(ISNUMBER(P47), IF(Dashboard!$H$6="Horizontal",IF(S47="S",INDEX($AC$4:$AC$503,MATCH(P47,$AB$4:$AB$503,0),1)+boxDistance*(T47+IF(Y47="No",IF(ISODD(T47),IF(T47&gt;0,1,-1),0),0))*IF(Y47="No",IF(ISODD(T47),0.5,-0.5),1),timelineStartRow - boxDistance * V47),IF( S47="S",INDEX($AC$4:$AC$503,MATCH(P47,$AB$4:$AB$503,0),1),INDEX($AC$4:$AC$503,MATCH(P47,$AB$4:$AB$503,0),1)&amp;"-"&amp;INDEX($AC$4:$AC$503,MATCH(Q47,$AB$4:$AB$503,0),1))),"")</f>
        <v/>
      </c>
      <c r="AF47" s="132" t="str">
        <f>IF(ISNUMBER(P47), IF(Dashboard!$H$6&lt;&gt;"Horizontal",IF(S47="S",INDEX($AD$4:$AD$503,MATCH(P47,$AB$4:$AB$503,0),1)+boxDistance*(T47+IF(Y47="No",IF(ISODD(T47),IF(T47&gt;0,1,-1),0),0))*IF(Y47="No",IF(ISODD(T47),0.5,-0.5),1),timelineStartColumn-boxDistance * IF(AND(ISNUMBER(V47),V47&gt;1),V47*0.85,1)   ),IF( S47="S",INDEX($AD$4:$AD$503,MATCH(P47,$AB$4:$AB$503,0),1),INDEX($AD$4:$AD$503,MATCH(P47,$AB$4:$AB$503,0),1)&amp;"-"&amp;INDEX($AD$4:$AD$503,MATCH(Q47,$AB$4:$AB$503,0),1))),"")</f>
        <v/>
      </c>
      <c r="AG47" s="133" t="str">
        <f t="shared" si="9"/>
        <v/>
      </c>
      <c r="AH47" s="134" t="str">
        <f t="shared" si="16"/>
        <v/>
      </c>
      <c r="AI47" s="135" t="str">
        <f t="shared" si="3"/>
        <v/>
      </c>
      <c r="AJ47" s="135" t="str">
        <f t="shared" si="11"/>
        <v/>
      </c>
      <c r="AK47" s="126" t="str">
        <f t="shared" si="17"/>
        <v/>
      </c>
      <c r="AL47" s="126" t="str">
        <f ca="1">IFERROR(IF(AK47="","", MATCH(AK47,OFFSET(Icons!$B$5,1,AM47-3,20,1),0)+5),"")</f>
        <v/>
      </c>
      <c r="AM47" s="126" t="str">
        <f t="shared" si="12"/>
        <v/>
      </c>
      <c r="AN47" s="90"/>
      <c r="AW47" s="123">
        <v>7</v>
      </c>
      <c r="AX47" s="172" t="str">
        <f t="array" ref="AX47">IF(INDEX(iconsTable,ROW(AX7)-ROW($AX$3),5)="","",INDEX(iconsTable,ROW(AX7)-ROW($AX$3),5))</f>
        <v>germs</v>
      </c>
      <c r="AY47" s="123">
        <f t="shared" si="13"/>
        <v>59</v>
      </c>
      <c r="AZ47" s="137" t="str">
        <f t="shared" si="14"/>
        <v>island</v>
      </c>
    </row>
    <row r="48" spans="5:52" ht="15" customHeight="1" x14ac:dyDescent="0.25">
      <c r="E48" s="126">
        <v>45</v>
      </c>
      <c r="F48" s="126"/>
      <c r="G48" s="127"/>
      <c r="H48" s="127"/>
      <c r="I48" s="126"/>
      <c r="K48" s="137" t="str">
        <f t="shared" si="5"/>
        <v/>
      </c>
      <c r="L48" s="127" t="str">
        <f t="shared" si="0"/>
        <v/>
      </c>
      <c r="N48" s="128" t="str">
        <f t="shared" si="6"/>
        <v/>
      </c>
      <c r="O48" s="126" t="str">
        <f t="array" ref="O48">IFERROR(SMALL(IF(($G$4:$G$253=P48),ROW($G$4:$G$253)-ROW($G$3),"" ),N48),"")</f>
        <v/>
      </c>
      <c r="P48" s="127" t="str">
        <f t="array" ref="P48">IFERROR(SMALL($G$4:$G$253,E48),"")</f>
        <v/>
      </c>
      <c r="Q48" s="127" t="str">
        <f t="shared" si="7"/>
        <v/>
      </c>
      <c r="R48" s="126" t="str">
        <f t="shared" si="8"/>
        <v/>
      </c>
      <c r="S48" s="126" t="str">
        <f t="shared" si="1"/>
        <v/>
      </c>
      <c r="T48" s="128" t="str">
        <f>IF(OR(S48="R",S48=""),"",COUNTIFS($P$4:P48,P48,$S$4:S48,"S")*U48)</f>
        <v/>
      </c>
      <c r="U48" s="128" t="str">
        <f>IF(ISNUMBER(N48),IF($C$11=TRUE,IF(OR(ISODD(COUNTIF($N$4:N48,1)),Y48="Yes"),1,-1),1),"")</f>
        <v/>
      </c>
      <c r="V48" s="128" t="str">
        <f ca="1">IFERROR(IF(AND(S48="R",W48&lt;&gt;""),1,IF(S48="R",MAX(OFFSET(V47,0,0,-1*(ROW(W48)-3-MATCH(MAX($W$4:W47),$W$4:W47,0)),1))+1,"")),"")</f>
        <v/>
      </c>
      <c r="W48" s="129" t="str">
        <f>IFERROR(IF(AND(S48="R", P48&gt;MAX($X$3:X47)),P48,""),"")</f>
        <v/>
      </c>
      <c r="X48" s="129" t="str">
        <f>IFERROR(IF(AND(W48="",Q48&gt;=MAX($X$3:X47)),IF(S48="R",Q48,IF(AND(W48="",P48&lt;=MAX($X$3:X47)),MAX($X$3:X47),"")),IF(W48&lt;&gt;"", Q48,"")),"")</f>
        <v/>
      </c>
      <c r="Y48" s="126" t="str">
        <f>IF(S48="S",IF(OR(P48&lt;=MAX($X$3:X47),P48&gt;=IF(MIN(W49:$W$53)&lt;1,99999999,MIN(W49:$W$53))),"Yes","No"),"")</f>
        <v/>
      </c>
      <c r="AA48" s="130" t="str">
        <f t="shared" si="2"/>
        <v/>
      </c>
      <c r="AB48" s="131" t="str">
        <f t="array" ref="AB48">IF(AA48&lt;=$AA$2,MIN(IF($L$4:$L$503&lt;=AB47,99999999999,$L$4:$L$503)),"")</f>
        <v/>
      </c>
      <c r="AC48" s="130" t="str">
        <f>IF(ISNUMBER(AA48),IF(Dashboard!$H$6&lt;&gt;"Horizontal",AC47+dateDistance,AC47),"")</f>
        <v/>
      </c>
      <c r="AD48" s="130" t="str">
        <f>IF(ISNUMBER(AA48),IF(Dashboard!$H$6="Horizontal",AD47+dateDistance,AD47),"")</f>
        <v/>
      </c>
      <c r="AE48" s="132" t="str">
        <f>IF(ISNUMBER(P48), IF(Dashboard!$H$6="Horizontal",IF(S48="S",INDEX($AC$4:$AC$503,MATCH(P48,$AB$4:$AB$503,0),1)+boxDistance*(T48+IF(Y48="No",IF(ISODD(T48),IF(T48&gt;0,1,-1),0),0))*IF(Y48="No",IF(ISODD(T48),0.5,-0.5),1),timelineStartRow - boxDistance * V48),IF( S48="S",INDEX($AC$4:$AC$503,MATCH(P48,$AB$4:$AB$503,0),1),INDEX($AC$4:$AC$503,MATCH(P48,$AB$4:$AB$503,0),1)&amp;"-"&amp;INDEX($AC$4:$AC$503,MATCH(Q48,$AB$4:$AB$503,0),1))),"")</f>
        <v/>
      </c>
      <c r="AF48" s="132" t="str">
        <f>IF(ISNUMBER(P48), IF(Dashboard!$H$6&lt;&gt;"Horizontal",IF(S48="S",INDEX($AD$4:$AD$503,MATCH(P48,$AB$4:$AB$503,0),1)+boxDistance*(T48+IF(Y48="No",IF(ISODD(T48),IF(T48&gt;0,1,-1),0),0))*IF(Y48="No",IF(ISODD(T48),0.5,-0.5),1),timelineStartColumn-boxDistance * IF(AND(ISNUMBER(V48),V48&gt;1),V48*0.85,1)   ),IF( S48="S",INDEX($AD$4:$AD$503,MATCH(P48,$AB$4:$AB$503,0),1),INDEX($AD$4:$AD$503,MATCH(P48,$AB$4:$AB$503,0),1)&amp;"-"&amp;INDEX($AD$4:$AD$503,MATCH(Q48,$AB$4:$AB$503,0),1))),"")</f>
        <v/>
      </c>
      <c r="AG48" s="133" t="str">
        <f t="shared" si="9"/>
        <v/>
      </c>
      <c r="AH48" s="134" t="str">
        <f t="shared" si="16"/>
        <v/>
      </c>
      <c r="AI48" s="135" t="str">
        <f t="shared" si="3"/>
        <v/>
      </c>
      <c r="AJ48" s="135" t="str">
        <f t="shared" si="11"/>
        <v/>
      </c>
      <c r="AK48" s="126" t="str">
        <f t="shared" si="17"/>
        <v/>
      </c>
      <c r="AL48" s="126" t="str">
        <f ca="1">IFERROR(IF(AK48="","", MATCH(AK48,OFFSET(Icons!$B$5,1,AM48-3,20,1),0)+5),"")</f>
        <v/>
      </c>
      <c r="AM48" s="126" t="str">
        <f t="shared" si="12"/>
        <v/>
      </c>
      <c r="AN48" s="90"/>
      <c r="AW48" s="123">
        <v>7</v>
      </c>
      <c r="AX48" s="172" t="str">
        <f t="array" ref="AX48">IF(INDEX(iconsTable,ROW(AX8)-ROW($AX$3),5)="","",INDEX(iconsTable,ROW(AX8)-ROW($AX$3),5))</f>
        <v>giraffe</v>
      </c>
      <c r="AY48" s="123">
        <f t="shared" si="13"/>
        <v>60</v>
      </c>
      <c r="AZ48" s="137" t="str">
        <f t="shared" si="14"/>
        <v>juggling</v>
      </c>
    </row>
    <row r="49" spans="5:52" ht="15" customHeight="1" x14ac:dyDescent="0.25">
      <c r="E49" s="126">
        <v>46</v>
      </c>
      <c r="F49" s="126"/>
      <c r="G49" s="127"/>
      <c r="H49" s="127"/>
      <c r="I49" s="126"/>
      <c r="K49" s="137" t="str">
        <f t="shared" si="5"/>
        <v/>
      </c>
      <c r="L49" s="127" t="str">
        <f t="shared" si="0"/>
        <v/>
      </c>
      <c r="N49" s="128" t="str">
        <f t="shared" si="6"/>
        <v/>
      </c>
      <c r="O49" s="126" t="str">
        <f t="array" ref="O49">IFERROR(SMALL(IF(($G$4:$G$253=P49),ROW($G$4:$G$253)-ROW($G$3),"" ),N49),"")</f>
        <v/>
      </c>
      <c r="P49" s="127" t="str">
        <f t="array" ref="P49">IFERROR(SMALL($G$4:$G$253,E49),"")</f>
        <v/>
      </c>
      <c r="Q49" s="127" t="str">
        <f t="shared" si="7"/>
        <v/>
      </c>
      <c r="R49" s="126" t="str">
        <f t="shared" si="8"/>
        <v/>
      </c>
      <c r="S49" s="126" t="str">
        <f t="shared" si="1"/>
        <v/>
      </c>
      <c r="T49" s="128" t="str">
        <f>IF(OR(S49="R",S49=""),"",COUNTIFS($P$4:P49,P49,$S$4:S49,"S")*U49)</f>
        <v/>
      </c>
      <c r="U49" s="128" t="str">
        <f>IF(ISNUMBER(N49),IF($C$11=TRUE,IF(OR(ISODD(COUNTIF($N$4:N49,1)),Y49="Yes"),1,-1),1),"")</f>
        <v/>
      </c>
      <c r="V49" s="128" t="str">
        <f ca="1">IFERROR(IF(AND(S49="R",W49&lt;&gt;""),1,IF(S49="R",MAX(OFFSET(V48,0,0,-1*(ROW(W49)-3-MATCH(MAX($W$4:W48),$W$4:W48,0)),1))+1,"")),"")</f>
        <v/>
      </c>
      <c r="W49" s="129" t="str">
        <f>IFERROR(IF(AND(S49="R", P49&gt;MAX($X$3:X48)),P49,""),"")</f>
        <v/>
      </c>
      <c r="X49" s="129" t="str">
        <f>IFERROR(IF(AND(W49="",Q49&gt;=MAX($X$3:X48)),IF(S49="R",Q49,IF(AND(W49="",P49&lt;=MAX($X$3:X48)),MAX($X$3:X48),"")),IF(W49&lt;&gt;"", Q49,"")),"")</f>
        <v/>
      </c>
      <c r="Y49" s="126" t="str">
        <f>IF(S49="S",IF(OR(P49&lt;=MAX($X$3:X48),P49&gt;=IF(MIN(W50:$W$53)&lt;1,99999999,MIN(W50:$W$53))),"Yes","No"),"")</f>
        <v/>
      </c>
      <c r="AA49" s="130" t="str">
        <f t="shared" si="2"/>
        <v/>
      </c>
      <c r="AB49" s="131" t="str">
        <f t="array" ref="AB49">IF(AA49&lt;=$AA$2,MIN(IF($L$4:$L$503&lt;=AB48,99999999999,$L$4:$L$503)),"")</f>
        <v/>
      </c>
      <c r="AC49" s="130" t="str">
        <f>IF(ISNUMBER(AA49),IF(Dashboard!$H$6&lt;&gt;"Horizontal",AC48+dateDistance,AC48),"")</f>
        <v/>
      </c>
      <c r="AD49" s="130" t="str">
        <f>IF(ISNUMBER(AA49),IF(Dashboard!$H$6="Horizontal",AD48+dateDistance,AD48),"")</f>
        <v/>
      </c>
      <c r="AE49" s="132" t="str">
        <f>IF(ISNUMBER(P49), IF(Dashboard!$H$6="Horizontal",IF(S49="S",INDEX($AC$4:$AC$503,MATCH(P49,$AB$4:$AB$503,0),1)+boxDistance*(T49+IF(Y49="No",IF(ISODD(T49),IF(T49&gt;0,1,-1),0),0))*IF(Y49="No",IF(ISODD(T49),0.5,-0.5),1),timelineStartRow - boxDistance * V49),IF( S49="S",INDEX($AC$4:$AC$503,MATCH(P49,$AB$4:$AB$503,0),1),INDEX($AC$4:$AC$503,MATCH(P49,$AB$4:$AB$503,0),1)&amp;"-"&amp;INDEX($AC$4:$AC$503,MATCH(Q49,$AB$4:$AB$503,0),1))),"")</f>
        <v/>
      </c>
      <c r="AF49" s="132" t="str">
        <f>IF(ISNUMBER(P49), IF(Dashboard!$H$6&lt;&gt;"Horizontal",IF(S49="S",INDEX($AD$4:$AD$503,MATCH(P49,$AB$4:$AB$503,0),1)+boxDistance*(T49+IF(Y49="No",IF(ISODD(T49),IF(T49&gt;0,1,-1),0),0))*IF(Y49="No",IF(ISODD(T49),0.5,-0.5),1),timelineStartColumn-boxDistance * IF(AND(ISNUMBER(V49),V49&gt;1),V49*0.85,1)   ),IF( S49="S",INDEX($AD$4:$AD$503,MATCH(P49,$AB$4:$AB$503,0),1),INDEX($AD$4:$AD$503,MATCH(P49,$AB$4:$AB$503,0),1)&amp;"-"&amp;INDEX($AD$4:$AD$503,MATCH(Q49,$AB$4:$AB$503,0),1))),"")</f>
        <v/>
      </c>
      <c r="AG49" s="133" t="str">
        <f t="shared" si="9"/>
        <v/>
      </c>
      <c r="AH49" s="134" t="str">
        <f t="shared" si="16"/>
        <v/>
      </c>
      <c r="AI49" s="135" t="str">
        <f t="shared" si="3"/>
        <v/>
      </c>
      <c r="AJ49" s="135" t="str">
        <f t="shared" si="11"/>
        <v/>
      </c>
      <c r="AK49" s="126" t="str">
        <f t="shared" si="17"/>
        <v/>
      </c>
      <c r="AL49" s="126" t="str">
        <f ca="1">IFERROR(IF(AK49="","", MATCH(AK49,OFFSET(Icons!$B$5,1,AM49-3,20,1),0)+5),"")</f>
        <v/>
      </c>
      <c r="AM49" s="126" t="str">
        <f t="shared" si="12"/>
        <v/>
      </c>
      <c r="AN49" s="90"/>
      <c r="AW49" s="123">
        <v>7</v>
      </c>
      <c r="AX49" s="172" t="str">
        <f t="array" ref="AX49">IF(INDEX(iconsTable,ROW(AX9)-ROW($AX$3),5)="","",INDEX(iconsTable,ROW(AX9)-ROW($AX$3),5))</f>
        <v>graduation</v>
      </c>
      <c r="AY49" s="123">
        <f t="shared" si="13"/>
        <v>61</v>
      </c>
      <c r="AZ49" s="137" t="str">
        <f t="shared" si="14"/>
        <v>knitting</v>
      </c>
    </row>
    <row r="50" spans="5:52" ht="15" customHeight="1" x14ac:dyDescent="0.25">
      <c r="E50" s="126">
        <v>47</v>
      </c>
      <c r="F50" s="126"/>
      <c r="G50" s="127"/>
      <c r="H50" s="127"/>
      <c r="I50" s="126"/>
      <c r="K50" s="137" t="str">
        <f t="shared" si="5"/>
        <v/>
      </c>
      <c r="L50" s="127" t="str">
        <f t="shared" si="0"/>
        <v/>
      </c>
      <c r="N50" s="128" t="str">
        <f t="shared" si="6"/>
        <v/>
      </c>
      <c r="O50" s="126" t="str">
        <f t="array" ref="O50">IFERROR(SMALL(IF(($G$4:$G$253=P50),ROW($G$4:$G$253)-ROW($G$3),"" ),N50),"")</f>
        <v/>
      </c>
      <c r="P50" s="127" t="str">
        <f t="array" ref="P50">IFERROR(SMALL($G$4:$G$253,E50),"")</f>
        <v/>
      </c>
      <c r="Q50" s="127" t="str">
        <f t="shared" si="7"/>
        <v/>
      </c>
      <c r="R50" s="126" t="str">
        <f t="shared" si="8"/>
        <v/>
      </c>
      <c r="S50" s="126" t="str">
        <f t="shared" si="1"/>
        <v/>
      </c>
      <c r="T50" s="128" t="str">
        <f>IF(OR(S50="R",S50=""),"",COUNTIFS($P$4:P50,P50,$S$4:S50,"S")*U50)</f>
        <v/>
      </c>
      <c r="U50" s="128" t="str">
        <f>IF(ISNUMBER(N50),IF($C$11=TRUE,IF(OR(ISODD(COUNTIF($N$4:N50,1)),Y50="Yes"),1,-1),1),"")</f>
        <v/>
      </c>
      <c r="V50" s="128" t="str">
        <f ca="1">IFERROR(IF(AND(S50="R",W50&lt;&gt;""),1,IF(S50="R",MAX(OFFSET(V49,0,0,-1*(ROW(W50)-3-MATCH(MAX($W$4:W49),$W$4:W49,0)),1))+1,"")),"")</f>
        <v/>
      </c>
      <c r="W50" s="129" t="str">
        <f>IFERROR(IF(AND(S50="R", P50&gt;MAX($X$3:X49)),P50,""),"")</f>
        <v/>
      </c>
      <c r="X50" s="129" t="str">
        <f>IFERROR(IF(AND(W50="",Q50&gt;=MAX($X$3:X49)),IF(S50="R",Q50,IF(AND(W50="",P50&lt;=MAX($X$3:X49)),MAX($X$3:X49),"")),IF(W50&lt;&gt;"", Q50,"")),"")</f>
        <v/>
      </c>
      <c r="Y50" s="126" t="str">
        <f>IF(S50="S",IF(OR(P50&lt;=MAX($X$3:X49),P50&gt;=IF(MIN(W51:$W$53)&lt;1,99999999,MIN(W51:$W$53))),"Yes","No"),"")</f>
        <v/>
      </c>
      <c r="AA50" s="130" t="str">
        <f t="shared" si="2"/>
        <v/>
      </c>
      <c r="AB50" s="131" t="str">
        <f t="array" ref="AB50">IF(AA50&lt;=$AA$2,MIN(IF($L$4:$L$503&lt;=AB49,99999999999,$L$4:$L$503)),"")</f>
        <v/>
      </c>
      <c r="AC50" s="130" t="str">
        <f>IF(ISNUMBER(AA50),IF(Dashboard!$H$6&lt;&gt;"Horizontal",AC49+dateDistance,AC49),"")</f>
        <v/>
      </c>
      <c r="AD50" s="130" t="str">
        <f>IF(ISNUMBER(AA50),IF(Dashboard!$H$6="Horizontal",AD49+dateDistance,AD49),"")</f>
        <v/>
      </c>
      <c r="AE50" s="132" t="str">
        <f>IF(ISNUMBER(P50), IF(Dashboard!$H$6="Horizontal",IF(S50="S",INDEX($AC$4:$AC$503,MATCH(P50,$AB$4:$AB$503,0),1)+boxDistance*(T50+IF(Y50="No",IF(ISODD(T50),IF(T50&gt;0,1,-1),0),0))*IF(Y50="No",IF(ISODD(T50),0.5,-0.5),1),timelineStartRow - boxDistance * V50),IF( S50="S",INDEX($AC$4:$AC$503,MATCH(P50,$AB$4:$AB$503,0),1),INDEX($AC$4:$AC$503,MATCH(P50,$AB$4:$AB$503,0),1)&amp;"-"&amp;INDEX($AC$4:$AC$503,MATCH(Q50,$AB$4:$AB$503,0),1))),"")</f>
        <v/>
      </c>
      <c r="AF50" s="132" t="str">
        <f>IF(ISNUMBER(P50), IF(Dashboard!$H$6&lt;&gt;"Horizontal",IF(S50="S",INDEX($AD$4:$AD$503,MATCH(P50,$AB$4:$AB$503,0),1)+boxDistance*(T50+IF(Y50="No",IF(ISODD(T50),IF(T50&gt;0,1,-1),0),0))*IF(Y50="No",IF(ISODD(T50),0.5,-0.5),1),timelineStartColumn-boxDistance * IF(AND(ISNUMBER(V50),V50&gt;1),V50*0.85,1)   ),IF( S50="S",INDEX($AD$4:$AD$503,MATCH(P50,$AB$4:$AB$503,0),1),INDEX($AD$4:$AD$503,MATCH(P50,$AB$4:$AB$503,0),1)&amp;"-"&amp;INDEX($AD$4:$AD$503,MATCH(Q50,$AB$4:$AB$503,0),1))),"")</f>
        <v/>
      </c>
      <c r="AG50" s="133" t="str">
        <f t="shared" si="9"/>
        <v/>
      </c>
      <c r="AH50" s="134" t="str">
        <f t="shared" si="16"/>
        <v/>
      </c>
      <c r="AI50" s="135" t="str">
        <f t="shared" si="3"/>
        <v/>
      </c>
      <c r="AJ50" s="135" t="str">
        <f t="shared" si="11"/>
        <v/>
      </c>
      <c r="AK50" s="126" t="str">
        <f t="shared" si="17"/>
        <v/>
      </c>
      <c r="AL50" s="126" t="str">
        <f ca="1">IFERROR(IF(AK50="","", MATCH(AK50,OFFSET(Icons!$B$5,1,AM50-3,20,1),0)+5),"")</f>
        <v/>
      </c>
      <c r="AM50" s="126" t="str">
        <f t="shared" si="12"/>
        <v/>
      </c>
      <c r="AN50" s="90"/>
      <c r="AW50" s="123">
        <v>7</v>
      </c>
      <c r="AX50" s="172" t="str">
        <f t="array" ref="AX50">IF(INDEX(iconsTable,ROW(AX10)-ROW($AX$3),5)="","",INDEX(iconsTable,ROW(AX10)-ROW($AX$3),5))</f>
        <v>grapes</v>
      </c>
      <c r="AY50" s="123">
        <f t="shared" si="13"/>
        <v>62</v>
      </c>
      <c r="AZ50" s="137" t="str">
        <f t="shared" si="14"/>
        <v>koala</v>
      </c>
    </row>
    <row r="51" spans="5:52" ht="15" customHeight="1" x14ac:dyDescent="0.25">
      <c r="E51" s="126">
        <v>48</v>
      </c>
      <c r="F51" s="126"/>
      <c r="G51" s="127"/>
      <c r="H51" s="127"/>
      <c r="I51" s="126"/>
      <c r="K51" s="137" t="str">
        <f t="shared" si="5"/>
        <v/>
      </c>
      <c r="L51" s="127" t="str">
        <f t="shared" si="0"/>
        <v/>
      </c>
      <c r="N51" s="128" t="str">
        <f t="shared" si="6"/>
        <v/>
      </c>
      <c r="O51" s="126" t="str">
        <f t="array" ref="O51">IFERROR(SMALL(IF(($G$4:$G$253=P51),ROW($G$4:$G$253)-ROW($G$3),"" ),N51),"")</f>
        <v/>
      </c>
      <c r="P51" s="127" t="str">
        <f t="array" ref="P51">IFERROR(SMALL($G$4:$G$253,E51),"")</f>
        <v/>
      </c>
      <c r="Q51" s="127" t="str">
        <f t="shared" si="7"/>
        <v/>
      </c>
      <c r="R51" s="126" t="str">
        <f t="shared" si="8"/>
        <v/>
      </c>
      <c r="S51" s="126" t="str">
        <f t="shared" si="1"/>
        <v/>
      </c>
      <c r="T51" s="128" t="str">
        <f>IF(OR(S51="R",S51=""),"",COUNTIFS($P$4:P51,P51,$S$4:S51,"S")*U51)</f>
        <v/>
      </c>
      <c r="U51" s="128" t="str">
        <f>IF(ISNUMBER(N51),IF($C$11=TRUE,IF(OR(ISODD(COUNTIF($N$4:N51,1)),Y51="Yes"),1,-1),1),"")</f>
        <v/>
      </c>
      <c r="V51" s="128" t="str">
        <f ca="1">IFERROR(IF(AND(S51="R",W51&lt;&gt;""),1,IF(S51="R",MAX(OFFSET(V50,0,0,-1*(ROW(W51)-3-MATCH(MAX($W$4:W50),$W$4:W50,0)),1))+1,"")),"")</f>
        <v/>
      </c>
      <c r="W51" s="129" t="str">
        <f>IFERROR(IF(AND(S51="R", P51&gt;MAX($X$3:X50)),P51,""),"")</f>
        <v/>
      </c>
      <c r="X51" s="129" t="str">
        <f>IFERROR(IF(AND(W51="",Q51&gt;=MAX($X$3:X50)),IF(S51="R",Q51,IF(AND(W51="",P51&lt;=MAX($X$3:X50)),MAX($X$3:X50),"")),IF(W51&lt;&gt;"", Q51,"")),"")</f>
        <v/>
      </c>
      <c r="Y51" s="126" t="str">
        <f>IF(S51="S",IF(OR(P51&lt;=MAX($X$3:X50),P51&gt;=IF(MIN(W52:$W$53)&lt;1,99999999,MIN(W52:$W$53))),"Yes","No"),"")</f>
        <v/>
      </c>
      <c r="AA51" s="130" t="str">
        <f t="shared" si="2"/>
        <v/>
      </c>
      <c r="AB51" s="131" t="str">
        <f t="array" ref="AB51">IF(AA51&lt;=$AA$2,MIN(IF($L$4:$L$503&lt;=AB50,99999999999,$L$4:$L$503)),"")</f>
        <v/>
      </c>
      <c r="AC51" s="130" t="str">
        <f>IF(ISNUMBER(AA51),IF(Dashboard!$H$6&lt;&gt;"Horizontal",AC50+dateDistance,AC50),"")</f>
        <v/>
      </c>
      <c r="AD51" s="130" t="str">
        <f>IF(ISNUMBER(AA51),IF(Dashboard!$H$6="Horizontal",AD50+dateDistance,AD50),"")</f>
        <v/>
      </c>
      <c r="AE51" s="132" t="str">
        <f>IF(ISNUMBER(P51), IF(Dashboard!$H$6="Horizontal",IF(S51="S",INDEX($AC$4:$AC$503,MATCH(P51,$AB$4:$AB$503,0),1)+boxDistance*(T51+IF(Y51="No",IF(ISODD(T51),IF(T51&gt;0,1,-1),0),0))*IF(Y51="No",IF(ISODD(T51),0.5,-0.5),1),timelineStartRow - boxDistance * V51),IF( S51="S",INDEX($AC$4:$AC$503,MATCH(P51,$AB$4:$AB$503,0),1),INDEX($AC$4:$AC$503,MATCH(P51,$AB$4:$AB$503,0),1)&amp;"-"&amp;INDEX($AC$4:$AC$503,MATCH(Q51,$AB$4:$AB$503,0),1))),"")</f>
        <v/>
      </c>
      <c r="AF51" s="132" t="str">
        <f>IF(ISNUMBER(P51), IF(Dashboard!$H$6&lt;&gt;"Horizontal",IF(S51="S",INDEX($AD$4:$AD$503,MATCH(P51,$AB$4:$AB$503,0),1)+boxDistance*(T51+IF(Y51="No",IF(ISODD(T51),IF(T51&gt;0,1,-1),0),0))*IF(Y51="No",IF(ISODD(T51),0.5,-0.5),1),timelineStartColumn-boxDistance * IF(AND(ISNUMBER(V51),V51&gt;1),V51*0.85,1)   ),IF( S51="S",INDEX($AD$4:$AD$503,MATCH(P51,$AB$4:$AB$503,0),1),INDEX($AD$4:$AD$503,MATCH(P51,$AB$4:$AB$503,0),1)&amp;"-"&amp;INDEX($AD$4:$AD$503,MATCH(Q51,$AB$4:$AB$503,0),1))),"")</f>
        <v/>
      </c>
      <c r="AG51" s="133" t="str">
        <f t="shared" si="9"/>
        <v/>
      </c>
      <c r="AH51" s="134" t="str">
        <f t="shared" si="16"/>
        <v/>
      </c>
      <c r="AI51" s="135" t="str">
        <f t="shared" si="3"/>
        <v/>
      </c>
      <c r="AJ51" s="135" t="str">
        <f t="shared" si="11"/>
        <v/>
      </c>
      <c r="AK51" s="126" t="str">
        <f t="shared" si="17"/>
        <v/>
      </c>
      <c r="AL51" s="126" t="str">
        <f ca="1">IFERROR(IF(AK51="","", MATCH(AK51,OFFSET(Icons!$B$5,1,AM51-3,20,1),0)+5),"")</f>
        <v/>
      </c>
      <c r="AM51" s="126" t="str">
        <f t="shared" si="12"/>
        <v/>
      </c>
      <c r="AN51" s="90"/>
      <c r="AW51" s="123">
        <v>7</v>
      </c>
      <c r="AX51" s="172" t="str">
        <f t="array" ref="AX51">IF(INDEX(iconsTable,ROW(AX11)-ROW($AX$3),5)="","",INDEX(iconsTable,ROW(AX11)-ROW($AX$3),5))</f>
        <v>guitar</v>
      </c>
      <c r="AY51" s="123">
        <f t="shared" si="13"/>
        <v>63</v>
      </c>
      <c r="AZ51" s="137" t="str">
        <f t="shared" si="14"/>
        <v>landing</v>
      </c>
    </row>
    <row r="52" spans="5:52" ht="15" customHeight="1" x14ac:dyDescent="0.25">
      <c r="E52" s="126">
        <v>49</v>
      </c>
      <c r="F52" s="126"/>
      <c r="G52" s="127"/>
      <c r="H52" s="127"/>
      <c r="I52" s="126"/>
      <c r="K52" s="137" t="str">
        <f t="shared" si="5"/>
        <v/>
      </c>
      <c r="L52" s="127" t="str">
        <f t="shared" si="0"/>
        <v/>
      </c>
      <c r="N52" s="128" t="str">
        <f t="shared" si="6"/>
        <v/>
      </c>
      <c r="O52" s="126" t="str">
        <f t="array" ref="O52">IFERROR(SMALL(IF(($G$4:$G$253=P52),ROW($G$4:$G$253)-ROW($G$3),"" ),N52),"")</f>
        <v/>
      </c>
      <c r="P52" s="127" t="str">
        <f t="array" ref="P52">IFERROR(SMALL($G$4:$G$253,E52),"")</f>
        <v/>
      </c>
      <c r="Q52" s="127" t="str">
        <f t="shared" si="7"/>
        <v/>
      </c>
      <c r="R52" s="126" t="str">
        <f t="shared" si="8"/>
        <v/>
      </c>
      <c r="S52" s="126" t="str">
        <f t="shared" si="1"/>
        <v/>
      </c>
      <c r="T52" s="128" t="str">
        <f>IF(OR(S52="R",S52=""),"",COUNTIFS($P$4:P52,P52,$S$4:S52,"S")*U52)</f>
        <v/>
      </c>
      <c r="U52" s="128" t="str">
        <f>IF(ISNUMBER(N52),IF($C$11=TRUE,IF(OR(ISODD(COUNTIF($N$4:N52,1)),Y52="Yes"),1,-1),1),"")</f>
        <v/>
      </c>
      <c r="V52" s="128" t="str">
        <f ca="1">IFERROR(IF(AND(S52="R",W52&lt;&gt;""),1,IF(S52="R",MAX(OFFSET(V51,0,0,-1*(ROW(W52)-3-MATCH(MAX($W$4:W51),$W$4:W51,0)),1))+1,"")),"")</f>
        <v/>
      </c>
      <c r="W52" s="129" t="str">
        <f>IFERROR(IF(AND(S52="R", P52&gt;MAX($X$3:X51)),P52,""),"")</f>
        <v/>
      </c>
      <c r="X52" s="129" t="str">
        <f>IFERROR(IF(AND(W52="",Q52&gt;=MAX($X$3:X51)),IF(S52="R",Q52,IF(AND(W52="",P52&lt;=MAX($X$3:X51)),MAX($X$3:X51),"")),IF(W52&lt;&gt;"", Q52,"")),"")</f>
        <v/>
      </c>
      <c r="Y52" s="126" t="str">
        <f>IF(S52="S",IF(OR(P52&lt;=MAX($X$3:X51),P52&gt;=IF(MIN(W53:$W$53)&lt;1,99999999,MIN(W53:$W$53))),"Yes","No"),"")</f>
        <v/>
      </c>
      <c r="AA52" s="130" t="str">
        <f t="shared" si="2"/>
        <v/>
      </c>
      <c r="AB52" s="131" t="str">
        <f t="array" ref="AB52">IF(AA52&lt;=$AA$2,MIN(IF($L$4:$L$503&lt;=AB51,99999999999,$L$4:$L$503)),"")</f>
        <v/>
      </c>
      <c r="AC52" s="130" t="str">
        <f>IF(ISNUMBER(AA52),IF(Dashboard!$H$6&lt;&gt;"Horizontal",AC51+dateDistance,AC51),"")</f>
        <v/>
      </c>
      <c r="AD52" s="130" t="str">
        <f>IF(ISNUMBER(AA52),IF(Dashboard!$H$6="Horizontal",AD51+dateDistance,AD51),"")</f>
        <v/>
      </c>
      <c r="AE52" s="132" t="str">
        <f>IF(ISNUMBER(P52), IF(Dashboard!$H$6="Horizontal",IF(S52="S",INDEX($AC$4:$AC$503,MATCH(P52,$AB$4:$AB$503,0),1)+boxDistance*(T52+IF(Y52="No",IF(ISODD(T52),IF(T52&gt;0,1,-1),0),0))*IF(Y52="No",IF(ISODD(T52),0.5,-0.5),1),timelineStartRow - boxDistance * V52),IF( S52="S",INDEX($AC$4:$AC$503,MATCH(P52,$AB$4:$AB$503,0),1),INDEX($AC$4:$AC$503,MATCH(P52,$AB$4:$AB$503,0),1)&amp;"-"&amp;INDEX($AC$4:$AC$503,MATCH(Q52,$AB$4:$AB$503,0),1))),"")</f>
        <v/>
      </c>
      <c r="AF52" s="132" t="str">
        <f>IF(ISNUMBER(P52), IF(Dashboard!$H$6&lt;&gt;"Horizontal",IF(S52="S",INDEX($AD$4:$AD$503,MATCH(P52,$AB$4:$AB$503,0),1)+boxDistance*(T52+IF(Y52="No",IF(ISODD(T52),IF(T52&gt;0,1,-1),0),0))*IF(Y52="No",IF(ISODD(T52),0.5,-0.5),1),timelineStartColumn-boxDistance * IF(AND(ISNUMBER(V52),V52&gt;1),V52*0.85,1)   ),IF( S52="S",INDEX($AD$4:$AD$503,MATCH(P52,$AB$4:$AB$503,0),1),INDEX($AD$4:$AD$503,MATCH(P52,$AB$4:$AB$503,0),1)&amp;"-"&amp;INDEX($AD$4:$AD$503,MATCH(Q52,$AB$4:$AB$503,0),1))),"")</f>
        <v/>
      </c>
      <c r="AG52" s="133" t="str">
        <f t="shared" si="9"/>
        <v/>
      </c>
      <c r="AH52" s="134" t="str">
        <f t="shared" si="16"/>
        <v/>
      </c>
      <c r="AI52" s="135" t="str">
        <f t="shared" si="3"/>
        <v/>
      </c>
      <c r="AJ52" s="135" t="str">
        <f t="shared" si="11"/>
        <v/>
      </c>
      <c r="AK52" s="126" t="str">
        <f t="shared" si="17"/>
        <v/>
      </c>
      <c r="AL52" s="126" t="str">
        <f ca="1">IFERROR(IF(AK52="","", MATCH(AK52,OFFSET(Icons!$B$5,1,AM52-3,20,1),0)+5),"")</f>
        <v/>
      </c>
      <c r="AM52" s="126" t="str">
        <f t="shared" si="12"/>
        <v/>
      </c>
      <c r="AN52" s="90"/>
      <c r="AW52" s="123">
        <v>7</v>
      </c>
      <c r="AX52" s="172" t="str">
        <f t="array" ref="AX52">IF(INDEX(iconsTable,ROW(AX12)-ROW($AX$3),5)="","",INDEX(iconsTable,ROW(AX12)-ROW($AX$3),5))</f>
        <v>heart</v>
      </c>
      <c r="AY52" s="123">
        <f t="shared" si="13"/>
        <v>64</v>
      </c>
      <c r="AZ52" s="137" t="str">
        <f t="shared" si="14"/>
        <v>leaf</v>
      </c>
    </row>
    <row r="53" spans="5:52" ht="15" customHeight="1" x14ac:dyDescent="0.25">
      <c r="E53" s="126">
        <v>50</v>
      </c>
      <c r="F53" s="126"/>
      <c r="G53" s="127"/>
      <c r="H53" s="127"/>
      <c r="I53" s="126"/>
      <c r="K53" s="137" t="str">
        <f t="shared" si="5"/>
        <v/>
      </c>
      <c r="L53" s="127" t="str">
        <f t="shared" si="0"/>
        <v/>
      </c>
      <c r="N53" s="128" t="str">
        <f t="shared" si="6"/>
        <v/>
      </c>
      <c r="O53" s="126" t="str">
        <f t="array" ref="O53">IFERROR(SMALL(IF(($G$4:$G$253=P53),ROW($G$4:$G$253)-ROW($G$3),"" ),N53),"")</f>
        <v/>
      </c>
      <c r="P53" s="127" t="str">
        <f t="array" ref="P53">IFERROR(SMALL($G$4:$G$253,E53),"")</f>
        <v/>
      </c>
      <c r="Q53" s="127" t="str">
        <f t="shared" si="7"/>
        <v/>
      </c>
      <c r="R53" s="126" t="str">
        <f t="shared" si="8"/>
        <v/>
      </c>
      <c r="S53" s="126" t="str">
        <f t="shared" si="1"/>
        <v/>
      </c>
      <c r="T53" s="128" t="str">
        <f>IF(OR(S53="R",S53=""),"",COUNTIFS($P$4:P53,P53,$S$4:S53,"S")*U53)</f>
        <v/>
      </c>
      <c r="U53" s="128" t="str">
        <f>IF(ISNUMBER(N53),IF($C$11=TRUE,IF(OR(ISODD(COUNTIF($N$4:N53,1)),Y53="Yes"),1,-1),1),"")</f>
        <v/>
      </c>
      <c r="V53" s="128" t="str">
        <f ca="1">IFERROR(IF(AND(S53="R",W53&lt;&gt;""),1,IF(S53="R",MAX(OFFSET(V52,0,0,-1*(ROW(W53)-3-MATCH(MAX($W$4:W52),$W$4:W52,0)),1))+1,"")),"")</f>
        <v/>
      </c>
      <c r="W53" s="129" t="str">
        <f>IFERROR(IF(AND(S53="R", P53&gt;MAX($X$3:X52)),P53,""),"")</f>
        <v/>
      </c>
      <c r="X53" s="129" t="str">
        <f>IFERROR(IF(AND(W53="",Q53&gt;=MAX($X$3:X52)),IF(S53="R",Q53,IF(AND(W53="",P53&lt;=MAX($X$3:X52)),MAX($X$3:X52),"")),IF(W53&lt;&gt;"", Q53,"")),"")</f>
        <v/>
      </c>
      <c r="Y53" s="126" t="str">
        <f>IF(S53="S",IF(OR(P53&lt;=MAX($X$3:X52),P53&gt;=IF(MIN(W$53:$W54)&lt;1,99999999,MIN(W$53:$W54))),"Yes","No"),"")</f>
        <v/>
      </c>
      <c r="AA53" s="130" t="str">
        <f t="shared" si="2"/>
        <v/>
      </c>
      <c r="AB53" s="131" t="str">
        <f t="array" ref="AB53">IF(AA53&lt;=$AA$2,MIN(IF($L$4:$L$503&lt;=AB52,99999999999,$L$4:$L$503)),"")</f>
        <v/>
      </c>
      <c r="AC53" s="130" t="str">
        <f>IF(ISNUMBER(AA53),IF(Dashboard!$H$6&lt;&gt;"Horizontal",AC52+dateDistance,AC52),"")</f>
        <v/>
      </c>
      <c r="AD53" s="130" t="str">
        <f>IF(ISNUMBER(AA53),IF(Dashboard!$H$6="Horizontal",AD52+dateDistance,AD52),"")</f>
        <v/>
      </c>
      <c r="AE53" s="132" t="str">
        <f>IF(ISNUMBER(P53), IF(Dashboard!$H$6="Horizontal",IF(S53="S",INDEX($AC$4:$AC$503,MATCH(P53,$AB$4:$AB$503,0),1)+boxDistance*(T53+IF(Y53="No",IF(ISODD(T53),IF(T53&gt;0,1,-1),0),0))*IF(Y53="No",IF(ISODD(T53),0.5,-0.5),1),timelineStartRow - boxDistance * V53),IF( S53="S",INDEX($AC$4:$AC$503,MATCH(P53,$AB$4:$AB$503,0),1),INDEX($AC$4:$AC$503,MATCH(P53,$AB$4:$AB$503,0),1)&amp;"-"&amp;INDEX($AC$4:$AC$503,MATCH(Q53,$AB$4:$AB$503,0),1))),"")</f>
        <v/>
      </c>
      <c r="AF53" s="132" t="str">
        <f>IF(ISNUMBER(P53), IF(Dashboard!$H$6&lt;&gt;"Horizontal",IF(S53="S",INDEX($AD$4:$AD$503,MATCH(P53,$AB$4:$AB$503,0),1)+boxDistance*(T53+IF(Y53="No",IF(ISODD(T53),IF(T53&gt;0,1,-1),0),0))*IF(Y53="No",IF(ISODD(T53),0.5,-0.5),1),timelineStartColumn-boxDistance * IF(AND(ISNUMBER(V53),V53&gt;1),V53*0.85,1)   ),IF( S53="S",INDEX($AD$4:$AD$503,MATCH(P53,$AB$4:$AB$503,0),1),INDEX($AD$4:$AD$503,MATCH(P53,$AB$4:$AB$503,0),1)&amp;"-"&amp;INDEX($AD$4:$AD$503,MATCH(Q53,$AB$4:$AB$503,0),1))),"")</f>
        <v/>
      </c>
      <c r="AG53" s="133" t="str">
        <f t="shared" si="9"/>
        <v/>
      </c>
      <c r="AH53" s="134" t="str">
        <f t="shared" si="16"/>
        <v/>
      </c>
      <c r="AI53" s="135" t="str">
        <f t="shared" si="3"/>
        <v/>
      </c>
      <c r="AJ53" s="135" t="str">
        <f t="shared" si="11"/>
        <v/>
      </c>
      <c r="AK53" s="126" t="str">
        <f t="shared" si="17"/>
        <v/>
      </c>
      <c r="AL53" s="126" t="str">
        <f ca="1">IFERROR(IF(AK53="","", MATCH(AK53,OFFSET(Icons!$B$5,1,AM53-3,20,1),0)+5),"")</f>
        <v/>
      </c>
      <c r="AM53" s="126" t="str">
        <f t="shared" si="12"/>
        <v/>
      </c>
      <c r="AN53" s="90"/>
      <c r="AW53" s="123">
        <v>7</v>
      </c>
      <c r="AX53" s="172" t="str">
        <f t="array" ref="AX53">IF(INDEX(iconsTable,ROW(AX13)-ROW($AX$3),5)="","",INDEX(iconsTable,ROW(AX13)-ROW($AX$3),5))</f>
        <v>heart_rate</v>
      </c>
      <c r="AY53" s="123">
        <f t="shared" si="13"/>
        <v>65</v>
      </c>
      <c r="AZ53" s="137" t="str">
        <f t="shared" si="14"/>
        <v>like</v>
      </c>
    </row>
    <row r="54" spans="5:52" ht="15" customHeight="1" x14ac:dyDescent="0.25">
      <c r="E54" s="126">
        <v>51</v>
      </c>
      <c r="F54" s="126"/>
      <c r="G54" s="127"/>
      <c r="H54" s="127"/>
      <c r="I54" s="126"/>
      <c r="K54" s="137" t="str">
        <f t="shared" si="5"/>
        <v/>
      </c>
      <c r="L54" s="127" t="str">
        <f t="shared" si="0"/>
        <v/>
      </c>
      <c r="N54" s="128" t="str">
        <f t="shared" si="6"/>
        <v/>
      </c>
      <c r="O54" s="126" t="str">
        <f t="array" ref="O54">IFERROR(SMALL(IF(($G$4:$G$253=P54),ROW($G$4:$G$253)-ROW($G$3),"" ),N54),"")</f>
        <v/>
      </c>
      <c r="P54" s="127" t="str">
        <f t="array" ref="P54">IFERROR(SMALL($G$4:$G$253,E54),"")</f>
        <v/>
      </c>
      <c r="Q54" s="127" t="str">
        <f t="shared" si="7"/>
        <v/>
      </c>
      <c r="R54" s="126" t="str">
        <f t="shared" si="8"/>
        <v/>
      </c>
      <c r="S54" s="126" t="str">
        <f t="shared" si="1"/>
        <v/>
      </c>
      <c r="T54" s="128" t="str">
        <f>IF(OR(S54="R",S54=""),"",COUNTIFS($P$4:P54,P54,$S$4:S54,"S")*U54)</f>
        <v/>
      </c>
      <c r="U54" s="128" t="str">
        <f>IF(ISNUMBER(N54),IF($C$11=TRUE,IF(OR(ISODD(COUNTIF($N$4:N54,1)),Y54="Yes"),1,-1),1),"")</f>
        <v/>
      </c>
      <c r="V54" s="128" t="str">
        <f ca="1">IFERROR(IF(AND(S54="R",W54&lt;&gt;""),1,IF(S54="R",MAX(OFFSET(V53,0,0,-1*(ROW(W54)-3-MATCH(MAX($W$4:W53),$W$4:W53,0)),1))+1,"")),"")</f>
        <v/>
      </c>
      <c r="W54" s="129" t="str">
        <f>IFERROR(IF(AND(S54="R", P54&gt;MAX($X$3:X53)),P54,""),"")</f>
        <v/>
      </c>
      <c r="X54" s="129" t="str">
        <f>IFERROR(IF(AND(W54="",Q54&gt;=MAX($X$3:X53)),IF(S54="R",Q54,IF(AND(W54="",P54&lt;=MAX($X$3:X53)),MAX($X$3:X53),"")),IF(W54&lt;&gt;"", Q54,"")),"")</f>
        <v/>
      </c>
      <c r="Y54" s="126" t="str">
        <f>IF(S54="S",IF(OR(P54&lt;=MAX($X$3:X53),P54&gt;=IF(MIN(W$53:$W55)&lt;1,99999999,MIN(W$53:$W55))),"Yes","No"),"")</f>
        <v/>
      </c>
      <c r="AA54" s="130" t="str">
        <f t="shared" si="2"/>
        <v/>
      </c>
      <c r="AB54" s="131" t="str">
        <f t="array" ref="AB54">IF(AA54&lt;=$AA$2,MIN(IF($L$4:$L$503&lt;=AB53,99999999999,$L$4:$L$503)),"")</f>
        <v/>
      </c>
      <c r="AC54" s="130" t="str">
        <f>IF(ISNUMBER(AA54),IF(Dashboard!$H$6&lt;&gt;"Horizontal",AC53+dateDistance,AC53),"")</f>
        <v/>
      </c>
      <c r="AD54" s="130" t="str">
        <f>IF(ISNUMBER(AA54),IF(Dashboard!$H$6="Horizontal",AD53+dateDistance,AD53),"")</f>
        <v/>
      </c>
      <c r="AE54" s="132" t="str">
        <f>IF(ISNUMBER(P54), IF(Dashboard!$H$6="Horizontal",IF(S54="S",INDEX($AC$4:$AC$503,MATCH(P54,$AB$4:$AB$503,0),1)+boxDistance*(T54+IF(Y54="No",IF(ISODD(T54),IF(T54&gt;0,1,-1),0),0))*IF(Y54="No",IF(ISODD(T54),0.5,-0.5),1),timelineStartRow - boxDistance * V54),IF( S54="S",INDEX($AC$4:$AC$503,MATCH(P54,$AB$4:$AB$503,0),1),INDEX($AC$4:$AC$503,MATCH(P54,$AB$4:$AB$503,0),1)&amp;"-"&amp;INDEX($AC$4:$AC$503,MATCH(Q54,$AB$4:$AB$503,0),1))),"")</f>
        <v/>
      </c>
      <c r="AF54" s="132" t="str">
        <f>IF(ISNUMBER(P54), IF(Dashboard!$H$6&lt;&gt;"Horizontal",IF(S54="S",INDEX($AD$4:$AD$503,MATCH(P54,$AB$4:$AB$503,0),1)+boxDistance*(T54+IF(Y54="No",IF(ISODD(T54),IF(T54&gt;0,1,-1),0),0))*IF(Y54="No",IF(ISODD(T54),0.5,-0.5),1),timelineStartColumn-boxDistance * IF(AND(ISNUMBER(V54),V54&gt;1),V54*0.85,1)   ),IF( S54="S",INDEX($AD$4:$AD$503,MATCH(P54,$AB$4:$AB$503,0),1),INDEX($AD$4:$AD$503,MATCH(P54,$AB$4:$AB$503,0),1)&amp;"-"&amp;INDEX($AD$4:$AD$503,MATCH(Q54,$AB$4:$AB$503,0),1))),"")</f>
        <v/>
      </c>
      <c r="AG54" s="133" t="str">
        <f t="shared" si="9"/>
        <v/>
      </c>
      <c r="AH54" s="134" t="str">
        <f t="shared" si="16"/>
        <v/>
      </c>
      <c r="AI54" s="135" t="str">
        <f t="shared" si="3"/>
        <v/>
      </c>
      <c r="AJ54" s="135" t="str">
        <f t="shared" si="11"/>
        <v/>
      </c>
      <c r="AK54" s="126" t="str">
        <f t="shared" si="17"/>
        <v/>
      </c>
      <c r="AL54" s="126" t="str">
        <f ca="1">IFERROR(IF(AK54="","", MATCH(AK54,OFFSET(Icons!$B$5,1,AM54-3,20,1),0)+5),"")</f>
        <v/>
      </c>
      <c r="AM54" s="126" t="str">
        <f t="shared" si="12"/>
        <v/>
      </c>
      <c r="AN54" s="90"/>
      <c r="AW54" s="123">
        <v>7</v>
      </c>
      <c r="AX54" s="172" t="str">
        <f t="array" ref="AX54">IF(INDEX(iconsTable,ROW(AX14)-ROW($AX$3),5)="","",INDEX(iconsTable,ROW(AX14)-ROW($AX$3),5))</f>
        <v>house</v>
      </c>
      <c r="AY54" s="123">
        <f t="shared" si="13"/>
        <v>66</v>
      </c>
      <c r="AZ54" s="137" t="str">
        <f t="shared" si="14"/>
        <v>luggage</v>
      </c>
    </row>
    <row r="55" spans="5:52" ht="15" customHeight="1" x14ac:dyDescent="0.25">
      <c r="E55" s="126">
        <v>52</v>
      </c>
      <c r="F55" s="126"/>
      <c r="G55" s="127"/>
      <c r="H55" s="127"/>
      <c r="I55" s="126"/>
      <c r="K55" s="137" t="str">
        <f t="shared" si="5"/>
        <v/>
      </c>
      <c r="L55" s="127" t="str">
        <f t="shared" si="0"/>
        <v/>
      </c>
      <c r="N55" s="128" t="str">
        <f t="shared" si="6"/>
        <v/>
      </c>
      <c r="O55" s="126" t="str">
        <f t="array" ref="O55">IFERROR(SMALL(IF(($G$4:$G$253=P55),ROW($G$4:$G$253)-ROW($G$3),"" ),N55),"")</f>
        <v/>
      </c>
      <c r="P55" s="127" t="str">
        <f t="array" ref="P55">IFERROR(SMALL($G$4:$G$253,E55),"")</f>
        <v/>
      </c>
      <c r="Q55" s="127" t="str">
        <f t="shared" si="7"/>
        <v/>
      </c>
      <c r="R55" s="126" t="str">
        <f t="shared" si="8"/>
        <v/>
      </c>
      <c r="S55" s="126" t="str">
        <f t="shared" si="1"/>
        <v/>
      </c>
      <c r="T55" s="128" t="str">
        <f>IF(OR(S55="R",S55=""),"",COUNTIFS($P$4:P55,P55,$S$4:S55,"S")*U55)</f>
        <v/>
      </c>
      <c r="U55" s="128" t="str">
        <f>IF(ISNUMBER(N55),IF($C$11=TRUE,IF(OR(ISODD(COUNTIF($N$4:N55,1)),Y55="Yes"),1,-1),1),"")</f>
        <v/>
      </c>
      <c r="V55" s="128" t="str">
        <f ca="1">IFERROR(IF(AND(S55="R",W55&lt;&gt;""),1,IF(S55="R",MAX(OFFSET(V54,0,0,-1*(ROW(W55)-3-MATCH(MAX($W$4:W54),$W$4:W54,0)),1))+1,"")),"")</f>
        <v/>
      </c>
      <c r="W55" s="129" t="str">
        <f>IFERROR(IF(AND(S55="R", P55&gt;MAX($X$3:X54)),P55,""),"")</f>
        <v/>
      </c>
      <c r="X55" s="129" t="str">
        <f>IFERROR(IF(AND(W55="",Q55&gt;=MAX($X$3:X54)),IF(S55="R",Q55,IF(AND(W55="",P55&lt;=MAX($X$3:X54)),MAX($X$3:X54),"")),IF(W55&lt;&gt;"", Q55,"")),"")</f>
        <v/>
      </c>
      <c r="Y55" s="126" t="str">
        <f>IF(S55="S",IF(OR(P55&lt;=MAX($X$3:X54),P55&gt;=IF(MIN(W$53:$W56)&lt;1,99999999,MIN(W$53:$W56))),"Yes","No"),"")</f>
        <v/>
      </c>
      <c r="AA55" s="130" t="str">
        <f t="shared" si="2"/>
        <v/>
      </c>
      <c r="AB55" s="131" t="str">
        <f t="array" ref="AB55">IF(AA55&lt;=$AA$2,MIN(IF($L$4:$L$503&lt;=AB54,99999999999,$L$4:$L$503)),"")</f>
        <v/>
      </c>
      <c r="AC55" s="130" t="str">
        <f>IF(ISNUMBER(AA55),IF(Dashboard!$H$6&lt;&gt;"Horizontal",AC54+dateDistance,AC54),"")</f>
        <v/>
      </c>
      <c r="AD55" s="130" t="str">
        <f>IF(ISNUMBER(AA55),IF(Dashboard!$H$6="Horizontal",AD54+dateDistance,AD54),"")</f>
        <v/>
      </c>
      <c r="AE55" s="132" t="str">
        <f>IF(ISNUMBER(P55), IF(Dashboard!$H$6="Horizontal",IF(S55="S",INDEX($AC$4:$AC$503,MATCH(P55,$AB$4:$AB$503,0),1)+boxDistance*(T55+IF(Y55="No",IF(ISODD(T55),IF(T55&gt;0,1,-1),0),0))*IF(Y55="No",IF(ISODD(T55),0.5,-0.5),1),timelineStartRow - boxDistance * V55),IF( S55="S",INDEX($AC$4:$AC$503,MATCH(P55,$AB$4:$AB$503,0),1),INDEX($AC$4:$AC$503,MATCH(P55,$AB$4:$AB$503,0),1)&amp;"-"&amp;INDEX($AC$4:$AC$503,MATCH(Q55,$AB$4:$AB$503,0),1))),"")</f>
        <v/>
      </c>
      <c r="AF55" s="132" t="str">
        <f>IF(ISNUMBER(P55), IF(Dashboard!$H$6&lt;&gt;"Horizontal",IF(S55="S",INDEX($AD$4:$AD$503,MATCH(P55,$AB$4:$AB$503,0),1)+boxDistance*(T55+IF(Y55="No",IF(ISODD(T55),IF(T55&gt;0,1,-1),0),0))*IF(Y55="No",IF(ISODD(T55),0.5,-0.5),1),timelineStartColumn-boxDistance * IF(AND(ISNUMBER(V55),V55&gt;1),V55*0.85,1)   ),IF( S55="S",INDEX($AD$4:$AD$503,MATCH(P55,$AB$4:$AB$503,0),1),INDEX($AD$4:$AD$503,MATCH(P55,$AB$4:$AB$503,0),1)&amp;"-"&amp;INDEX($AD$4:$AD$503,MATCH(Q55,$AB$4:$AB$503,0),1))),"")</f>
        <v/>
      </c>
      <c r="AG55" s="133" t="str">
        <f t="shared" si="9"/>
        <v/>
      </c>
      <c r="AH55" s="134" t="str">
        <f t="shared" si="16"/>
        <v/>
      </c>
      <c r="AI55" s="135" t="str">
        <f t="shared" si="3"/>
        <v/>
      </c>
      <c r="AJ55" s="135" t="str">
        <f t="shared" si="11"/>
        <v/>
      </c>
      <c r="AK55" s="126" t="str">
        <f t="shared" si="17"/>
        <v/>
      </c>
      <c r="AL55" s="126" t="str">
        <f ca="1">IFERROR(IF(AK55="","", MATCH(AK55,OFFSET(Icons!$B$5,1,AM55-3,20,1),0)+5),"")</f>
        <v/>
      </c>
      <c r="AM55" s="126" t="str">
        <f t="shared" si="12"/>
        <v/>
      </c>
      <c r="AN55" s="90"/>
      <c r="AW55" s="123">
        <v>7</v>
      </c>
      <c r="AX55" s="172" t="str">
        <f t="array" ref="AX55">IF(INDEX(iconsTable,ROW(AX15)-ROW($AX$3),5)="","",INDEX(iconsTable,ROW(AX15)-ROW($AX$3),5))</f>
        <v>icecream</v>
      </c>
      <c r="AY55" s="123">
        <f t="shared" si="13"/>
        <v>67</v>
      </c>
      <c r="AZ55" s="137" t="str">
        <f t="shared" si="14"/>
        <v>lungs</v>
      </c>
    </row>
    <row r="56" spans="5:52" ht="15" customHeight="1" x14ac:dyDescent="0.25">
      <c r="E56" s="126">
        <v>53</v>
      </c>
      <c r="F56" s="126"/>
      <c r="G56" s="127"/>
      <c r="H56" s="127"/>
      <c r="I56" s="126"/>
      <c r="K56" s="137" t="str">
        <f t="shared" si="5"/>
        <v/>
      </c>
      <c r="L56" s="127" t="str">
        <f t="shared" si="0"/>
        <v/>
      </c>
      <c r="N56" s="128" t="str">
        <f t="shared" si="6"/>
        <v/>
      </c>
      <c r="O56" s="126" t="str">
        <f t="array" ref="O56">IFERROR(SMALL(IF(($G$4:$G$253=P56),ROW($G$4:$G$253)-ROW($G$3),"" ),N56),"")</f>
        <v/>
      </c>
      <c r="P56" s="127" t="str">
        <f t="array" ref="P56">IFERROR(SMALL($G$4:$G$253,E56),"")</f>
        <v/>
      </c>
      <c r="Q56" s="127" t="str">
        <f t="shared" si="7"/>
        <v/>
      </c>
      <c r="R56" s="126" t="str">
        <f t="shared" si="8"/>
        <v/>
      </c>
      <c r="S56" s="126" t="str">
        <f t="shared" si="1"/>
        <v/>
      </c>
      <c r="T56" s="128" t="str">
        <f>IF(OR(S56="R",S56=""),"",COUNTIFS($P$4:P56,P56,$S$4:S56,"S")*U56)</f>
        <v/>
      </c>
      <c r="U56" s="128" t="str">
        <f>IF(ISNUMBER(N56),IF($C$11=TRUE,IF(OR(ISODD(COUNTIF($N$4:N56,1)),Y56="Yes"),1,-1),1),"")</f>
        <v/>
      </c>
      <c r="V56" s="128" t="str">
        <f ca="1">IFERROR(IF(AND(S56="R",W56&lt;&gt;""),1,IF(S56="R",MAX(OFFSET(V55,0,0,-1*(ROW(W56)-3-MATCH(MAX($W$4:W55),$W$4:W55,0)),1))+1,"")),"")</f>
        <v/>
      </c>
      <c r="W56" s="129" t="str">
        <f>IFERROR(IF(AND(S56="R", P56&gt;MAX($X$3:X55)),P56,""),"")</f>
        <v/>
      </c>
      <c r="X56" s="129" t="str">
        <f>IFERROR(IF(AND(W56="",Q56&gt;=MAX($X$3:X55)),IF(S56="R",Q56,IF(AND(W56="",P56&lt;=MAX($X$3:X55)),MAX($X$3:X55),"")),IF(W56&lt;&gt;"", Q56,"")),"")</f>
        <v/>
      </c>
      <c r="Y56" s="126" t="str">
        <f>IF(S56="S",IF(OR(P56&lt;=MAX($X$3:X55),P56&gt;=IF(MIN(W$53:$W57)&lt;1,99999999,MIN(W$53:$W57))),"Yes","No"),"")</f>
        <v/>
      </c>
      <c r="AA56" s="130" t="str">
        <f t="shared" si="2"/>
        <v/>
      </c>
      <c r="AB56" s="131" t="str">
        <f t="array" ref="AB56">IF(AA56&lt;=$AA$2,MIN(IF($L$4:$L$503&lt;=AB55,99999999999,$L$4:$L$503)),"")</f>
        <v/>
      </c>
      <c r="AC56" s="130" t="str">
        <f>IF(ISNUMBER(AA56),IF(Dashboard!$H$6&lt;&gt;"Horizontal",AC55+dateDistance,AC55),"")</f>
        <v/>
      </c>
      <c r="AD56" s="130" t="str">
        <f>IF(ISNUMBER(AA56),IF(Dashboard!$H$6="Horizontal",AD55+dateDistance,AD55),"")</f>
        <v/>
      </c>
      <c r="AE56" s="132" t="str">
        <f>IF(ISNUMBER(P56), IF(Dashboard!$H$6="Horizontal",IF(S56="S",INDEX($AC$4:$AC$503,MATCH(P56,$AB$4:$AB$503,0),1)+boxDistance*(T56+IF(Y56="No",IF(ISODD(T56),IF(T56&gt;0,1,-1),0),0))*IF(Y56="No",IF(ISODD(T56),0.5,-0.5),1),timelineStartRow - boxDistance * V56),IF( S56="S",INDEX($AC$4:$AC$503,MATCH(P56,$AB$4:$AB$503,0),1),INDEX($AC$4:$AC$503,MATCH(P56,$AB$4:$AB$503,0),1)&amp;"-"&amp;INDEX($AC$4:$AC$503,MATCH(Q56,$AB$4:$AB$503,0),1))),"")</f>
        <v/>
      </c>
      <c r="AF56" s="132" t="str">
        <f>IF(ISNUMBER(P56), IF(Dashboard!$H$6&lt;&gt;"Horizontal",IF(S56="S",INDEX($AD$4:$AD$503,MATCH(P56,$AB$4:$AB$503,0),1)+boxDistance*(T56+IF(Y56="No",IF(ISODD(T56),IF(T56&gt;0,1,-1),0),0))*IF(Y56="No",IF(ISODD(T56),0.5,-0.5),1),timelineStartColumn-boxDistance * IF(AND(ISNUMBER(V56),V56&gt;1),V56*0.85,1)   ),IF( S56="S",INDEX($AD$4:$AD$503,MATCH(P56,$AB$4:$AB$503,0),1),INDEX($AD$4:$AD$503,MATCH(P56,$AB$4:$AB$503,0),1)&amp;"-"&amp;INDEX($AD$4:$AD$503,MATCH(Q56,$AB$4:$AB$503,0),1))),"")</f>
        <v/>
      </c>
      <c r="AG56" s="133" t="str">
        <f t="shared" si="9"/>
        <v/>
      </c>
      <c r="AH56" s="134" t="str">
        <f t="shared" si="16"/>
        <v/>
      </c>
      <c r="AI56" s="135" t="str">
        <f t="shared" si="3"/>
        <v/>
      </c>
      <c r="AJ56" s="135" t="str">
        <f t="shared" si="11"/>
        <v/>
      </c>
      <c r="AK56" s="126" t="str">
        <f t="shared" si="17"/>
        <v/>
      </c>
      <c r="AL56" s="126" t="str">
        <f ca="1">IFERROR(IF(AK56="","", MATCH(AK56,OFFSET(Icons!$B$5,1,AM56-3,20,1),0)+5),"")</f>
        <v/>
      </c>
      <c r="AM56" s="126" t="str">
        <f t="shared" si="12"/>
        <v/>
      </c>
      <c r="AN56" s="90"/>
      <c r="AW56" s="123">
        <v>7</v>
      </c>
      <c r="AX56" s="172" t="str">
        <f t="array" ref="AX56">IF(INDEX(iconsTable,ROW(AX16)-ROW($AX$3),5)="","",INDEX(iconsTable,ROW(AX16)-ROW($AX$3),5))</f>
        <v>injection</v>
      </c>
      <c r="AY56" s="123">
        <f t="shared" si="13"/>
        <v>68</v>
      </c>
      <c r="AZ56" s="137" t="str">
        <f t="shared" si="14"/>
        <v>mask</v>
      </c>
    </row>
    <row r="57" spans="5:52" ht="15" customHeight="1" x14ac:dyDescent="0.25">
      <c r="E57" s="126">
        <v>54</v>
      </c>
      <c r="F57" s="126"/>
      <c r="G57" s="127"/>
      <c r="H57" s="127"/>
      <c r="I57" s="126"/>
      <c r="K57" s="137" t="str">
        <f t="shared" si="5"/>
        <v/>
      </c>
      <c r="L57" s="127" t="str">
        <f t="shared" si="0"/>
        <v/>
      </c>
      <c r="N57" s="128" t="str">
        <f t="shared" si="6"/>
        <v/>
      </c>
      <c r="O57" s="126" t="str">
        <f t="array" ref="O57">IFERROR(SMALL(IF(($G$4:$G$253=P57),ROW($G$4:$G$253)-ROW($G$3),"" ),N57),"")</f>
        <v/>
      </c>
      <c r="P57" s="127" t="str">
        <f t="array" ref="P57">IFERROR(SMALL($G$4:$G$253,E57),"")</f>
        <v/>
      </c>
      <c r="Q57" s="127" t="str">
        <f t="shared" si="7"/>
        <v/>
      </c>
      <c r="R57" s="126" t="str">
        <f t="shared" si="8"/>
        <v/>
      </c>
      <c r="S57" s="126" t="str">
        <f t="shared" si="1"/>
        <v/>
      </c>
      <c r="T57" s="128" t="str">
        <f>IF(OR(S57="R",S57=""),"",COUNTIFS($P$4:P57,P57,$S$4:S57,"S")*U57)</f>
        <v/>
      </c>
      <c r="U57" s="128" t="str">
        <f>IF(ISNUMBER(N57),IF($C$11=TRUE,IF(OR(ISODD(COUNTIF($N$4:N57,1)),Y57="Yes"),1,-1),1),"")</f>
        <v/>
      </c>
      <c r="V57" s="128" t="str">
        <f ca="1">IFERROR(IF(AND(S57="R",W57&lt;&gt;""),1,IF(S57="R",MAX(OFFSET(V56,0,0,-1*(ROW(W57)-3-MATCH(MAX($W$4:W56),$W$4:W56,0)),1))+1,"")),"")</f>
        <v/>
      </c>
      <c r="W57" s="129" t="str">
        <f>IFERROR(IF(AND(S57="R", P57&gt;MAX($X$3:X56)),P57,""),"")</f>
        <v/>
      </c>
      <c r="X57" s="129" t="str">
        <f>IFERROR(IF(AND(W57="",Q57&gt;=MAX($X$3:X56)),IF(S57="R",Q57,IF(AND(W57="",P57&lt;=MAX($X$3:X56)),MAX($X$3:X56),"")),IF(W57&lt;&gt;"", Q57,"")),"")</f>
        <v/>
      </c>
      <c r="Y57" s="126" t="str">
        <f>IF(S57="S",IF(OR(P57&lt;=MAX($X$3:X56),P57&gt;=IF(MIN(W$53:$W58)&lt;1,99999999,MIN(W$53:$W58))),"Yes","No"),"")</f>
        <v/>
      </c>
      <c r="AA57" s="130" t="str">
        <f t="shared" si="2"/>
        <v/>
      </c>
      <c r="AB57" s="131" t="str">
        <f t="array" ref="AB57">IF(AA57&lt;=$AA$2,MIN(IF($L$4:$L$503&lt;=AB56,99999999999,$L$4:$L$503)),"")</f>
        <v/>
      </c>
      <c r="AC57" s="130" t="str">
        <f>IF(ISNUMBER(AA57),IF(Dashboard!$H$6&lt;&gt;"Horizontal",AC56+dateDistance,AC56),"")</f>
        <v/>
      </c>
      <c r="AD57" s="130" t="str">
        <f>IF(ISNUMBER(AA57),IF(Dashboard!$H$6="Horizontal",AD56+dateDistance,AD56),"")</f>
        <v/>
      </c>
      <c r="AE57" s="132" t="str">
        <f>IF(ISNUMBER(P57), IF(Dashboard!$H$6="Horizontal",IF(S57="S",INDEX($AC$4:$AC$503,MATCH(P57,$AB$4:$AB$503,0),1)+boxDistance*(T57+IF(Y57="No",IF(ISODD(T57),IF(T57&gt;0,1,-1),0),0))*IF(Y57="No",IF(ISODD(T57),0.5,-0.5),1),timelineStartRow - boxDistance * V57),IF( S57="S",INDEX($AC$4:$AC$503,MATCH(P57,$AB$4:$AB$503,0),1),INDEX($AC$4:$AC$503,MATCH(P57,$AB$4:$AB$503,0),1)&amp;"-"&amp;INDEX($AC$4:$AC$503,MATCH(Q57,$AB$4:$AB$503,0),1))),"")</f>
        <v/>
      </c>
      <c r="AF57" s="132" t="str">
        <f>IF(ISNUMBER(P57), IF(Dashboard!$H$6&lt;&gt;"Horizontal",IF(S57="S",INDEX($AD$4:$AD$503,MATCH(P57,$AB$4:$AB$503,0),1)+boxDistance*(T57+IF(Y57="No",IF(ISODD(T57),IF(T57&gt;0,1,-1),0),0))*IF(Y57="No",IF(ISODD(T57),0.5,-0.5),1),timelineStartColumn-boxDistance * IF(AND(ISNUMBER(V57),V57&gt;1),V57*0.85,1)   ),IF( S57="S",INDEX($AD$4:$AD$503,MATCH(P57,$AB$4:$AB$503,0),1),INDEX($AD$4:$AD$503,MATCH(P57,$AB$4:$AB$503,0),1)&amp;"-"&amp;INDEX($AD$4:$AD$503,MATCH(Q57,$AB$4:$AB$503,0),1))),"")</f>
        <v/>
      </c>
      <c r="AG57" s="133" t="str">
        <f t="shared" si="9"/>
        <v/>
      </c>
      <c r="AH57" s="134" t="str">
        <f t="shared" si="16"/>
        <v/>
      </c>
      <c r="AI57" s="135" t="str">
        <f t="shared" si="3"/>
        <v/>
      </c>
      <c r="AJ57" s="135" t="str">
        <f t="shared" si="11"/>
        <v/>
      </c>
      <c r="AK57" s="126" t="str">
        <f t="shared" si="17"/>
        <v/>
      </c>
      <c r="AL57" s="126" t="str">
        <f ca="1">IFERROR(IF(AK57="","", MATCH(AK57,OFFSET(Icons!$B$5,1,AM57-3,20,1),0)+5),"")</f>
        <v/>
      </c>
      <c r="AM57" s="126" t="str">
        <f t="shared" si="12"/>
        <v/>
      </c>
      <c r="AN57" s="90"/>
      <c r="AW57" s="123">
        <v>7</v>
      </c>
      <c r="AX57" s="172" t="str">
        <f t="array" ref="AX57">IF(INDEX(iconsTable,ROW(AX17)-ROW($AX$3),5)="","",INDEX(iconsTable,ROW(AX17)-ROW($AX$3),5))</f>
        <v>island</v>
      </c>
      <c r="AY57" s="123">
        <f t="shared" si="13"/>
        <v>69</v>
      </c>
      <c r="AZ57" s="137" t="str">
        <f t="shared" si="14"/>
        <v>monkey</v>
      </c>
    </row>
    <row r="58" spans="5:52" ht="15" customHeight="1" x14ac:dyDescent="0.25">
      <c r="E58" s="126">
        <v>55</v>
      </c>
      <c r="F58" s="126"/>
      <c r="G58" s="127"/>
      <c r="H58" s="127"/>
      <c r="I58" s="126"/>
      <c r="K58" s="137" t="str">
        <f t="shared" si="5"/>
        <v/>
      </c>
      <c r="L58" s="127" t="str">
        <f t="shared" si="0"/>
        <v/>
      </c>
      <c r="N58" s="128" t="str">
        <f t="shared" si="6"/>
        <v/>
      </c>
      <c r="O58" s="126" t="str">
        <f t="array" ref="O58">IFERROR(SMALL(IF(($G$4:$G$253=P58),ROW($G$4:$G$253)-ROW($G$3),"" ),N58),"")</f>
        <v/>
      </c>
      <c r="P58" s="127" t="str">
        <f t="array" ref="P58">IFERROR(SMALL($G$4:$G$253,E58),"")</f>
        <v/>
      </c>
      <c r="Q58" s="127" t="str">
        <f t="shared" si="7"/>
        <v/>
      </c>
      <c r="R58" s="126" t="str">
        <f t="shared" si="8"/>
        <v/>
      </c>
      <c r="S58" s="126" t="str">
        <f t="shared" si="1"/>
        <v/>
      </c>
      <c r="T58" s="128" t="str">
        <f>IF(OR(S58="R",S58=""),"",COUNTIFS($P$4:P58,P58,$S$4:S58,"S")*U58)</f>
        <v/>
      </c>
      <c r="U58" s="128" t="str">
        <f>IF(ISNUMBER(N58),IF($C$11=TRUE,IF(OR(ISODD(COUNTIF($N$4:N58,1)),Y58="Yes"),1,-1),1),"")</f>
        <v/>
      </c>
      <c r="V58" s="128" t="str">
        <f ca="1">IFERROR(IF(AND(S58="R",W58&lt;&gt;""),1,IF(S58="R",MAX(OFFSET(V57,0,0,-1*(ROW(W58)-3-MATCH(MAX($W$4:W57),$W$4:W57,0)),1))+1,"")),"")</f>
        <v/>
      </c>
      <c r="W58" s="129" t="str">
        <f>IFERROR(IF(AND(S58="R", P58&gt;MAX($X$3:X57)),P58,""),"")</f>
        <v/>
      </c>
      <c r="X58" s="129" t="str">
        <f>IFERROR(IF(AND(W58="",Q58&gt;=MAX($X$3:X57)),IF(S58="R",Q58,IF(AND(W58="",P58&lt;=MAX($X$3:X57)),MAX($X$3:X57),"")),IF(W58&lt;&gt;"", Q58,"")),"")</f>
        <v/>
      </c>
      <c r="Y58" s="126" t="str">
        <f>IF(S58="S",IF(OR(P58&lt;=MAX($X$3:X57),P58&gt;=IF(MIN(W$53:$W59)&lt;1,99999999,MIN(W$53:$W59))),"Yes","No"),"")</f>
        <v/>
      </c>
      <c r="AA58" s="130" t="str">
        <f t="shared" si="2"/>
        <v/>
      </c>
      <c r="AB58" s="131" t="str">
        <f t="array" ref="AB58">IF(AA58&lt;=$AA$2,MIN(IF($L$4:$L$503&lt;=AB57,99999999999,$L$4:$L$503)),"")</f>
        <v/>
      </c>
      <c r="AC58" s="130" t="str">
        <f>IF(ISNUMBER(AA58),IF(Dashboard!$H$6&lt;&gt;"Horizontal",AC57+dateDistance,AC57),"")</f>
        <v/>
      </c>
      <c r="AD58" s="130" t="str">
        <f>IF(ISNUMBER(AA58),IF(Dashboard!$H$6="Horizontal",AD57+dateDistance,AD57),"")</f>
        <v/>
      </c>
      <c r="AE58" s="132" t="str">
        <f>IF(ISNUMBER(P58), IF(Dashboard!$H$6="Horizontal",IF(S58="S",INDEX($AC$4:$AC$503,MATCH(P58,$AB$4:$AB$503,0),1)+boxDistance*(T58+IF(Y58="No",IF(ISODD(T58),IF(T58&gt;0,1,-1),0),0))*IF(Y58="No",IF(ISODD(T58),0.5,-0.5),1),timelineStartRow - boxDistance * V58),IF( S58="S",INDEX($AC$4:$AC$503,MATCH(P58,$AB$4:$AB$503,0),1),INDEX($AC$4:$AC$503,MATCH(P58,$AB$4:$AB$503,0),1)&amp;"-"&amp;INDEX($AC$4:$AC$503,MATCH(Q58,$AB$4:$AB$503,0),1))),"")</f>
        <v/>
      </c>
      <c r="AF58" s="132" t="str">
        <f>IF(ISNUMBER(P58), IF(Dashboard!$H$6&lt;&gt;"Horizontal",IF(S58="S",INDEX($AD$4:$AD$503,MATCH(P58,$AB$4:$AB$503,0),1)+boxDistance*(T58+IF(Y58="No",IF(ISODD(T58),IF(T58&gt;0,1,-1),0),0))*IF(Y58="No",IF(ISODD(T58),0.5,-0.5),1),timelineStartColumn-boxDistance * IF(AND(ISNUMBER(V58),V58&gt;1),V58*0.85,1)   ),IF( S58="S",INDEX($AD$4:$AD$503,MATCH(P58,$AB$4:$AB$503,0),1),INDEX($AD$4:$AD$503,MATCH(P58,$AB$4:$AB$503,0),1)&amp;"-"&amp;INDEX($AD$4:$AD$503,MATCH(Q58,$AB$4:$AB$503,0),1))),"")</f>
        <v/>
      </c>
      <c r="AG58" s="133" t="str">
        <f t="shared" si="9"/>
        <v/>
      </c>
      <c r="AH58" s="134" t="str">
        <f t="shared" si="16"/>
        <v/>
      </c>
      <c r="AI58" s="135" t="str">
        <f t="shared" si="3"/>
        <v/>
      </c>
      <c r="AJ58" s="135" t="str">
        <f t="shared" si="11"/>
        <v/>
      </c>
      <c r="AK58" s="126" t="str">
        <f t="shared" si="17"/>
        <v/>
      </c>
      <c r="AL58" s="126" t="str">
        <f ca="1">IFERROR(IF(AK58="","", MATCH(AK58,OFFSET(Icons!$B$5,1,AM58-3,20,1),0)+5),"")</f>
        <v/>
      </c>
      <c r="AM58" s="126" t="str">
        <f t="shared" si="12"/>
        <v/>
      </c>
      <c r="AN58" s="90"/>
      <c r="AW58" s="123">
        <v>7</v>
      </c>
      <c r="AX58" s="172" t="str">
        <f t="array" ref="AX58">IF(INDEX(iconsTable,ROW(AX18)-ROW($AX$3),5)="","",INDEX(iconsTable,ROW(AX18)-ROW($AX$3),5))</f>
        <v>juggling</v>
      </c>
      <c r="AY58" s="123">
        <f t="shared" si="13"/>
        <v>70</v>
      </c>
      <c r="AZ58" s="137" t="str">
        <f t="shared" si="14"/>
        <v>moon</v>
      </c>
    </row>
    <row r="59" spans="5:52" ht="15" customHeight="1" x14ac:dyDescent="0.25">
      <c r="E59" s="126">
        <v>56</v>
      </c>
      <c r="F59" s="126"/>
      <c r="G59" s="127"/>
      <c r="H59" s="127"/>
      <c r="I59" s="126"/>
      <c r="K59" s="137" t="str">
        <f t="shared" si="5"/>
        <v/>
      </c>
      <c r="L59" s="127" t="str">
        <f t="shared" si="0"/>
        <v/>
      </c>
      <c r="N59" s="128" t="str">
        <f t="shared" si="6"/>
        <v/>
      </c>
      <c r="O59" s="126" t="str">
        <f t="array" ref="O59">IFERROR(SMALL(IF(($G$4:$G$253=P59),ROW($G$4:$G$253)-ROW($G$3),"" ),N59),"")</f>
        <v/>
      </c>
      <c r="P59" s="127" t="str">
        <f t="array" ref="P59">IFERROR(SMALL($G$4:$G$253,E59),"")</f>
        <v/>
      </c>
      <c r="Q59" s="127" t="str">
        <f t="shared" si="7"/>
        <v/>
      </c>
      <c r="R59" s="126" t="str">
        <f t="shared" si="8"/>
        <v/>
      </c>
      <c r="S59" s="126" t="str">
        <f t="shared" si="1"/>
        <v/>
      </c>
      <c r="T59" s="128" t="str">
        <f>IF(OR(S59="R",S59=""),"",COUNTIFS($P$4:P59,P59,$S$4:S59,"S")*U59)</f>
        <v/>
      </c>
      <c r="U59" s="128" t="str">
        <f>IF(ISNUMBER(N59),IF($C$11=TRUE,IF(OR(ISODD(COUNTIF($N$4:N59,1)),Y59="Yes"),1,-1),1),"")</f>
        <v/>
      </c>
      <c r="V59" s="128" t="str">
        <f ca="1">IFERROR(IF(AND(S59="R",W59&lt;&gt;""),1,IF(S59="R",MAX(OFFSET(V58,0,0,-1*(ROW(W59)-3-MATCH(MAX($W$4:W58),$W$4:W58,0)),1))+1,"")),"")</f>
        <v/>
      </c>
      <c r="W59" s="129" t="str">
        <f>IFERROR(IF(AND(S59="R", P59&gt;MAX($X$3:X58)),P59,""),"")</f>
        <v/>
      </c>
      <c r="X59" s="129" t="str">
        <f>IFERROR(IF(AND(W59="",Q59&gt;=MAX($X$3:X58)),IF(S59="R",Q59,IF(AND(W59="",P59&lt;=MAX($X$3:X58)),MAX($X$3:X58),"")),IF(W59&lt;&gt;"", Q59,"")),"")</f>
        <v/>
      </c>
      <c r="Y59" s="126" t="str">
        <f>IF(S59="S",IF(OR(P59&lt;=MAX($X$3:X58),P59&gt;=IF(MIN(W$53:$W60)&lt;1,99999999,MIN(W$53:$W60))),"Yes","No"),"")</f>
        <v/>
      </c>
      <c r="AA59" s="130" t="str">
        <f t="shared" si="2"/>
        <v/>
      </c>
      <c r="AB59" s="131" t="str">
        <f t="array" ref="AB59">IF(AA59&lt;=$AA$2,MIN(IF($L$4:$L$503&lt;=AB58,99999999999,$L$4:$L$503)),"")</f>
        <v/>
      </c>
      <c r="AC59" s="130" t="str">
        <f>IF(ISNUMBER(AA59),IF(Dashboard!$H$6&lt;&gt;"Horizontal",AC58+dateDistance,AC58),"")</f>
        <v/>
      </c>
      <c r="AD59" s="130" t="str">
        <f>IF(ISNUMBER(AA59),IF(Dashboard!$H$6="Horizontal",AD58+dateDistance,AD58),"")</f>
        <v/>
      </c>
      <c r="AE59" s="132" t="str">
        <f>IF(ISNUMBER(P59), IF(Dashboard!$H$6="Horizontal",IF(S59="S",INDEX($AC$4:$AC$503,MATCH(P59,$AB$4:$AB$503,0),1)+boxDistance*(T59+IF(Y59="No",IF(ISODD(T59),IF(T59&gt;0,1,-1),0),0))*IF(Y59="No",IF(ISODD(T59),0.5,-0.5),1),timelineStartRow - boxDistance * V59),IF( S59="S",INDEX($AC$4:$AC$503,MATCH(P59,$AB$4:$AB$503,0),1),INDEX($AC$4:$AC$503,MATCH(P59,$AB$4:$AB$503,0),1)&amp;"-"&amp;INDEX($AC$4:$AC$503,MATCH(Q59,$AB$4:$AB$503,0),1))),"")</f>
        <v/>
      </c>
      <c r="AF59" s="132" t="str">
        <f>IF(ISNUMBER(P59), IF(Dashboard!$H$6&lt;&gt;"Horizontal",IF(S59="S",INDEX($AD$4:$AD$503,MATCH(P59,$AB$4:$AB$503,0),1)+boxDistance*(T59+IF(Y59="No",IF(ISODD(T59),IF(T59&gt;0,1,-1),0),0))*IF(Y59="No",IF(ISODD(T59),0.5,-0.5),1),timelineStartColumn-boxDistance * IF(AND(ISNUMBER(V59),V59&gt;1),V59*0.85,1)   ),IF( S59="S",INDEX($AD$4:$AD$503,MATCH(P59,$AB$4:$AB$503,0),1),INDEX($AD$4:$AD$503,MATCH(P59,$AB$4:$AB$503,0),1)&amp;"-"&amp;INDEX($AD$4:$AD$503,MATCH(Q59,$AB$4:$AB$503,0),1))),"")</f>
        <v/>
      </c>
      <c r="AG59" s="133" t="str">
        <f t="shared" si="9"/>
        <v/>
      </c>
      <c r="AH59" s="134" t="str">
        <f t="shared" si="16"/>
        <v/>
      </c>
      <c r="AI59" s="135" t="str">
        <f t="shared" si="3"/>
        <v/>
      </c>
      <c r="AJ59" s="135" t="str">
        <f t="shared" si="11"/>
        <v/>
      </c>
      <c r="AK59" s="126" t="str">
        <f t="shared" si="17"/>
        <v/>
      </c>
      <c r="AL59" s="126" t="str">
        <f ca="1">IFERROR(IF(AK59="","", MATCH(AK59,OFFSET(Icons!$B$5,1,AM59-3,20,1),0)+5),"")</f>
        <v/>
      </c>
      <c r="AM59" s="126" t="str">
        <f t="shared" si="12"/>
        <v/>
      </c>
      <c r="AN59" s="90"/>
      <c r="AW59" s="123">
        <v>7</v>
      </c>
      <c r="AX59" s="172" t="str">
        <f t="array" ref="AX59">IF(INDEX(iconsTable,ROW(AX19)-ROW($AX$3),5)="","",INDEX(iconsTable,ROW(AX19)-ROW($AX$3),5))</f>
        <v/>
      </c>
      <c r="AY59" s="123" t="str">
        <f t="shared" si="13"/>
        <v/>
      </c>
      <c r="AZ59" s="137" t="str">
        <f t="shared" si="14"/>
        <v>music</v>
      </c>
    </row>
    <row r="60" spans="5:52" ht="15" customHeight="1" x14ac:dyDescent="0.25">
      <c r="E60" s="126">
        <v>57</v>
      </c>
      <c r="F60" s="126"/>
      <c r="G60" s="127"/>
      <c r="H60" s="127"/>
      <c r="I60" s="126"/>
      <c r="K60" s="137" t="str">
        <f t="shared" si="5"/>
        <v/>
      </c>
      <c r="L60" s="127" t="str">
        <f t="shared" si="0"/>
        <v/>
      </c>
      <c r="N60" s="128" t="str">
        <f t="shared" si="6"/>
        <v/>
      </c>
      <c r="O60" s="126" t="str">
        <f t="array" ref="O60">IFERROR(SMALL(IF(($G$4:$G$253=P60),ROW($G$4:$G$253)-ROW($G$3),"" ),N60),"")</f>
        <v/>
      </c>
      <c r="P60" s="127" t="str">
        <f t="array" ref="P60">IFERROR(SMALL($G$4:$G$253,E60),"")</f>
        <v/>
      </c>
      <c r="Q60" s="127" t="str">
        <f t="shared" si="7"/>
        <v/>
      </c>
      <c r="R60" s="126" t="str">
        <f t="shared" si="8"/>
        <v/>
      </c>
      <c r="S60" s="126" t="str">
        <f t="shared" si="1"/>
        <v/>
      </c>
      <c r="T60" s="128" t="str">
        <f>IF(OR(S60="R",S60=""),"",COUNTIFS($P$4:P60,P60,$S$4:S60,"S")*U60)</f>
        <v/>
      </c>
      <c r="U60" s="128" t="str">
        <f>IF(ISNUMBER(N60),IF($C$11=TRUE,IF(OR(ISODD(COUNTIF($N$4:N60,1)),Y60="Yes"),1,-1),1),"")</f>
        <v/>
      </c>
      <c r="V60" s="128" t="str">
        <f ca="1">IFERROR(IF(AND(S60="R",W60&lt;&gt;""),1,IF(S60="R",MAX(OFFSET(V59,0,0,-1*(ROW(W60)-3-MATCH(MAX($W$4:W59),$W$4:W59,0)),1))+1,"")),"")</f>
        <v/>
      </c>
      <c r="W60" s="129" t="str">
        <f>IFERROR(IF(AND(S60="R", P60&gt;MAX($X$3:X59)),P60,""),"")</f>
        <v/>
      </c>
      <c r="X60" s="129" t="str">
        <f>IFERROR(IF(AND(W60="",Q60&gt;=MAX($X$3:X59)),IF(S60="R",Q60,IF(AND(W60="",P60&lt;=MAX($X$3:X59)),MAX($X$3:X59),"")),IF(W60&lt;&gt;"", Q60,"")),"")</f>
        <v/>
      </c>
      <c r="Y60" s="126" t="str">
        <f>IF(S60="S",IF(OR(P60&lt;=MAX($X$3:X59),P60&gt;=IF(MIN(W$53:$W61)&lt;1,99999999,MIN(W$53:$W61))),"Yes","No"),"")</f>
        <v/>
      </c>
      <c r="AA60" s="130" t="str">
        <f t="shared" si="2"/>
        <v/>
      </c>
      <c r="AB60" s="131" t="str">
        <f t="array" ref="AB60">IF(AA60&lt;=$AA$2,MIN(IF($L$4:$L$503&lt;=AB59,99999999999,$L$4:$L$503)),"")</f>
        <v/>
      </c>
      <c r="AC60" s="130" t="str">
        <f>IF(ISNUMBER(AA60),IF(Dashboard!$H$6&lt;&gt;"Horizontal",AC59+dateDistance,AC59),"")</f>
        <v/>
      </c>
      <c r="AD60" s="130" t="str">
        <f>IF(ISNUMBER(AA60),IF(Dashboard!$H$6="Horizontal",AD59+dateDistance,AD59),"")</f>
        <v/>
      </c>
      <c r="AE60" s="132" t="str">
        <f>IF(ISNUMBER(P60), IF(Dashboard!$H$6="Horizontal",IF(S60="S",INDEX($AC$4:$AC$503,MATCH(P60,$AB$4:$AB$503,0),1)+boxDistance*(T60+IF(Y60="No",IF(ISODD(T60),IF(T60&gt;0,1,-1),0),0))*IF(Y60="No",IF(ISODD(T60),0.5,-0.5),1),timelineStartRow - boxDistance * V60),IF( S60="S",INDEX($AC$4:$AC$503,MATCH(P60,$AB$4:$AB$503,0),1),INDEX($AC$4:$AC$503,MATCH(P60,$AB$4:$AB$503,0),1)&amp;"-"&amp;INDEX($AC$4:$AC$503,MATCH(Q60,$AB$4:$AB$503,0),1))),"")</f>
        <v/>
      </c>
      <c r="AF60" s="132" t="str">
        <f>IF(ISNUMBER(P60), IF(Dashboard!$H$6&lt;&gt;"Horizontal",IF(S60="S",INDEX($AD$4:$AD$503,MATCH(P60,$AB$4:$AB$503,0),1)+boxDistance*(T60+IF(Y60="No",IF(ISODD(T60),IF(T60&gt;0,1,-1),0),0))*IF(Y60="No",IF(ISODD(T60),0.5,-0.5),1),timelineStartColumn-boxDistance * IF(AND(ISNUMBER(V60),V60&gt;1),V60*0.85,1)   ),IF( S60="S",INDEX($AD$4:$AD$503,MATCH(P60,$AB$4:$AB$503,0),1),INDEX($AD$4:$AD$503,MATCH(P60,$AB$4:$AB$503,0),1)&amp;"-"&amp;INDEX($AD$4:$AD$503,MATCH(Q60,$AB$4:$AB$503,0),1))),"")</f>
        <v/>
      </c>
      <c r="AG60" s="133" t="str">
        <f t="shared" si="9"/>
        <v/>
      </c>
      <c r="AH60" s="134" t="str">
        <f t="shared" si="16"/>
        <v/>
      </c>
      <c r="AI60" s="135" t="str">
        <f t="shared" si="3"/>
        <v/>
      </c>
      <c r="AJ60" s="135" t="str">
        <f t="shared" si="11"/>
        <v/>
      </c>
      <c r="AK60" s="126" t="str">
        <f t="shared" si="17"/>
        <v/>
      </c>
      <c r="AL60" s="126" t="str">
        <f ca="1">IFERROR(IF(AK60="","", MATCH(AK60,OFFSET(Icons!$B$5,1,AM60-3,20,1),0)+5),"")</f>
        <v/>
      </c>
      <c r="AM60" s="126" t="str">
        <f t="shared" si="12"/>
        <v/>
      </c>
      <c r="AN60" s="90"/>
      <c r="AW60" s="123">
        <v>7</v>
      </c>
      <c r="AX60" s="172" t="str">
        <f t="array" ref="AX60">IF(INDEX(iconsTable,ROW(AX20)-ROW($AX$3),5)="","",INDEX(iconsTable,ROW(AX20)-ROW($AX$3),5))</f>
        <v/>
      </c>
      <c r="AY60" s="123" t="str">
        <f t="shared" si="13"/>
        <v/>
      </c>
      <c r="AZ60" s="137" t="str">
        <f t="shared" si="14"/>
        <v>octopus</v>
      </c>
    </row>
    <row r="61" spans="5:52" ht="15" customHeight="1" x14ac:dyDescent="0.25">
      <c r="E61" s="126">
        <v>58</v>
      </c>
      <c r="F61" s="126"/>
      <c r="G61" s="127"/>
      <c r="H61" s="127"/>
      <c r="I61" s="126"/>
      <c r="K61" s="137" t="str">
        <f t="shared" si="5"/>
        <v/>
      </c>
      <c r="L61" s="127" t="str">
        <f t="shared" si="0"/>
        <v/>
      </c>
      <c r="N61" s="128" t="str">
        <f t="shared" si="6"/>
        <v/>
      </c>
      <c r="O61" s="126" t="str">
        <f t="array" ref="O61">IFERROR(SMALL(IF(($G$4:$G$253=P61),ROW($G$4:$G$253)-ROW($G$3),"" ),N61),"")</f>
        <v/>
      </c>
      <c r="P61" s="127" t="str">
        <f t="array" ref="P61">IFERROR(SMALL($G$4:$G$253,E61),"")</f>
        <v/>
      </c>
      <c r="Q61" s="127" t="str">
        <f t="shared" si="7"/>
        <v/>
      </c>
      <c r="R61" s="126" t="str">
        <f t="shared" si="8"/>
        <v/>
      </c>
      <c r="S61" s="126" t="str">
        <f t="shared" si="1"/>
        <v/>
      </c>
      <c r="T61" s="128" t="str">
        <f>IF(OR(S61="R",S61=""),"",COUNTIFS($P$4:P61,P61,$S$4:S61,"S")*U61)</f>
        <v/>
      </c>
      <c r="U61" s="128" t="str">
        <f>IF(ISNUMBER(N61),IF($C$11=TRUE,IF(OR(ISODD(COUNTIF($N$4:N61,1)),Y61="Yes"),1,-1),1),"")</f>
        <v/>
      </c>
      <c r="V61" s="128" t="str">
        <f ca="1">IFERROR(IF(AND(S61="R",W61&lt;&gt;""),1,IF(S61="R",MAX(OFFSET(V60,0,0,-1*(ROW(W61)-3-MATCH(MAX($W$4:W60),$W$4:W60,0)),1))+1,"")),"")</f>
        <v/>
      </c>
      <c r="W61" s="129" t="str">
        <f>IFERROR(IF(AND(S61="R", P61&gt;MAX($X$3:X60)),P61,""),"")</f>
        <v/>
      </c>
      <c r="X61" s="129" t="str">
        <f>IFERROR(IF(AND(W61="",Q61&gt;=MAX($X$3:X60)),IF(S61="R",Q61,IF(AND(W61="",P61&lt;=MAX($X$3:X60)),MAX($X$3:X60),"")),IF(W61&lt;&gt;"", Q61,"")),"")</f>
        <v/>
      </c>
      <c r="Y61" s="126" t="str">
        <f>IF(S61="S",IF(OR(P61&lt;=MAX($X$3:X60),P61&gt;=IF(MIN(W$53:$W62)&lt;1,99999999,MIN(W$53:$W62))),"Yes","No"),"")</f>
        <v/>
      </c>
      <c r="AA61" s="130" t="str">
        <f t="shared" si="2"/>
        <v/>
      </c>
      <c r="AB61" s="131" t="str">
        <f t="array" ref="AB61">IF(AA61&lt;=$AA$2,MIN(IF($L$4:$L$503&lt;=AB60,99999999999,$L$4:$L$503)),"")</f>
        <v/>
      </c>
      <c r="AC61" s="130" t="str">
        <f>IF(ISNUMBER(AA61),IF(Dashboard!$H$6&lt;&gt;"Horizontal",AC60+dateDistance,AC60),"")</f>
        <v/>
      </c>
      <c r="AD61" s="130" t="str">
        <f>IF(ISNUMBER(AA61),IF(Dashboard!$H$6="Horizontal",AD60+dateDistance,AD60),"")</f>
        <v/>
      </c>
      <c r="AE61" s="132" t="str">
        <f>IF(ISNUMBER(P61), IF(Dashboard!$H$6="Horizontal",IF(S61="S",INDEX($AC$4:$AC$503,MATCH(P61,$AB$4:$AB$503,0),1)+boxDistance*(T61+IF(Y61="No",IF(ISODD(T61),IF(T61&gt;0,1,-1),0),0))*IF(Y61="No",IF(ISODD(T61),0.5,-0.5),1),timelineStartRow - boxDistance * V61),IF( S61="S",INDEX($AC$4:$AC$503,MATCH(P61,$AB$4:$AB$503,0),1),INDEX($AC$4:$AC$503,MATCH(P61,$AB$4:$AB$503,0),1)&amp;"-"&amp;INDEX($AC$4:$AC$503,MATCH(Q61,$AB$4:$AB$503,0),1))),"")</f>
        <v/>
      </c>
      <c r="AF61" s="132" t="str">
        <f>IF(ISNUMBER(P61), IF(Dashboard!$H$6&lt;&gt;"Horizontal",IF(S61="S",INDEX($AD$4:$AD$503,MATCH(P61,$AB$4:$AB$503,0),1)+boxDistance*(T61+IF(Y61="No",IF(ISODD(T61),IF(T61&gt;0,1,-1),0),0))*IF(Y61="No",IF(ISODD(T61),0.5,-0.5),1),timelineStartColumn-boxDistance * IF(AND(ISNUMBER(V61),V61&gt;1),V61*0.85,1)   ),IF( S61="S",INDEX($AD$4:$AD$503,MATCH(P61,$AB$4:$AB$503,0),1),INDEX($AD$4:$AD$503,MATCH(P61,$AB$4:$AB$503,0),1)&amp;"-"&amp;INDEX($AD$4:$AD$503,MATCH(Q61,$AB$4:$AB$503,0),1))),"")</f>
        <v/>
      </c>
      <c r="AG61" s="133" t="str">
        <f t="shared" si="9"/>
        <v/>
      </c>
      <c r="AH61" s="134" t="str">
        <f t="shared" si="16"/>
        <v/>
      </c>
      <c r="AI61" s="135" t="str">
        <f t="shared" si="3"/>
        <v/>
      </c>
      <c r="AJ61" s="135" t="str">
        <f t="shared" si="11"/>
        <v/>
      </c>
      <c r="AK61" s="126" t="str">
        <f t="shared" si="17"/>
        <v/>
      </c>
      <c r="AL61" s="126" t="str">
        <f ca="1">IFERROR(IF(AK61="","", MATCH(AK61,OFFSET(Icons!$B$5,1,AM61-3,20,1),0)+5),"")</f>
        <v/>
      </c>
      <c r="AM61" s="126" t="str">
        <f t="shared" si="12"/>
        <v/>
      </c>
      <c r="AN61" s="90"/>
      <c r="AW61" s="123">
        <v>7</v>
      </c>
      <c r="AX61" s="172" t="str">
        <f t="array" ref="AX61">IF(INDEX(iconsTable,ROW(AX21)-ROW($AX$3),5)="","",INDEX(iconsTable,ROW(AX21)-ROW($AX$3),5))</f>
        <v/>
      </c>
      <c r="AY61" s="123" t="str">
        <f t="shared" si="13"/>
        <v/>
      </c>
      <c r="AZ61" s="137" t="str">
        <f t="shared" si="14"/>
        <v>oilcan</v>
      </c>
    </row>
    <row r="62" spans="5:52" ht="15" customHeight="1" x14ac:dyDescent="0.25">
      <c r="E62" s="126">
        <v>59</v>
      </c>
      <c r="F62" s="126"/>
      <c r="G62" s="127"/>
      <c r="H62" s="127"/>
      <c r="I62" s="126"/>
      <c r="K62" s="137" t="str">
        <f t="shared" si="5"/>
        <v/>
      </c>
      <c r="L62" s="127" t="str">
        <f t="shared" si="0"/>
        <v/>
      </c>
      <c r="N62" s="128" t="str">
        <f t="shared" si="6"/>
        <v/>
      </c>
      <c r="O62" s="126" t="str">
        <f t="array" ref="O62">IFERROR(SMALL(IF(($G$4:$G$253=P62),ROW($G$4:$G$253)-ROW($G$3),"" ),N62),"")</f>
        <v/>
      </c>
      <c r="P62" s="127" t="str">
        <f t="array" ref="P62">IFERROR(SMALL($G$4:$G$253,E62),"")</f>
        <v/>
      </c>
      <c r="Q62" s="127" t="str">
        <f t="shared" si="7"/>
        <v/>
      </c>
      <c r="R62" s="126" t="str">
        <f t="shared" si="8"/>
        <v/>
      </c>
      <c r="S62" s="126" t="str">
        <f t="shared" si="1"/>
        <v/>
      </c>
      <c r="T62" s="128" t="str">
        <f>IF(OR(S62="R",S62=""),"",COUNTIFS($P$4:P62,P62,$S$4:S62,"S")*U62)</f>
        <v/>
      </c>
      <c r="U62" s="128" t="str">
        <f>IF(ISNUMBER(N62),IF($C$11=TRUE,IF(OR(ISODD(COUNTIF($N$4:N62,1)),Y62="Yes"),1,-1),1),"")</f>
        <v/>
      </c>
      <c r="V62" s="128" t="str">
        <f ca="1">IFERROR(IF(AND(S62="R",W62&lt;&gt;""),1,IF(S62="R",MAX(OFFSET(V61,0,0,-1*(ROW(W62)-3-MATCH(MAX($W$4:W61),$W$4:W61,0)),1))+1,"")),"")</f>
        <v/>
      </c>
      <c r="W62" s="129" t="str">
        <f>IFERROR(IF(AND(S62="R", P62&gt;MAX($X$3:X61)),P62,""),"")</f>
        <v/>
      </c>
      <c r="X62" s="129" t="str">
        <f>IFERROR(IF(AND(W62="",Q62&gt;=MAX($X$3:X61)),IF(S62="R",Q62,IF(AND(W62="",P62&lt;=MAX($X$3:X61)),MAX($X$3:X61),"")),IF(W62&lt;&gt;"", Q62,"")),"")</f>
        <v/>
      </c>
      <c r="Y62" s="126" t="str">
        <f>IF(S62="S",IF(OR(P62&lt;=MAX($X$3:X61),P62&gt;=IF(MIN(W$53:$W63)&lt;1,99999999,MIN(W$53:$W63))),"Yes","No"),"")</f>
        <v/>
      </c>
      <c r="AA62" s="130" t="str">
        <f t="shared" si="2"/>
        <v/>
      </c>
      <c r="AB62" s="131" t="str">
        <f t="array" ref="AB62">IF(AA62&lt;=$AA$2,MIN(IF($L$4:$L$503&lt;=AB61,99999999999,$L$4:$L$503)),"")</f>
        <v/>
      </c>
      <c r="AC62" s="130" t="str">
        <f>IF(ISNUMBER(AA62),IF(Dashboard!$H$6&lt;&gt;"Horizontal",AC61+dateDistance,AC61),"")</f>
        <v/>
      </c>
      <c r="AD62" s="130" t="str">
        <f>IF(ISNUMBER(AA62),IF(Dashboard!$H$6="Horizontal",AD61+dateDistance,AD61),"")</f>
        <v/>
      </c>
      <c r="AE62" s="132" t="str">
        <f>IF(ISNUMBER(P62), IF(Dashboard!$H$6="Horizontal",IF(S62="S",INDEX($AC$4:$AC$503,MATCH(P62,$AB$4:$AB$503,0),1)+boxDistance*(T62+IF(Y62="No",IF(ISODD(T62),IF(T62&gt;0,1,-1),0),0))*IF(Y62="No",IF(ISODD(T62),0.5,-0.5),1),timelineStartRow - boxDistance * V62),IF( S62="S",INDEX($AC$4:$AC$503,MATCH(P62,$AB$4:$AB$503,0),1),INDEX($AC$4:$AC$503,MATCH(P62,$AB$4:$AB$503,0),1)&amp;"-"&amp;INDEX($AC$4:$AC$503,MATCH(Q62,$AB$4:$AB$503,0),1))),"")</f>
        <v/>
      </c>
      <c r="AF62" s="132" t="str">
        <f>IF(ISNUMBER(P62), IF(Dashboard!$H$6&lt;&gt;"Horizontal",IF(S62="S",INDEX($AD$4:$AD$503,MATCH(P62,$AB$4:$AB$503,0),1)+boxDistance*(T62+IF(Y62="No",IF(ISODD(T62),IF(T62&gt;0,1,-1),0),0))*IF(Y62="No",IF(ISODD(T62),0.5,-0.5),1),timelineStartColumn-boxDistance * IF(AND(ISNUMBER(V62),V62&gt;1),V62*0.85,1)   ),IF( S62="S",INDEX($AD$4:$AD$503,MATCH(P62,$AB$4:$AB$503,0),1),INDEX($AD$4:$AD$503,MATCH(P62,$AB$4:$AB$503,0),1)&amp;"-"&amp;INDEX($AD$4:$AD$503,MATCH(Q62,$AB$4:$AB$503,0),1))),"")</f>
        <v/>
      </c>
      <c r="AG62" s="133" t="str">
        <f t="shared" si="9"/>
        <v/>
      </c>
      <c r="AH62" s="134" t="str">
        <f t="shared" si="16"/>
        <v/>
      </c>
      <c r="AI62" s="135" t="str">
        <f t="shared" si="3"/>
        <v/>
      </c>
      <c r="AJ62" s="135" t="str">
        <f t="shared" si="11"/>
        <v/>
      </c>
      <c r="AK62" s="126" t="str">
        <f t="shared" si="17"/>
        <v/>
      </c>
      <c r="AL62" s="126" t="str">
        <f ca="1">IFERROR(IF(AK62="","", MATCH(AK62,OFFSET(Icons!$B$5,1,AM62-3,20,1),0)+5),"")</f>
        <v/>
      </c>
      <c r="AM62" s="126" t="str">
        <f t="shared" si="12"/>
        <v/>
      </c>
      <c r="AN62" s="90"/>
      <c r="AW62" s="123">
        <v>7</v>
      </c>
      <c r="AX62" s="172" t="str">
        <f t="array" ref="AX62">IF(INDEX(iconsTable,ROW(AX22)-ROW($AX$3),5)="","",INDEX(iconsTable,ROW(AX22)-ROW($AX$3),5))</f>
        <v/>
      </c>
      <c r="AY62" s="123" t="str">
        <f t="shared" si="13"/>
        <v/>
      </c>
      <c r="AZ62" s="137" t="str">
        <f t="shared" si="14"/>
        <v>owl</v>
      </c>
    </row>
    <row r="63" spans="5:52" ht="15" customHeight="1" x14ac:dyDescent="0.25">
      <c r="E63" s="126">
        <v>60</v>
      </c>
      <c r="F63" s="126"/>
      <c r="G63" s="127"/>
      <c r="H63" s="127"/>
      <c r="I63" s="126"/>
      <c r="K63" s="137" t="str">
        <f t="shared" si="5"/>
        <v/>
      </c>
      <c r="L63" s="127" t="str">
        <f t="shared" si="0"/>
        <v/>
      </c>
      <c r="N63" s="128" t="str">
        <f t="shared" si="6"/>
        <v/>
      </c>
      <c r="O63" s="126" t="str">
        <f t="array" ref="O63">IFERROR(SMALL(IF(($G$4:$G$253=P63),ROW($G$4:$G$253)-ROW($G$3),"" ),N63),"")</f>
        <v/>
      </c>
      <c r="P63" s="127" t="str">
        <f t="array" ref="P63">IFERROR(SMALL($G$4:$G$253,E63),"")</f>
        <v/>
      </c>
      <c r="Q63" s="127" t="str">
        <f t="shared" si="7"/>
        <v/>
      </c>
      <c r="R63" s="126" t="str">
        <f t="shared" si="8"/>
        <v/>
      </c>
      <c r="S63" s="126" t="str">
        <f t="shared" si="1"/>
        <v/>
      </c>
      <c r="T63" s="128" t="str">
        <f>IF(OR(S63="R",S63=""),"",COUNTIFS($P$4:P63,P63,$S$4:S63,"S")*U63)</f>
        <v/>
      </c>
      <c r="U63" s="128" t="str">
        <f>IF(ISNUMBER(N63),IF($C$11=TRUE,IF(OR(ISODD(COUNTIF($N$4:N63,1)),Y63="Yes"),1,-1),1),"")</f>
        <v/>
      </c>
      <c r="V63" s="128" t="str">
        <f ca="1">IFERROR(IF(AND(S63="R",W63&lt;&gt;""),1,IF(S63="R",MAX(OFFSET(V62,0,0,-1*(ROW(W63)-3-MATCH(MAX($W$4:W62),$W$4:W62,0)),1))+1,"")),"")</f>
        <v/>
      </c>
      <c r="W63" s="129" t="str">
        <f>IFERROR(IF(AND(S63="R", P63&gt;MAX($X$3:X62)),P63,""),"")</f>
        <v/>
      </c>
      <c r="X63" s="129" t="str">
        <f>IFERROR(IF(AND(W63="",Q63&gt;=MAX($X$3:X62)),IF(S63="R",Q63,IF(AND(W63="",P63&lt;=MAX($X$3:X62)),MAX($X$3:X62),"")),IF(W63&lt;&gt;"", Q63,"")),"")</f>
        <v/>
      </c>
      <c r="Y63" s="126" t="str">
        <f>IF(S63="S",IF(OR(P63&lt;=MAX($X$3:X62),P63&gt;=IF(MIN(W$53:$W64)&lt;1,99999999,MIN(W$53:$W64))),"Yes","No"),"")</f>
        <v/>
      </c>
      <c r="AA63" s="130" t="str">
        <f t="shared" si="2"/>
        <v/>
      </c>
      <c r="AB63" s="131" t="str">
        <f t="array" ref="AB63">IF(AA63&lt;=$AA$2,MIN(IF($L$4:$L$503&lt;=AB62,99999999999,$L$4:$L$503)),"")</f>
        <v/>
      </c>
      <c r="AC63" s="130" t="str">
        <f>IF(ISNUMBER(AA63),IF(Dashboard!$H$6&lt;&gt;"Horizontal",AC62+dateDistance,AC62),"")</f>
        <v/>
      </c>
      <c r="AD63" s="130" t="str">
        <f>IF(ISNUMBER(AA63),IF(Dashboard!$H$6="Horizontal",AD62+dateDistance,AD62),"")</f>
        <v/>
      </c>
      <c r="AE63" s="132" t="str">
        <f>IF(ISNUMBER(P63), IF(Dashboard!$H$6="Horizontal",IF(S63="S",INDEX($AC$4:$AC$503,MATCH(P63,$AB$4:$AB$503,0),1)+boxDistance*(T63+IF(Y63="No",IF(ISODD(T63),IF(T63&gt;0,1,-1),0),0))*IF(Y63="No",IF(ISODD(T63),0.5,-0.5),1),timelineStartRow - boxDistance * V63),IF( S63="S",INDEX($AC$4:$AC$503,MATCH(P63,$AB$4:$AB$503,0),1),INDEX($AC$4:$AC$503,MATCH(P63,$AB$4:$AB$503,0),1)&amp;"-"&amp;INDEX($AC$4:$AC$503,MATCH(Q63,$AB$4:$AB$503,0),1))),"")</f>
        <v/>
      </c>
      <c r="AF63" s="132" t="str">
        <f>IF(ISNUMBER(P63), IF(Dashboard!$H$6&lt;&gt;"Horizontal",IF(S63="S",INDEX($AD$4:$AD$503,MATCH(P63,$AB$4:$AB$503,0),1)+boxDistance*(T63+IF(Y63="No",IF(ISODD(T63),IF(T63&gt;0,1,-1),0),0))*IF(Y63="No",IF(ISODD(T63),0.5,-0.5),1),timelineStartColumn-boxDistance * IF(AND(ISNUMBER(V63),V63&gt;1),V63*0.85,1)   ),IF( S63="S",INDEX($AD$4:$AD$503,MATCH(P63,$AB$4:$AB$503,0),1),INDEX($AD$4:$AD$503,MATCH(P63,$AB$4:$AB$503,0),1)&amp;"-"&amp;INDEX($AD$4:$AD$503,MATCH(Q63,$AB$4:$AB$503,0),1))),"")</f>
        <v/>
      </c>
      <c r="AG63" s="133" t="str">
        <f t="shared" si="9"/>
        <v/>
      </c>
      <c r="AH63" s="134" t="str">
        <f t="shared" si="16"/>
        <v/>
      </c>
      <c r="AI63" s="135" t="str">
        <f t="shared" si="3"/>
        <v/>
      </c>
      <c r="AJ63" s="135" t="str">
        <f t="shared" si="11"/>
        <v/>
      </c>
      <c r="AK63" s="126" t="str">
        <f t="shared" si="17"/>
        <v/>
      </c>
      <c r="AL63" s="126" t="str">
        <f ca="1">IFERROR(IF(AK63="","", MATCH(AK63,OFFSET(Icons!$B$5,1,AM63-3,20,1),0)+5),"")</f>
        <v/>
      </c>
      <c r="AM63" s="126" t="str">
        <f t="shared" si="12"/>
        <v/>
      </c>
      <c r="AN63" s="90"/>
      <c r="AW63" s="123">
        <v>7</v>
      </c>
      <c r="AX63" s="172" t="str">
        <f t="array" ref="AX63">IF(INDEX(iconsTable,ROW(AX23)-ROW($AX$3),5)="","",INDEX(iconsTable,ROW(AX23)-ROW($AX$3),5))</f>
        <v/>
      </c>
      <c r="AY63" s="123" t="str">
        <f t="shared" si="13"/>
        <v/>
      </c>
      <c r="AZ63" s="137" t="str">
        <f t="shared" si="14"/>
        <v>paperplane</v>
      </c>
    </row>
    <row r="64" spans="5:52" ht="15" customHeight="1" x14ac:dyDescent="0.25">
      <c r="E64" s="126">
        <v>61</v>
      </c>
      <c r="F64" s="126"/>
      <c r="G64" s="127"/>
      <c r="H64" s="127"/>
      <c r="I64" s="126"/>
      <c r="K64" s="137" t="str">
        <f t="shared" si="5"/>
        <v/>
      </c>
      <c r="L64" s="127" t="str">
        <f t="shared" si="0"/>
        <v/>
      </c>
      <c r="N64" s="128" t="str">
        <f t="shared" si="6"/>
        <v/>
      </c>
      <c r="O64" s="126" t="str">
        <f t="array" ref="O64">IFERROR(SMALL(IF(($G$4:$G$253=P64),ROW($G$4:$G$253)-ROW($G$3),"" ),N64),"")</f>
        <v/>
      </c>
      <c r="P64" s="127" t="str">
        <f t="array" ref="P64">IFERROR(SMALL($G$4:$G$253,E64),"")</f>
        <v/>
      </c>
      <c r="Q64" s="127" t="str">
        <f t="shared" si="7"/>
        <v/>
      </c>
      <c r="R64" s="126" t="str">
        <f t="shared" si="8"/>
        <v/>
      </c>
      <c r="S64" s="126" t="str">
        <f t="shared" si="1"/>
        <v/>
      </c>
      <c r="T64" s="128" t="str">
        <f>IF(OR(S64="R",S64=""),"",COUNTIFS($P$4:P64,P64,$S$4:S64,"S")*U64)</f>
        <v/>
      </c>
      <c r="U64" s="128" t="str">
        <f>IF(ISNUMBER(N64),IF($C$11=TRUE,IF(OR(ISODD(COUNTIF($N$4:N64,1)),Y64="Yes"),1,-1),1),"")</f>
        <v/>
      </c>
      <c r="V64" s="128" t="str">
        <f ca="1">IFERROR(IF(AND(S64="R",W64&lt;&gt;""),1,IF(S64="R",MAX(OFFSET(V63,0,0,-1*(ROW(W64)-3-MATCH(MAX($W$4:W63),$W$4:W63,0)),1))+1,"")),"")</f>
        <v/>
      </c>
      <c r="W64" s="129" t="str">
        <f>IFERROR(IF(AND(S64="R", P64&gt;MAX($X$3:X63)),P64,""),"")</f>
        <v/>
      </c>
      <c r="X64" s="129" t="str">
        <f>IFERROR(IF(AND(W64="",Q64&gt;=MAX($X$3:X63)),IF(S64="R",Q64,IF(AND(W64="",P64&lt;=MAX($X$3:X63)),MAX($X$3:X63),"")),IF(W64&lt;&gt;"", Q64,"")),"")</f>
        <v/>
      </c>
      <c r="Y64" s="126" t="str">
        <f>IF(S64="S",IF(OR(P64&lt;=MAX($X$3:X63),P64&gt;=IF(MIN(W$53:$W65)&lt;1,99999999,MIN(W$53:$W65))),"Yes","No"),"")</f>
        <v/>
      </c>
      <c r="AA64" s="130" t="str">
        <f t="shared" si="2"/>
        <v/>
      </c>
      <c r="AB64" s="131" t="str">
        <f t="array" ref="AB64">IF(AA64&lt;=$AA$2,MIN(IF($L$4:$L$503&lt;=AB63,99999999999,$L$4:$L$503)),"")</f>
        <v/>
      </c>
      <c r="AC64" s="130" t="str">
        <f>IF(ISNUMBER(AA64),IF(Dashboard!$H$6&lt;&gt;"Horizontal",AC63+dateDistance,AC63),"")</f>
        <v/>
      </c>
      <c r="AD64" s="130" t="str">
        <f>IF(ISNUMBER(AA64),IF(Dashboard!$H$6="Horizontal",AD63+dateDistance,AD63),"")</f>
        <v/>
      </c>
      <c r="AE64" s="132" t="str">
        <f>IF(ISNUMBER(P64), IF(Dashboard!$H$6="Horizontal",IF(S64="S",INDEX($AC$4:$AC$503,MATCH(P64,$AB$4:$AB$503,0),1)+boxDistance*(T64+IF(Y64="No",IF(ISODD(T64),IF(T64&gt;0,1,-1),0),0))*IF(Y64="No",IF(ISODD(T64),0.5,-0.5),1),timelineStartRow - boxDistance * V64),IF( S64="S",INDEX($AC$4:$AC$503,MATCH(P64,$AB$4:$AB$503,0),1),INDEX($AC$4:$AC$503,MATCH(P64,$AB$4:$AB$503,0),1)&amp;"-"&amp;INDEX($AC$4:$AC$503,MATCH(Q64,$AB$4:$AB$503,0),1))),"")</f>
        <v/>
      </c>
      <c r="AF64" s="132" t="str">
        <f>IF(ISNUMBER(P64), IF(Dashboard!$H$6&lt;&gt;"Horizontal",IF(S64="S",INDEX($AD$4:$AD$503,MATCH(P64,$AB$4:$AB$503,0),1)+boxDistance*(T64+IF(Y64="No",IF(ISODD(T64),IF(T64&gt;0,1,-1),0),0))*IF(Y64="No",IF(ISODD(T64),0.5,-0.5),1),timelineStartColumn-boxDistance * IF(AND(ISNUMBER(V64),V64&gt;1),V64*0.85,1)   ),IF( S64="S",INDEX($AD$4:$AD$503,MATCH(P64,$AB$4:$AB$503,0),1),INDEX($AD$4:$AD$503,MATCH(P64,$AB$4:$AB$503,0),1)&amp;"-"&amp;INDEX($AD$4:$AD$503,MATCH(Q64,$AB$4:$AB$503,0),1))),"")</f>
        <v/>
      </c>
      <c r="AG64" s="133" t="str">
        <f t="shared" si="9"/>
        <v/>
      </c>
      <c r="AH64" s="134" t="str">
        <f t="shared" si="16"/>
        <v/>
      </c>
      <c r="AI64" s="135" t="str">
        <f t="shared" si="3"/>
        <v/>
      </c>
      <c r="AJ64" s="135" t="str">
        <f t="shared" si="11"/>
        <v/>
      </c>
      <c r="AK64" s="126" t="str">
        <f t="shared" si="17"/>
        <v/>
      </c>
      <c r="AL64" s="126" t="str">
        <f ca="1">IFERROR(IF(AK64="","", MATCH(AK64,OFFSET(Icons!$B$5,1,AM64-3,20,1),0)+5),"")</f>
        <v/>
      </c>
      <c r="AM64" s="126" t="str">
        <f t="shared" si="12"/>
        <v/>
      </c>
      <c r="AN64" s="90"/>
      <c r="AW64" s="123">
        <v>9</v>
      </c>
      <c r="AX64" s="172" t="str">
        <f t="array" ref="AX64">IF(INDEX(iconsTable,ROW(AX4)-ROW($AX$3),7)="","",INDEX(iconsTable,ROW(AX4)-ROW($AX$3),7))</f>
        <v>knitting</v>
      </c>
      <c r="AY64" s="123">
        <f t="shared" si="13"/>
        <v>71</v>
      </c>
      <c r="AZ64" s="137" t="str">
        <f t="shared" si="14"/>
        <v>partially_sunny</v>
      </c>
    </row>
    <row r="65" spans="5:52" ht="15" customHeight="1" x14ac:dyDescent="0.25">
      <c r="E65" s="126">
        <v>62</v>
      </c>
      <c r="F65" s="126"/>
      <c r="G65" s="127"/>
      <c r="H65" s="127"/>
      <c r="I65" s="126"/>
      <c r="K65" s="137" t="str">
        <f t="shared" si="5"/>
        <v/>
      </c>
      <c r="L65" s="127" t="str">
        <f t="shared" si="0"/>
        <v/>
      </c>
      <c r="N65" s="128" t="str">
        <f t="shared" si="6"/>
        <v/>
      </c>
      <c r="O65" s="126" t="str">
        <f t="array" ref="O65">IFERROR(SMALL(IF(($G$4:$G$253=P65),ROW($G$4:$G$253)-ROW($G$3),"" ),N65),"")</f>
        <v/>
      </c>
      <c r="P65" s="127" t="str">
        <f t="array" ref="P65">IFERROR(SMALL($G$4:$G$253,E65),"")</f>
        <v/>
      </c>
      <c r="Q65" s="127" t="str">
        <f t="shared" si="7"/>
        <v/>
      </c>
      <c r="R65" s="126" t="str">
        <f t="shared" si="8"/>
        <v/>
      </c>
      <c r="S65" s="126" t="str">
        <f t="shared" si="1"/>
        <v/>
      </c>
      <c r="T65" s="128" t="str">
        <f>IF(OR(S65="R",S65=""),"",COUNTIFS($P$4:P65,P65,$S$4:S65,"S")*U65)</f>
        <v/>
      </c>
      <c r="U65" s="128" t="str">
        <f>IF(ISNUMBER(N65),IF($C$11=TRUE,IF(OR(ISODD(COUNTIF($N$4:N65,1)),Y65="Yes"),1,-1),1),"")</f>
        <v/>
      </c>
      <c r="V65" s="128" t="str">
        <f ca="1">IFERROR(IF(AND(S65="R",W65&lt;&gt;""),1,IF(S65="R",MAX(OFFSET(V64,0,0,-1*(ROW(W65)-3-MATCH(MAX($W$4:W64),$W$4:W64,0)),1))+1,"")),"")</f>
        <v/>
      </c>
      <c r="W65" s="129" t="str">
        <f>IFERROR(IF(AND(S65="R", P65&gt;MAX($X$3:X64)),P65,""),"")</f>
        <v/>
      </c>
      <c r="X65" s="129" t="str">
        <f>IFERROR(IF(AND(W65="",Q65&gt;=MAX($X$3:X64)),IF(S65="R",Q65,IF(AND(W65="",P65&lt;=MAX($X$3:X64)),MAX($X$3:X64),"")),IF(W65&lt;&gt;"", Q65,"")),"")</f>
        <v/>
      </c>
      <c r="Y65" s="126" t="str">
        <f>IF(S65="S",IF(OR(P65&lt;=MAX($X$3:X64),P65&gt;=IF(MIN(W$53:$W66)&lt;1,99999999,MIN(W$53:$W66))),"Yes","No"),"")</f>
        <v/>
      </c>
      <c r="AA65" s="130" t="str">
        <f t="shared" si="2"/>
        <v/>
      </c>
      <c r="AB65" s="131" t="str">
        <f t="array" ref="AB65">IF(AA65&lt;=$AA$2,MIN(IF($L$4:$L$503&lt;=AB64,99999999999,$L$4:$L$503)),"")</f>
        <v/>
      </c>
      <c r="AC65" s="130" t="str">
        <f>IF(ISNUMBER(AA65),IF(Dashboard!$H$6&lt;&gt;"Horizontal",AC64+dateDistance,AC64),"")</f>
        <v/>
      </c>
      <c r="AD65" s="130" t="str">
        <f>IF(ISNUMBER(AA65),IF(Dashboard!$H$6="Horizontal",AD64+dateDistance,AD64),"")</f>
        <v/>
      </c>
      <c r="AE65" s="132" t="str">
        <f>IF(ISNUMBER(P65), IF(Dashboard!$H$6="Horizontal",IF(S65="S",INDEX($AC$4:$AC$503,MATCH(P65,$AB$4:$AB$503,0),1)+boxDistance*(T65+IF(Y65="No",IF(ISODD(T65),IF(T65&gt;0,1,-1),0),0))*IF(Y65="No",IF(ISODD(T65),0.5,-0.5),1),timelineStartRow - boxDistance * V65),IF( S65="S",INDEX($AC$4:$AC$503,MATCH(P65,$AB$4:$AB$503,0),1),INDEX($AC$4:$AC$503,MATCH(P65,$AB$4:$AB$503,0),1)&amp;"-"&amp;INDEX($AC$4:$AC$503,MATCH(Q65,$AB$4:$AB$503,0),1))),"")</f>
        <v/>
      </c>
      <c r="AF65" s="132" t="str">
        <f>IF(ISNUMBER(P65), IF(Dashboard!$H$6&lt;&gt;"Horizontal",IF(S65="S",INDEX($AD$4:$AD$503,MATCH(P65,$AB$4:$AB$503,0),1)+boxDistance*(T65+IF(Y65="No",IF(ISODD(T65),IF(T65&gt;0,1,-1),0),0))*IF(Y65="No",IF(ISODD(T65),0.5,-0.5),1),timelineStartColumn-boxDistance * IF(AND(ISNUMBER(V65),V65&gt;1),V65*0.85,1)   ),IF( S65="S",INDEX($AD$4:$AD$503,MATCH(P65,$AB$4:$AB$503,0),1),INDEX($AD$4:$AD$503,MATCH(P65,$AB$4:$AB$503,0),1)&amp;"-"&amp;INDEX($AD$4:$AD$503,MATCH(Q65,$AB$4:$AB$503,0),1))),"")</f>
        <v/>
      </c>
      <c r="AG65" s="133" t="str">
        <f t="shared" si="9"/>
        <v/>
      </c>
      <c r="AH65" s="134" t="str">
        <f t="shared" si="16"/>
        <v/>
      </c>
      <c r="AI65" s="135" t="str">
        <f t="shared" si="3"/>
        <v/>
      </c>
      <c r="AJ65" s="135" t="str">
        <f t="shared" si="11"/>
        <v/>
      </c>
      <c r="AK65" s="126" t="str">
        <f t="shared" si="17"/>
        <v/>
      </c>
      <c r="AL65" s="126" t="str">
        <f ca="1">IFERROR(IF(AK65="","", MATCH(AK65,OFFSET(Icons!$B$5,1,AM65-3,20,1),0)+5),"")</f>
        <v/>
      </c>
      <c r="AM65" s="126" t="str">
        <f t="shared" si="12"/>
        <v/>
      </c>
      <c r="AN65" s="90"/>
      <c r="AW65" s="123">
        <v>9</v>
      </c>
      <c r="AX65" s="172" t="str">
        <f t="array" ref="AX65">IF(INDEX(iconsTable,ROW(AX5)-ROW($AX$3),7)="","",INDEX(iconsTable,ROW(AX5)-ROW($AX$3),7))</f>
        <v>koala</v>
      </c>
      <c r="AY65" s="123">
        <f t="shared" si="13"/>
        <v>72</v>
      </c>
      <c r="AZ65" s="137" t="str">
        <f t="shared" si="14"/>
        <v>peace</v>
      </c>
    </row>
    <row r="66" spans="5:52" ht="15" customHeight="1" x14ac:dyDescent="0.25">
      <c r="E66" s="126">
        <v>63</v>
      </c>
      <c r="F66" s="126"/>
      <c r="G66" s="127"/>
      <c r="H66" s="127"/>
      <c r="I66" s="126"/>
      <c r="K66" s="137" t="str">
        <f t="shared" si="5"/>
        <v/>
      </c>
      <c r="L66" s="127" t="str">
        <f t="shared" si="0"/>
        <v/>
      </c>
      <c r="N66" s="128" t="str">
        <f t="shared" si="6"/>
        <v/>
      </c>
      <c r="O66" s="126" t="str">
        <f t="array" ref="O66">IFERROR(SMALL(IF(($G$4:$G$253=P66),ROW($G$4:$G$253)-ROW($G$3),"" ),N66),"")</f>
        <v/>
      </c>
      <c r="P66" s="127" t="str">
        <f t="array" ref="P66">IFERROR(SMALL($G$4:$G$253,E66),"")</f>
        <v/>
      </c>
      <c r="Q66" s="127" t="str">
        <f t="shared" si="7"/>
        <v/>
      </c>
      <c r="R66" s="126" t="str">
        <f t="shared" si="8"/>
        <v/>
      </c>
      <c r="S66" s="126" t="str">
        <f t="shared" si="1"/>
        <v/>
      </c>
      <c r="T66" s="128" t="str">
        <f>IF(OR(S66="R",S66=""),"",COUNTIFS($P$4:P66,P66,$S$4:S66,"S")*U66)</f>
        <v/>
      </c>
      <c r="U66" s="128" t="str">
        <f>IF(ISNUMBER(N66),IF($C$11=TRUE,IF(OR(ISODD(COUNTIF($N$4:N66,1)),Y66="Yes"),1,-1),1),"")</f>
        <v/>
      </c>
      <c r="V66" s="128" t="str">
        <f ca="1">IFERROR(IF(AND(S66="R",W66&lt;&gt;""),1,IF(S66="R",MAX(OFFSET(V65,0,0,-1*(ROW(W66)-3-MATCH(MAX($W$4:W65),$W$4:W65,0)),1))+1,"")),"")</f>
        <v/>
      </c>
      <c r="W66" s="129" t="str">
        <f>IFERROR(IF(AND(S66="R", P66&gt;MAX($X$3:X65)),P66,""),"")</f>
        <v/>
      </c>
      <c r="X66" s="129" t="str">
        <f>IFERROR(IF(AND(W66="",Q66&gt;=MAX($X$3:X65)),IF(S66="R",Q66,IF(AND(W66="",P66&lt;=MAX($X$3:X65)),MAX($X$3:X65),"")),IF(W66&lt;&gt;"", Q66,"")),"")</f>
        <v/>
      </c>
      <c r="Y66" s="126" t="str">
        <f>IF(S66="S",IF(OR(P66&lt;=MAX($X$3:X65),P66&gt;=IF(MIN(W$53:$W67)&lt;1,99999999,MIN(W$53:$W67))),"Yes","No"),"")</f>
        <v/>
      </c>
      <c r="AA66" s="130" t="str">
        <f t="shared" si="2"/>
        <v/>
      </c>
      <c r="AB66" s="131" t="str">
        <f t="array" ref="AB66">IF(AA66&lt;=$AA$2,MIN(IF($L$4:$L$503&lt;=AB65,99999999999,$L$4:$L$503)),"")</f>
        <v/>
      </c>
      <c r="AC66" s="130" t="str">
        <f>IF(ISNUMBER(AA66),IF(Dashboard!$H$6&lt;&gt;"Horizontal",AC65+dateDistance,AC65),"")</f>
        <v/>
      </c>
      <c r="AD66" s="130" t="str">
        <f>IF(ISNUMBER(AA66),IF(Dashboard!$H$6="Horizontal",AD65+dateDistance,AD65),"")</f>
        <v/>
      </c>
      <c r="AE66" s="132" t="str">
        <f>IF(ISNUMBER(P66), IF(Dashboard!$H$6="Horizontal",IF(S66="S",INDEX($AC$4:$AC$503,MATCH(P66,$AB$4:$AB$503,0),1)+boxDistance*(T66+IF(Y66="No",IF(ISODD(T66),IF(T66&gt;0,1,-1),0),0))*IF(Y66="No",IF(ISODD(T66),0.5,-0.5),1),timelineStartRow - boxDistance * V66),IF( S66="S",INDEX($AC$4:$AC$503,MATCH(P66,$AB$4:$AB$503,0),1),INDEX($AC$4:$AC$503,MATCH(P66,$AB$4:$AB$503,0),1)&amp;"-"&amp;INDEX($AC$4:$AC$503,MATCH(Q66,$AB$4:$AB$503,0),1))),"")</f>
        <v/>
      </c>
      <c r="AF66" s="132" t="str">
        <f>IF(ISNUMBER(P66), IF(Dashboard!$H$6&lt;&gt;"Horizontal",IF(S66="S",INDEX($AD$4:$AD$503,MATCH(P66,$AB$4:$AB$503,0),1)+boxDistance*(T66+IF(Y66="No",IF(ISODD(T66),IF(T66&gt;0,1,-1),0),0))*IF(Y66="No",IF(ISODD(T66),0.5,-0.5),1),timelineStartColumn-boxDistance * IF(AND(ISNUMBER(V66),V66&gt;1),V66*0.85,1)   ),IF( S66="S",INDEX($AD$4:$AD$503,MATCH(P66,$AB$4:$AB$503,0),1),INDEX($AD$4:$AD$503,MATCH(P66,$AB$4:$AB$503,0),1)&amp;"-"&amp;INDEX($AD$4:$AD$503,MATCH(Q66,$AB$4:$AB$503,0),1))),"")</f>
        <v/>
      </c>
      <c r="AG66" s="133" t="str">
        <f t="shared" si="9"/>
        <v/>
      </c>
      <c r="AH66" s="134" t="str">
        <f t="shared" si="16"/>
        <v/>
      </c>
      <c r="AI66" s="135" t="str">
        <f t="shared" si="3"/>
        <v/>
      </c>
      <c r="AJ66" s="135" t="str">
        <f t="shared" si="11"/>
        <v/>
      </c>
      <c r="AK66" s="126" t="str">
        <f t="shared" si="17"/>
        <v/>
      </c>
      <c r="AL66" s="126" t="str">
        <f ca="1">IFERROR(IF(AK66="","", MATCH(AK66,OFFSET(Icons!$B$5,1,AM66-3,20,1),0)+5),"")</f>
        <v/>
      </c>
      <c r="AM66" s="126" t="str">
        <f t="shared" si="12"/>
        <v/>
      </c>
      <c r="AN66" s="90"/>
      <c r="AW66" s="123">
        <v>9</v>
      </c>
      <c r="AX66" s="172" t="str">
        <f t="array" ref="AX66">IF(INDEX(iconsTable,ROW(AX6)-ROW($AX$3),7)="","",INDEX(iconsTable,ROW(AX6)-ROW($AX$3),7))</f>
        <v>landing</v>
      </c>
      <c r="AY66" s="123">
        <f t="shared" si="13"/>
        <v>73</v>
      </c>
      <c r="AZ66" s="137" t="str">
        <f t="shared" si="14"/>
        <v>pigeon</v>
      </c>
    </row>
    <row r="67" spans="5:52" ht="15" customHeight="1" x14ac:dyDescent="0.25">
      <c r="E67" s="126">
        <v>64</v>
      </c>
      <c r="F67" s="126"/>
      <c r="G67" s="127"/>
      <c r="H67" s="127"/>
      <c r="I67" s="126"/>
      <c r="K67" s="137" t="str">
        <f t="shared" si="5"/>
        <v/>
      </c>
      <c r="L67" s="127" t="str">
        <f t="shared" si="0"/>
        <v/>
      </c>
      <c r="N67" s="128" t="str">
        <f t="shared" si="6"/>
        <v/>
      </c>
      <c r="O67" s="126" t="str">
        <f t="array" ref="O67">IFERROR(SMALL(IF(($G$4:$G$253=P67),ROW($G$4:$G$253)-ROW($G$3),"" ),N67),"")</f>
        <v/>
      </c>
      <c r="P67" s="127" t="str">
        <f t="array" ref="P67">IFERROR(SMALL($G$4:$G$253,E67),"")</f>
        <v/>
      </c>
      <c r="Q67" s="127" t="str">
        <f t="shared" si="7"/>
        <v/>
      </c>
      <c r="R67" s="126" t="str">
        <f t="shared" si="8"/>
        <v/>
      </c>
      <c r="S67" s="126" t="str">
        <f t="shared" si="1"/>
        <v/>
      </c>
      <c r="T67" s="128" t="str">
        <f>IF(OR(S67="R",S67=""),"",COUNTIFS($P$4:P67,P67,$S$4:S67,"S")*U67)</f>
        <v/>
      </c>
      <c r="U67" s="128" t="str">
        <f>IF(ISNUMBER(N67),IF($C$11=TRUE,IF(OR(ISODD(COUNTIF($N$4:N67,1)),Y67="Yes"),1,-1),1),"")</f>
        <v/>
      </c>
      <c r="V67" s="128" t="str">
        <f ca="1">IFERROR(IF(AND(S67="R",W67&lt;&gt;""),1,IF(S67="R",MAX(OFFSET(V66,0,0,-1*(ROW(W67)-3-MATCH(MAX($W$4:W66),$W$4:W66,0)),1))+1,"")),"")</f>
        <v/>
      </c>
      <c r="W67" s="129" t="str">
        <f>IFERROR(IF(AND(S67="R", P67&gt;MAX($X$3:X66)),P67,""),"")</f>
        <v/>
      </c>
      <c r="X67" s="129" t="str">
        <f>IFERROR(IF(AND(W67="",Q67&gt;=MAX($X$3:X66)),IF(S67="R",Q67,IF(AND(W67="",P67&lt;=MAX($X$3:X66)),MAX($X$3:X66),"")),IF(W67&lt;&gt;"", Q67,"")),"")</f>
        <v/>
      </c>
      <c r="Y67" s="126" t="str">
        <f>IF(S67="S",IF(OR(P67&lt;=MAX($X$3:X66),P67&gt;=IF(MIN(W$53:$W68)&lt;1,99999999,MIN(W$53:$W68))),"Yes","No"),"")</f>
        <v/>
      </c>
      <c r="AA67" s="130" t="str">
        <f t="shared" si="2"/>
        <v/>
      </c>
      <c r="AB67" s="131" t="str">
        <f t="array" ref="AB67">IF(AA67&lt;=$AA$2,MIN(IF($L$4:$L$503&lt;=AB66,99999999999,$L$4:$L$503)),"")</f>
        <v/>
      </c>
      <c r="AC67" s="130" t="str">
        <f>IF(ISNUMBER(AA67),IF(Dashboard!$H$6&lt;&gt;"Horizontal",AC66+dateDistance,AC66),"")</f>
        <v/>
      </c>
      <c r="AD67" s="130" t="str">
        <f>IF(ISNUMBER(AA67),IF(Dashboard!$H$6="Horizontal",AD66+dateDistance,AD66),"")</f>
        <v/>
      </c>
      <c r="AE67" s="132" t="str">
        <f>IF(ISNUMBER(P67), IF(Dashboard!$H$6="Horizontal",IF(S67="S",INDEX($AC$4:$AC$503,MATCH(P67,$AB$4:$AB$503,0),1)+boxDistance*(T67+IF(Y67="No",IF(ISODD(T67),IF(T67&gt;0,1,-1),0),0))*IF(Y67="No",IF(ISODD(T67),0.5,-0.5),1),timelineStartRow - boxDistance * V67),IF( S67="S",INDEX($AC$4:$AC$503,MATCH(P67,$AB$4:$AB$503,0),1),INDEX($AC$4:$AC$503,MATCH(P67,$AB$4:$AB$503,0),1)&amp;"-"&amp;INDEX($AC$4:$AC$503,MATCH(Q67,$AB$4:$AB$503,0),1))),"")</f>
        <v/>
      </c>
      <c r="AF67" s="132" t="str">
        <f>IF(ISNUMBER(P67), IF(Dashboard!$H$6&lt;&gt;"Horizontal",IF(S67="S",INDEX($AD$4:$AD$503,MATCH(P67,$AB$4:$AB$503,0),1)+boxDistance*(T67+IF(Y67="No",IF(ISODD(T67),IF(T67&gt;0,1,-1),0),0))*IF(Y67="No",IF(ISODD(T67),0.5,-0.5),1),timelineStartColumn-boxDistance * IF(AND(ISNUMBER(V67),V67&gt;1),V67*0.85,1)   ),IF( S67="S",INDEX($AD$4:$AD$503,MATCH(P67,$AB$4:$AB$503,0),1),INDEX($AD$4:$AD$503,MATCH(P67,$AB$4:$AB$503,0),1)&amp;"-"&amp;INDEX($AD$4:$AD$503,MATCH(Q67,$AB$4:$AB$503,0),1))),"")</f>
        <v/>
      </c>
      <c r="AG67" s="133" t="str">
        <f t="shared" si="9"/>
        <v/>
      </c>
      <c r="AH67" s="134" t="str">
        <f t="shared" si="16"/>
        <v/>
      </c>
      <c r="AI67" s="135" t="str">
        <f t="shared" si="3"/>
        <v/>
      </c>
      <c r="AJ67" s="135" t="str">
        <f t="shared" si="11"/>
        <v/>
      </c>
      <c r="AK67" s="126" t="str">
        <f t="shared" si="17"/>
        <v/>
      </c>
      <c r="AL67" s="126" t="str">
        <f ca="1">IFERROR(IF(AK67="","", MATCH(AK67,OFFSET(Icons!$B$5,1,AM67-3,20,1),0)+5),"")</f>
        <v/>
      </c>
      <c r="AM67" s="126" t="str">
        <f t="shared" si="12"/>
        <v/>
      </c>
      <c r="AN67" s="90"/>
      <c r="AW67" s="123">
        <v>9</v>
      </c>
      <c r="AX67" s="172" t="str">
        <f t="array" ref="AX67">IF(INDEX(iconsTable,ROW(AX7)-ROW($AX$3),7)="","",INDEX(iconsTable,ROW(AX7)-ROW($AX$3),7))</f>
        <v>leaf</v>
      </c>
      <c r="AY67" s="123">
        <f t="shared" si="13"/>
        <v>74</v>
      </c>
      <c r="AZ67" s="137" t="str">
        <f t="shared" si="14"/>
        <v>pills</v>
      </c>
    </row>
    <row r="68" spans="5:52" ht="15" customHeight="1" x14ac:dyDescent="0.25">
      <c r="E68" s="126">
        <v>65</v>
      </c>
      <c r="F68" s="126"/>
      <c r="G68" s="127"/>
      <c r="H68" s="127"/>
      <c r="I68" s="126"/>
      <c r="K68" s="137" t="str">
        <f t="shared" si="5"/>
        <v/>
      </c>
      <c r="L68" s="127" t="str">
        <f t="shared" ref="L68:L131" si="18">IFERROR(IF(K68&lt;=$G$2,SMALL($G$4:$G$253,K68),SMALL($H$4:$H$253,K68-$G$2)),"")</f>
        <v/>
      </c>
      <c r="N68" s="128" t="str">
        <f t="shared" si="6"/>
        <v/>
      </c>
      <c r="O68" s="126" t="str">
        <f t="array" ref="O68">IFERROR(SMALL(IF(($G$4:$G$253=P68),ROW($G$4:$G$253)-ROW($G$3),"" ),N68),"")</f>
        <v/>
      </c>
      <c r="P68" s="127" t="str">
        <f t="array" ref="P68">IFERROR(SMALL($G$4:$G$253,E68),"")</f>
        <v/>
      </c>
      <c r="Q68" s="127" t="str">
        <f t="shared" si="7"/>
        <v/>
      </c>
      <c r="R68" s="126" t="str">
        <f t="shared" si="8"/>
        <v/>
      </c>
      <c r="S68" s="126" t="str">
        <f t="shared" ref="S68:S131" si="19">IF(AND(Q68&lt;&gt;"",Q68&gt;P68),"R",IF(P68="","","S"))</f>
        <v/>
      </c>
      <c r="T68" s="128" t="str">
        <f>IF(OR(S68="R",S68=""),"",COUNTIFS($P$4:P68,P68,$S$4:S68,"S")*U68)</f>
        <v/>
      </c>
      <c r="U68" s="128" t="str">
        <f>IF(ISNUMBER(N68),IF($C$11=TRUE,IF(OR(ISODD(COUNTIF($N$4:N68,1)),Y68="Yes"),1,-1),1),"")</f>
        <v/>
      </c>
      <c r="V68" s="128" t="str">
        <f ca="1">IFERROR(IF(AND(S68="R",W68&lt;&gt;""),1,IF(S68="R",MAX(OFFSET(V67,0,0,-1*(ROW(W68)-3-MATCH(MAX($W$4:W67),$W$4:W67,0)),1))+1,"")),"")</f>
        <v/>
      </c>
      <c r="W68" s="129" t="str">
        <f>IFERROR(IF(AND(S68="R", P68&gt;MAX($X$3:X67)),P68,""),"")</f>
        <v/>
      </c>
      <c r="X68" s="129" t="str">
        <f>IFERROR(IF(AND(W68="",Q68&gt;=MAX($X$3:X67)),IF(S68="R",Q68,IF(AND(W68="",P68&lt;=MAX($X$3:X67)),MAX($X$3:X67),"")),IF(W68&lt;&gt;"", Q68,"")),"")</f>
        <v/>
      </c>
      <c r="Y68" s="126" t="str">
        <f>IF(S68="S",IF(OR(P68&lt;=MAX($X$3:X67),P68&gt;=IF(MIN(W$53:$W69)&lt;1,99999999,MIN(W$53:$W69))),"Yes","No"),"")</f>
        <v/>
      </c>
      <c r="AA68" s="130" t="str">
        <f t="shared" ref="AA68:AA131" si="20">IFERROR(IF(AA67+1&gt;$AA$2,"",AA67+1),"")</f>
        <v/>
      </c>
      <c r="AB68" s="131" t="str">
        <f t="array" ref="AB68">IF(AA68&lt;=$AA$2,MIN(IF($L$4:$L$503&lt;=AB67,99999999999,$L$4:$L$503)),"")</f>
        <v/>
      </c>
      <c r="AC68" s="130" t="str">
        <f>IF(ISNUMBER(AA68),IF(Dashboard!$H$6&lt;&gt;"Horizontal",AC67+dateDistance,AC67),"")</f>
        <v/>
      </c>
      <c r="AD68" s="130" t="str">
        <f>IF(ISNUMBER(AA68),IF(Dashboard!$H$6="Horizontal",AD67+dateDistance,AD67),"")</f>
        <v/>
      </c>
      <c r="AE68" s="132" t="str">
        <f>IF(ISNUMBER(P68), IF(Dashboard!$H$6="Horizontal",IF(S68="S",INDEX($AC$4:$AC$503,MATCH(P68,$AB$4:$AB$503,0),1)+boxDistance*(T68+IF(Y68="No",IF(ISODD(T68),IF(T68&gt;0,1,-1),0),0))*IF(Y68="No",IF(ISODD(T68),0.5,-0.5),1),timelineStartRow - boxDistance * V68),IF( S68="S",INDEX($AC$4:$AC$503,MATCH(P68,$AB$4:$AB$503,0),1),INDEX($AC$4:$AC$503,MATCH(P68,$AB$4:$AB$503,0),1)&amp;"-"&amp;INDEX($AC$4:$AC$503,MATCH(Q68,$AB$4:$AB$503,0),1))),"")</f>
        <v/>
      </c>
      <c r="AF68" s="132" t="str">
        <f>IF(ISNUMBER(P68), IF(Dashboard!$H$6&lt;&gt;"Horizontal",IF(S68="S",INDEX($AD$4:$AD$503,MATCH(P68,$AB$4:$AB$503,0),1)+boxDistance*(T68+IF(Y68="No",IF(ISODD(T68),IF(T68&gt;0,1,-1),0),0))*IF(Y68="No",IF(ISODD(T68),0.5,-0.5),1),timelineStartColumn-boxDistance * IF(AND(ISNUMBER(V68),V68&gt;1),V68*0.85,1)   ),IF( S68="S",INDEX($AD$4:$AD$503,MATCH(P68,$AB$4:$AB$503,0),1),INDEX($AD$4:$AD$503,MATCH(P68,$AB$4:$AB$503,0),1)&amp;"-"&amp;INDEX($AD$4:$AD$503,MATCH(Q68,$AB$4:$AB$503,0),1))),"")</f>
        <v/>
      </c>
      <c r="AG68" s="133" t="str">
        <f t="shared" si="9"/>
        <v/>
      </c>
      <c r="AH68" s="134" t="str">
        <f t="shared" ref="AH68:AH131" si="21">IF(direction&lt;&gt;"Vertical",IF(S68="R","",IF(AF68&lt;&gt;AF69,"x",IF(AND(AF68&lt;&gt;AF70,Y68="No"),"x",""))),IF(S68="R","",IF(AE68&lt;&gt;AE69,"x",IF(AND(AE68&lt;&gt;AE70,Y68="No"),"x",""))))</f>
        <v/>
      </c>
      <c r="AI68" s="135" t="str">
        <f t="shared" ref="AI68:AI131" si="22">IF(OR(AH68="x",S68="R"),MATCH(P68,$AB$4:$AB$503,0),"")</f>
        <v/>
      </c>
      <c r="AJ68" s="135" t="str">
        <f t="shared" si="11"/>
        <v/>
      </c>
      <c r="AK68" s="126" t="str">
        <f t="shared" si="17"/>
        <v/>
      </c>
      <c r="AL68" s="126" t="str">
        <f ca="1">IFERROR(IF(AK68="","", MATCH(AK68,OFFSET(Icons!$B$5,1,AM68-3,20,1),0)+5),"")</f>
        <v/>
      </c>
      <c r="AM68" s="126" t="str">
        <f t="shared" si="12"/>
        <v/>
      </c>
      <c r="AN68" s="90"/>
      <c r="AW68" s="123">
        <v>9</v>
      </c>
      <c r="AX68" s="172" t="str">
        <f t="array" ref="AX68">IF(INDEX(iconsTable,ROW(AX8)-ROW($AX$3),7)="","",INDEX(iconsTable,ROW(AX8)-ROW($AX$3),7))</f>
        <v>like</v>
      </c>
      <c r="AY68" s="123">
        <f t="shared" si="13"/>
        <v>75</v>
      </c>
      <c r="AZ68" s="137" t="str">
        <f t="shared" ref="AZ68:AZ103" si="23">IFERROR(INDEX($AX$4:$AX$93,MATCH(SMALL($AY$4:$AY$93,ROW(AZ68)-ROW($AZ$3)), $AY$4:$AY$93,0)),"")</f>
        <v>pizza</v>
      </c>
    </row>
    <row r="69" spans="5:52" ht="15" customHeight="1" x14ac:dyDescent="0.25">
      <c r="E69" s="126">
        <v>66</v>
      </c>
      <c r="F69" s="126"/>
      <c r="G69" s="127"/>
      <c r="H69" s="127"/>
      <c r="I69" s="126"/>
      <c r="K69" s="137" t="str">
        <f t="shared" ref="K69:K132" si="24">IFERROR(IF(K68+1&gt;$G$2+$H$2,"",K68+1),"")</f>
        <v/>
      </c>
      <c r="L69" s="127" t="str">
        <f t="shared" si="18"/>
        <v/>
      </c>
      <c r="N69" s="128" t="str">
        <f t="shared" ref="N69:N132" si="25">IF(P69&lt;&gt;"",IF(P69=P68,N68+1,1),"")</f>
        <v/>
      </c>
      <c r="O69" s="126" t="str">
        <f t="array" ref="O69">IFERROR(SMALL(IF(($G$4:$G$253=P69),ROW($G$4:$G$253)-ROW($G$3),"" ),N69),"")</f>
        <v/>
      </c>
      <c r="P69" s="127" t="str">
        <f t="array" ref="P69">IFERROR(SMALL($G$4:$G$253,E69),"")</f>
        <v/>
      </c>
      <c r="Q69" s="127" t="str">
        <f t="shared" ref="Q69:Q132" si="26">IFERROR(INDEX(H$4:H$253,$O69,1),"")</f>
        <v/>
      </c>
      <c r="R69" s="126" t="str">
        <f t="shared" ref="R69:R132" si="27">IFERROR(INDEX(I$4:I$53,$O69,1),"")</f>
        <v/>
      </c>
      <c r="S69" s="126" t="str">
        <f t="shared" si="19"/>
        <v/>
      </c>
      <c r="T69" s="128" t="str">
        <f>IF(OR(S69="R",S69=""),"",COUNTIFS($P$4:P69,P69,$S$4:S69,"S")*U69)</f>
        <v/>
      </c>
      <c r="U69" s="128" t="str">
        <f>IF(ISNUMBER(N69),IF($C$11=TRUE,IF(OR(ISODD(COUNTIF($N$4:N69,1)),Y69="Yes"),1,-1),1),"")</f>
        <v/>
      </c>
      <c r="V69" s="128" t="str">
        <f ca="1">IFERROR(IF(AND(S69="R",W69&lt;&gt;""),1,IF(S69="R",MAX(OFFSET(V68,0,0,-1*(ROW(W69)-3-MATCH(MAX($W$4:W68),$W$4:W68,0)),1))+1,"")),"")</f>
        <v/>
      </c>
      <c r="W69" s="129" t="str">
        <f>IFERROR(IF(AND(S69="R", P69&gt;MAX($X$3:X68)),P69,""),"")</f>
        <v/>
      </c>
      <c r="X69" s="129" t="str">
        <f>IFERROR(IF(AND(W69="",Q69&gt;=MAX($X$3:X68)),IF(S69="R",Q69,IF(AND(W69="",P69&lt;=MAX($X$3:X68)),MAX($X$3:X68),"")),IF(W69&lt;&gt;"", Q69,"")),"")</f>
        <v/>
      </c>
      <c r="Y69" s="126" t="str">
        <f>IF(S69="S",IF(OR(P69&lt;=MAX($X$3:X68),P69&gt;=IF(MIN(W$53:$W70)&lt;1,99999999,MIN(W$53:$W70))),"Yes","No"),"")</f>
        <v/>
      </c>
      <c r="AA69" s="130" t="str">
        <f t="shared" si="20"/>
        <v/>
      </c>
      <c r="AB69" s="131" t="str">
        <f t="array" ref="AB69">IF(AA69&lt;=$AA$2,MIN(IF($L$4:$L$503&lt;=AB68,99999999999,$L$4:$L$503)),"")</f>
        <v/>
      </c>
      <c r="AC69" s="130" t="str">
        <f>IF(ISNUMBER(AA69),IF(Dashboard!$H$6&lt;&gt;"Horizontal",AC68+dateDistance,AC68),"")</f>
        <v/>
      </c>
      <c r="AD69" s="130" t="str">
        <f>IF(ISNUMBER(AA69),IF(Dashboard!$H$6="Horizontal",AD68+dateDistance,AD68),"")</f>
        <v/>
      </c>
      <c r="AE69" s="132" t="str">
        <f>IF(ISNUMBER(P69), IF(Dashboard!$H$6="Horizontal",IF(S69="S",INDEX($AC$4:$AC$503,MATCH(P69,$AB$4:$AB$503,0),1)+boxDistance*(T69+IF(Y69="No",IF(ISODD(T69),IF(T69&gt;0,1,-1),0),0))*IF(Y69="No",IF(ISODD(T69),0.5,-0.5),1),timelineStartRow - boxDistance * V69),IF( S69="S",INDEX($AC$4:$AC$503,MATCH(P69,$AB$4:$AB$503,0),1),INDEX($AC$4:$AC$503,MATCH(P69,$AB$4:$AB$503,0),1)&amp;"-"&amp;INDEX($AC$4:$AC$503,MATCH(Q69,$AB$4:$AB$503,0),1))),"")</f>
        <v/>
      </c>
      <c r="AF69" s="132" t="str">
        <f>IF(ISNUMBER(P69), IF(Dashboard!$H$6&lt;&gt;"Horizontal",IF(S69="S",INDEX($AD$4:$AD$503,MATCH(P69,$AB$4:$AB$503,0),1)+boxDistance*(T69+IF(Y69="No",IF(ISODD(T69),IF(T69&gt;0,1,-1),0),0))*IF(Y69="No",IF(ISODD(T69),0.5,-0.5),1),timelineStartColumn-boxDistance * IF(AND(ISNUMBER(V69),V69&gt;1),V69*0.85,1)   ),IF( S69="S",INDEX($AD$4:$AD$503,MATCH(P69,$AB$4:$AB$503,0),1),INDEX($AD$4:$AD$503,MATCH(P69,$AB$4:$AB$503,0),1)&amp;"-"&amp;INDEX($AD$4:$AD$503,MATCH(Q69,$AB$4:$AB$503,0),1))),"")</f>
        <v/>
      </c>
      <c r="AG69" s="133" t="str">
        <f t="shared" ref="AG69:AG132" si="28">IFERROR(INDEX($F$4:$F$253,O69,1),"")</f>
        <v/>
      </c>
      <c r="AH69" s="134" t="str">
        <f t="shared" si="21"/>
        <v/>
      </c>
      <c r="AI69" s="135" t="str">
        <f t="shared" si="22"/>
        <v/>
      </c>
      <c r="AJ69" s="135" t="str">
        <f t="shared" ref="AJ69:AJ132" si="29">IF(S69="R",MATCH(Q69,$AB$4:$AB$503,0),"")</f>
        <v/>
      </c>
      <c r="AK69" s="126" t="str">
        <f t="shared" ref="AK69:AK132" si="30">IFERROR(INDEX($I$4:$I$253,O69,1),"")</f>
        <v/>
      </c>
      <c r="AL69" s="126" t="str">
        <f ca="1">IFERROR(IF(AK69="","", MATCH(AK69,OFFSET(Icons!$B$5,1,AM69-3,20,1),0)+5),"")</f>
        <v/>
      </c>
      <c r="AM69" s="126" t="str">
        <f t="shared" ref="AM69:AM132" si="31">IFERROR(IF(AK69="","",INDEX($AW$4:$AW$103,MATCH(AK69,$AX$4:$AX$103,0),1)),"")</f>
        <v/>
      </c>
      <c r="AN69" s="90"/>
      <c r="AW69" s="123">
        <v>9</v>
      </c>
      <c r="AX69" s="172" t="str">
        <f t="array" ref="AX69">IF(INDEX(iconsTable,ROW(AX9)-ROW($AX$3),7)="","",INDEX(iconsTable,ROW(AX9)-ROW($AX$3),7))</f>
        <v>luggage</v>
      </c>
      <c r="AY69" s="123">
        <f t="shared" ref="AY69:AY98" si="32">IF(AX69="","",COUNTIF($AX$4:$AX$103,"&lt;="&amp;AX69)+(COUNT($AX$4:$AX$103)*ISTEXT(AX69)))</f>
        <v>76</v>
      </c>
      <c r="AZ69" s="137" t="str">
        <f t="shared" si="23"/>
        <v>plant</v>
      </c>
    </row>
    <row r="70" spans="5:52" ht="15" customHeight="1" x14ac:dyDescent="0.25">
      <c r="E70" s="126">
        <v>67</v>
      </c>
      <c r="F70" s="126"/>
      <c r="G70" s="127"/>
      <c r="H70" s="127"/>
      <c r="I70" s="126"/>
      <c r="K70" s="137" t="str">
        <f t="shared" si="24"/>
        <v/>
      </c>
      <c r="L70" s="127" t="str">
        <f t="shared" si="18"/>
        <v/>
      </c>
      <c r="N70" s="128" t="str">
        <f t="shared" si="25"/>
        <v/>
      </c>
      <c r="O70" s="126" t="str">
        <f t="array" ref="O70">IFERROR(SMALL(IF(($G$4:$G$253=P70),ROW($G$4:$G$253)-ROW($G$3),"" ),N70),"")</f>
        <v/>
      </c>
      <c r="P70" s="127" t="str">
        <f t="array" ref="P70">IFERROR(SMALL($G$4:$G$253,E70),"")</f>
        <v/>
      </c>
      <c r="Q70" s="127" t="str">
        <f t="shared" si="26"/>
        <v/>
      </c>
      <c r="R70" s="126" t="str">
        <f t="shared" si="27"/>
        <v/>
      </c>
      <c r="S70" s="126" t="str">
        <f t="shared" si="19"/>
        <v/>
      </c>
      <c r="T70" s="128" t="str">
        <f>IF(OR(S70="R",S70=""),"",COUNTIFS($P$4:P70,P70,$S$4:S70,"S")*U70)</f>
        <v/>
      </c>
      <c r="U70" s="128" t="str">
        <f>IF(ISNUMBER(N70),IF($C$11=TRUE,IF(OR(ISODD(COUNTIF($N$4:N70,1)),Y70="Yes"),1,-1),1),"")</f>
        <v/>
      </c>
      <c r="V70" s="128" t="str">
        <f ca="1">IFERROR(IF(AND(S70="R",W70&lt;&gt;""),1,IF(S70="R",MAX(OFFSET(V69,0,0,-1*(ROW(W70)-3-MATCH(MAX($W$4:W69),$W$4:W69,0)),1))+1,"")),"")</f>
        <v/>
      </c>
      <c r="W70" s="129" t="str">
        <f>IFERROR(IF(AND(S70="R", P70&gt;MAX($X$3:X69)),P70,""),"")</f>
        <v/>
      </c>
      <c r="X70" s="129" t="str">
        <f>IFERROR(IF(AND(W70="",Q70&gt;=MAX($X$3:X69)),IF(S70="R",Q70,IF(AND(W70="",P70&lt;=MAX($X$3:X69)),MAX($X$3:X69),"")),IF(W70&lt;&gt;"", Q70,"")),"")</f>
        <v/>
      </c>
      <c r="Y70" s="126" t="str">
        <f>IF(S70="S",IF(OR(P70&lt;=MAX($X$3:X69),P70&gt;=IF(MIN(W$53:$W71)&lt;1,99999999,MIN(W$53:$W71))),"Yes","No"),"")</f>
        <v/>
      </c>
      <c r="AA70" s="130" t="str">
        <f t="shared" si="20"/>
        <v/>
      </c>
      <c r="AB70" s="131" t="str">
        <f t="array" ref="AB70">IF(AA70&lt;=$AA$2,MIN(IF($L$4:$L$503&lt;=AB69,99999999999,$L$4:$L$503)),"")</f>
        <v/>
      </c>
      <c r="AC70" s="130" t="str">
        <f>IF(ISNUMBER(AA70),IF(Dashboard!$H$6&lt;&gt;"Horizontal",AC69+dateDistance,AC69),"")</f>
        <v/>
      </c>
      <c r="AD70" s="130" t="str">
        <f>IF(ISNUMBER(AA70),IF(Dashboard!$H$6="Horizontal",AD69+dateDistance,AD69),"")</f>
        <v/>
      </c>
      <c r="AE70" s="132" t="str">
        <f>IF(ISNUMBER(P70), IF(Dashboard!$H$6="Horizontal",IF(S70="S",INDEX($AC$4:$AC$503,MATCH(P70,$AB$4:$AB$503,0),1)+boxDistance*(T70+IF(Y70="No",IF(ISODD(T70),IF(T70&gt;0,1,-1),0),0))*IF(Y70="No",IF(ISODD(T70),0.5,-0.5),1),timelineStartRow - boxDistance * V70),IF( S70="S",INDEX($AC$4:$AC$503,MATCH(P70,$AB$4:$AB$503,0),1),INDEX($AC$4:$AC$503,MATCH(P70,$AB$4:$AB$503,0),1)&amp;"-"&amp;INDEX($AC$4:$AC$503,MATCH(Q70,$AB$4:$AB$503,0),1))),"")</f>
        <v/>
      </c>
      <c r="AF70" s="132" t="str">
        <f>IF(ISNUMBER(P70), IF(Dashboard!$H$6&lt;&gt;"Horizontal",IF(S70="S",INDEX($AD$4:$AD$503,MATCH(P70,$AB$4:$AB$503,0),1)+boxDistance*(T70+IF(Y70="No",IF(ISODD(T70),IF(T70&gt;0,1,-1),0),0))*IF(Y70="No",IF(ISODD(T70),0.5,-0.5),1),timelineStartColumn-boxDistance * IF(AND(ISNUMBER(V70),V70&gt;1),V70*0.85,1)   ),IF( S70="S",INDEX($AD$4:$AD$503,MATCH(P70,$AB$4:$AB$503,0),1),INDEX($AD$4:$AD$503,MATCH(P70,$AB$4:$AB$503,0),1)&amp;"-"&amp;INDEX($AD$4:$AD$503,MATCH(Q70,$AB$4:$AB$503,0),1))),"")</f>
        <v/>
      </c>
      <c r="AG70" s="133" t="str">
        <f t="shared" si="28"/>
        <v/>
      </c>
      <c r="AH70" s="134" t="str">
        <f t="shared" si="21"/>
        <v/>
      </c>
      <c r="AI70" s="135" t="str">
        <f t="shared" si="22"/>
        <v/>
      </c>
      <c r="AJ70" s="135" t="str">
        <f t="shared" si="29"/>
        <v/>
      </c>
      <c r="AK70" s="126" t="str">
        <f t="shared" si="30"/>
        <v/>
      </c>
      <c r="AL70" s="126" t="str">
        <f ca="1">IFERROR(IF(AK70="","", MATCH(AK70,OFFSET(Icons!$B$5,1,AM70-3,20,1),0)+5),"")</f>
        <v/>
      </c>
      <c r="AM70" s="126" t="str">
        <f t="shared" si="31"/>
        <v/>
      </c>
      <c r="AN70" s="90"/>
      <c r="AW70" s="123">
        <v>9</v>
      </c>
      <c r="AX70" s="172" t="str">
        <f t="array" ref="AX70">IF(INDEX(iconsTable,ROW(AX10)-ROW($AX$3),7)="","",INDEX(iconsTable,ROW(AX10)-ROW($AX$3),7))</f>
        <v>lungs</v>
      </c>
      <c r="AY70" s="123">
        <f t="shared" si="32"/>
        <v>77</v>
      </c>
      <c r="AZ70" s="137" t="str">
        <f t="shared" si="23"/>
        <v>police</v>
      </c>
    </row>
    <row r="71" spans="5:52" ht="15" customHeight="1" x14ac:dyDescent="0.25">
      <c r="E71" s="126">
        <v>68</v>
      </c>
      <c r="F71" s="126"/>
      <c r="G71" s="127"/>
      <c r="H71" s="127"/>
      <c r="I71" s="126"/>
      <c r="K71" s="137" t="str">
        <f t="shared" si="24"/>
        <v/>
      </c>
      <c r="L71" s="127" t="str">
        <f t="shared" si="18"/>
        <v/>
      </c>
      <c r="N71" s="128" t="str">
        <f t="shared" si="25"/>
        <v/>
      </c>
      <c r="O71" s="126" t="str">
        <f t="array" ref="O71">IFERROR(SMALL(IF(($G$4:$G$253=P71),ROW($G$4:$G$253)-ROW($G$3),"" ),N71),"")</f>
        <v/>
      </c>
      <c r="P71" s="127" t="str">
        <f t="array" ref="P71">IFERROR(SMALL($G$4:$G$253,E71),"")</f>
        <v/>
      </c>
      <c r="Q71" s="127" t="str">
        <f t="shared" si="26"/>
        <v/>
      </c>
      <c r="R71" s="126" t="str">
        <f t="shared" si="27"/>
        <v/>
      </c>
      <c r="S71" s="126" t="str">
        <f t="shared" si="19"/>
        <v/>
      </c>
      <c r="T71" s="128" t="str">
        <f>IF(OR(S71="R",S71=""),"",COUNTIFS($P$4:P71,P71,$S$4:S71,"S")*U71)</f>
        <v/>
      </c>
      <c r="U71" s="128" t="str">
        <f>IF(ISNUMBER(N71),IF($C$11=TRUE,IF(OR(ISODD(COUNTIF($N$4:N71,1)),Y71="Yes"),1,-1),1),"")</f>
        <v/>
      </c>
      <c r="V71" s="128" t="str">
        <f ca="1">IFERROR(IF(AND(S71="R",W71&lt;&gt;""),1,IF(S71="R",MAX(OFFSET(V70,0,0,-1*(ROW(W71)-3-MATCH(MAX($W$4:W70),$W$4:W70,0)),1))+1,"")),"")</f>
        <v/>
      </c>
      <c r="W71" s="129" t="str">
        <f>IFERROR(IF(AND(S71="R", P71&gt;MAX($X$3:X70)),P71,""),"")</f>
        <v/>
      </c>
      <c r="X71" s="129" t="str">
        <f>IFERROR(IF(AND(W71="",Q71&gt;=MAX($X$3:X70)),IF(S71="R",Q71,IF(AND(W71="",P71&lt;=MAX($X$3:X70)),MAX($X$3:X70),"")),IF(W71&lt;&gt;"", Q71,"")),"")</f>
        <v/>
      </c>
      <c r="Y71" s="126" t="str">
        <f>IF(S71="S",IF(OR(P71&lt;=MAX($X$3:X70),P71&gt;=IF(MIN(W$53:$W72)&lt;1,99999999,MIN(W$53:$W72))),"Yes","No"),"")</f>
        <v/>
      </c>
      <c r="AA71" s="130" t="str">
        <f t="shared" si="20"/>
        <v/>
      </c>
      <c r="AB71" s="131" t="str">
        <f t="array" ref="AB71">IF(AA71&lt;=$AA$2,MIN(IF($L$4:$L$503&lt;=AB70,99999999999,$L$4:$L$503)),"")</f>
        <v/>
      </c>
      <c r="AC71" s="130" t="str">
        <f>IF(ISNUMBER(AA71),IF(Dashboard!$H$6&lt;&gt;"Horizontal",AC70+dateDistance,AC70),"")</f>
        <v/>
      </c>
      <c r="AD71" s="130" t="str">
        <f>IF(ISNUMBER(AA71),IF(Dashboard!$H$6="Horizontal",AD70+dateDistance,AD70),"")</f>
        <v/>
      </c>
      <c r="AE71" s="132" t="str">
        <f>IF(ISNUMBER(P71), IF(Dashboard!$H$6="Horizontal",IF(S71="S",INDEX($AC$4:$AC$503,MATCH(P71,$AB$4:$AB$503,0),1)+boxDistance*(T71+IF(Y71="No",IF(ISODD(T71),IF(T71&gt;0,1,-1),0),0))*IF(Y71="No",IF(ISODD(T71),0.5,-0.5),1),timelineStartRow - boxDistance * V71),IF( S71="S",INDEX($AC$4:$AC$503,MATCH(P71,$AB$4:$AB$503,0),1),INDEX($AC$4:$AC$503,MATCH(P71,$AB$4:$AB$503,0),1)&amp;"-"&amp;INDEX($AC$4:$AC$503,MATCH(Q71,$AB$4:$AB$503,0),1))),"")</f>
        <v/>
      </c>
      <c r="AF71" s="132" t="str">
        <f>IF(ISNUMBER(P71), IF(Dashboard!$H$6&lt;&gt;"Horizontal",IF(S71="S",INDEX($AD$4:$AD$503,MATCH(P71,$AB$4:$AB$503,0),1)+boxDistance*(T71+IF(Y71="No",IF(ISODD(T71),IF(T71&gt;0,1,-1),0),0))*IF(Y71="No",IF(ISODD(T71),0.5,-0.5),1),timelineStartColumn-boxDistance * IF(AND(ISNUMBER(V71),V71&gt;1),V71*0.85,1)   ),IF( S71="S",INDEX($AD$4:$AD$503,MATCH(P71,$AB$4:$AB$503,0),1),INDEX($AD$4:$AD$503,MATCH(P71,$AB$4:$AB$503,0),1)&amp;"-"&amp;INDEX($AD$4:$AD$503,MATCH(Q71,$AB$4:$AB$503,0),1))),"")</f>
        <v/>
      </c>
      <c r="AG71" s="133" t="str">
        <f t="shared" si="28"/>
        <v/>
      </c>
      <c r="AH71" s="134" t="str">
        <f t="shared" si="21"/>
        <v/>
      </c>
      <c r="AI71" s="135" t="str">
        <f t="shared" si="22"/>
        <v/>
      </c>
      <c r="AJ71" s="135" t="str">
        <f t="shared" si="29"/>
        <v/>
      </c>
      <c r="AK71" s="126" t="str">
        <f t="shared" si="30"/>
        <v/>
      </c>
      <c r="AL71" s="126" t="str">
        <f ca="1">IFERROR(IF(AK71="","", MATCH(AK71,OFFSET(Icons!$B$5,1,AM71-3,20,1),0)+5),"")</f>
        <v/>
      </c>
      <c r="AM71" s="126" t="str">
        <f t="shared" si="31"/>
        <v/>
      </c>
      <c r="AN71" s="90"/>
      <c r="AW71" s="123">
        <v>9</v>
      </c>
      <c r="AX71" s="172" t="str">
        <f t="array" ref="AX71">IF(INDEX(iconsTable,ROW(AX11)-ROW($AX$3),7)="","",INDEX(iconsTable,ROW(AX11)-ROW($AX$3),7))</f>
        <v>mask</v>
      </c>
      <c r="AY71" s="123">
        <f t="shared" si="32"/>
        <v>78</v>
      </c>
      <c r="AZ71" s="137" t="str">
        <f t="shared" si="23"/>
        <v>puppy</v>
      </c>
    </row>
    <row r="72" spans="5:52" ht="15" customHeight="1" x14ac:dyDescent="0.25">
      <c r="E72" s="126">
        <v>69</v>
      </c>
      <c r="F72" s="126"/>
      <c r="G72" s="127"/>
      <c r="H72" s="127"/>
      <c r="I72" s="126"/>
      <c r="K72" s="137" t="str">
        <f t="shared" si="24"/>
        <v/>
      </c>
      <c r="L72" s="127" t="str">
        <f t="shared" si="18"/>
        <v/>
      </c>
      <c r="N72" s="128" t="str">
        <f t="shared" si="25"/>
        <v/>
      </c>
      <c r="O72" s="126" t="str">
        <f t="array" ref="O72">IFERROR(SMALL(IF(($G$4:$G$253=P72),ROW($G$4:$G$253)-ROW($G$3),"" ),N72),"")</f>
        <v/>
      </c>
      <c r="P72" s="127" t="str">
        <f t="array" ref="P72">IFERROR(SMALL($G$4:$G$253,E72),"")</f>
        <v/>
      </c>
      <c r="Q72" s="127" t="str">
        <f t="shared" si="26"/>
        <v/>
      </c>
      <c r="R72" s="126" t="str">
        <f t="shared" si="27"/>
        <v/>
      </c>
      <c r="S72" s="126" t="str">
        <f t="shared" si="19"/>
        <v/>
      </c>
      <c r="T72" s="128" t="str">
        <f>IF(OR(S72="R",S72=""),"",COUNTIFS($P$4:P72,P72,$S$4:S72,"S")*U72)</f>
        <v/>
      </c>
      <c r="U72" s="128" t="str">
        <f>IF(ISNUMBER(N72),IF($C$11=TRUE,IF(OR(ISODD(COUNTIF($N$4:N72,1)),Y72="Yes"),1,-1),1),"")</f>
        <v/>
      </c>
      <c r="V72" s="128" t="str">
        <f ca="1">IFERROR(IF(AND(S72="R",W72&lt;&gt;""),1,IF(S72="R",MAX(OFFSET(V71,0,0,-1*(ROW(W72)-3-MATCH(MAX($W$4:W71),$W$4:W71,0)),1))+1,"")),"")</f>
        <v/>
      </c>
      <c r="W72" s="129" t="str">
        <f>IFERROR(IF(AND(S72="R", P72&gt;MAX($X$3:X71)),P72,""),"")</f>
        <v/>
      </c>
      <c r="X72" s="129" t="str">
        <f>IFERROR(IF(AND(W72="",Q72&gt;=MAX($X$3:X71)),IF(S72="R",Q72,IF(AND(W72="",P72&lt;=MAX($X$3:X71)),MAX($X$3:X71),"")),IF(W72&lt;&gt;"", Q72,"")),"")</f>
        <v/>
      </c>
      <c r="Y72" s="126" t="str">
        <f>IF(S72="S",IF(OR(P72&lt;=MAX($X$3:X71),P72&gt;=IF(MIN(W$53:$W73)&lt;1,99999999,MIN(W$53:$W73))),"Yes","No"),"")</f>
        <v/>
      </c>
      <c r="AA72" s="130" t="str">
        <f t="shared" si="20"/>
        <v/>
      </c>
      <c r="AB72" s="131" t="str">
        <f t="array" ref="AB72">IF(AA72&lt;=$AA$2,MIN(IF($L$4:$L$503&lt;=AB71,99999999999,$L$4:$L$503)),"")</f>
        <v/>
      </c>
      <c r="AC72" s="130" t="str">
        <f>IF(ISNUMBER(AA72),IF(Dashboard!$H$6&lt;&gt;"Horizontal",AC71+dateDistance,AC71),"")</f>
        <v/>
      </c>
      <c r="AD72" s="130" t="str">
        <f>IF(ISNUMBER(AA72),IF(Dashboard!$H$6="Horizontal",AD71+dateDistance,AD71),"")</f>
        <v/>
      </c>
      <c r="AE72" s="132" t="str">
        <f>IF(ISNUMBER(P72), IF(Dashboard!$H$6="Horizontal",IF(S72="S",INDEX($AC$4:$AC$503,MATCH(P72,$AB$4:$AB$503,0),1)+boxDistance*(T72+IF(Y72="No",IF(ISODD(T72),IF(T72&gt;0,1,-1),0),0))*IF(Y72="No",IF(ISODD(T72),0.5,-0.5),1),timelineStartRow - boxDistance * V72),IF( S72="S",INDEX($AC$4:$AC$503,MATCH(P72,$AB$4:$AB$503,0),1),INDEX($AC$4:$AC$503,MATCH(P72,$AB$4:$AB$503,0),1)&amp;"-"&amp;INDEX($AC$4:$AC$503,MATCH(Q72,$AB$4:$AB$503,0),1))),"")</f>
        <v/>
      </c>
      <c r="AF72" s="132" t="str">
        <f>IF(ISNUMBER(P72), IF(Dashboard!$H$6&lt;&gt;"Horizontal",IF(S72="S",INDEX($AD$4:$AD$503,MATCH(P72,$AB$4:$AB$503,0),1)+boxDistance*(T72+IF(Y72="No",IF(ISODD(T72),IF(T72&gt;0,1,-1),0),0))*IF(Y72="No",IF(ISODD(T72),0.5,-0.5),1),timelineStartColumn-boxDistance * IF(AND(ISNUMBER(V72),V72&gt;1),V72*0.85,1)   ),IF( S72="S",INDEX($AD$4:$AD$503,MATCH(P72,$AB$4:$AB$503,0),1),INDEX($AD$4:$AD$503,MATCH(P72,$AB$4:$AB$503,0),1)&amp;"-"&amp;INDEX($AD$4:$AD$503,MATCH(Q72,$AB$4:$AB$503,0),1))),"")</f>
        <v/>
      </c>
      <c r="AG72" s="133" t="str">
        <f t="shared" si="28"/>
        <v/>
      </c>
      <c r="AH72" s="134" t="str">
        <f t="shared" si="21"/>
        <v/>
      </c>
      <c r="AI72" s="135" t="str">
        <f t="shared" si="22"/>
        <v/>
      </c>
      <c r="AJ72" s="135" t="str">
        <f t="shared" si="29"/>
        <v/>
      </c>
      <c r="AK72" s="126" t="str">
        <f t="shared" si="30"/>
        <v/>
      </c>
      <c r="AL72" s="126" t="str">
        <f ca="1">IFERROR(IF(AK72="","", MATCH(AK72,OFFSET(Icons!$B$5,1,AM72-3,20,1),0)+5),"")</f>
        <v/>
      </c>
      <c r="AM72" s="126" t="str">
        <f t="shared" si="31"/>
        <v/>
      </c>
      <c r="AN72" s="90"/>
      <c r="AW72" s="123">
        <v>9</v>
      </c>
      <c r="AX72" s="172" t="str">
        <f t="array" ref="AX72">IF(INDEX(iconsTable,ROW(AX12)-ROW($AX$3),7)="","",INDEX(iconsTable,ROW(AX12)-ROW($AX$3),7))</f>
        <v>monkey</v>
      </c>
      <c r="AY72" s="123">
        <f t="shared" si="32"/>
        <v>79</v>
      </c>
      <c r="AZ72" s="137" t="str">
        <f t="shared" si="23"/>
        <v>rabbit</v>
      </c>
    </row>
    <row r="73" spans="5:52" ht="15" customHeight="1" x14ac:dyDescent="0.25">
      <c r="E73" s="126">
        <v>70</v>
      </c>
      <c r="F73" s="126"/>
      <c r="G73" s="127"/>
      <c r="H73" s="127"/>
      <c r="I73" s="126"/>
      <c r="K73" s="137" t="str">
        <f t="shared" si="24"/>
        <v/>
      </c>
      <c r="L73" s="127" t="str">
        <f t="shared" si="18"/>
        <v/>
      </c>
      <c r="N73" s="128" t="str">
        <f t="shared" si="25"/>
        <v/>
      </c>
      <c r="O73" s="126" t="str">
        <f t="array" ref="O73">IFERROR(SMALL(IF(($G$4:$G$253=P73),ROW($G$4:$G$253)-ROW($G$3),"" ),N73),"")</f>
        <v/>
      </c>
      <c r="P73" s="127" t="str">
        <f t="array" ref="P73">IFERROR(SMALL($G$4:$G$253,E73),"")</f>
        <v/>
      </c>
      <c r="Q73" s="127" t="str">
        <f t="shared" si="26"/>
        <v/>
      </c>
      <c r="R73" s="126" t="str">
        <f t="shared" si="27"/>
        <v/>
      </c>
      <c r="S73" s="126" t="str">
        <f t="shared" si="19"/>
        <v/>
      </c>
      <c r="T73" s="128" t="str">
        <f>IF(OR(S73="R",S73=""),"",COUNTIFS($P$4:P73,P73,$S$4:S73,"S")*U73)</f>
        <v/>
      </c>
      <c r="U73" s="128" t="str">
        <f>IF(ISNUMBER(N73),IF($C$11=TRUE,IF(OR(ISODD(COUNTIF($N$4:N73,1)),Y73="Yes"),1,-1),1),"")</f>
        <v/>
      </c>
      <c r="V73" s="128" t="str">
        <f ca="1">IFERROR(IF(AND(S73="R",W73&lt;&gt;""),1,IF(S73="R",MAX(OFFSET(V72,0,0,-1*(ROW(W73)-3-MATCH(MAX($W$4:W72),$W$4:W72,0)),1))+1,"")),"")</f>
        <v/>
      </c>
      <c r="W73" s="129" t="str">
        <f>IFERROR(IF(AND(S73="R", P73&gt;MAX($X$3:X72)),P73,""),"")</f>
        <v/>
      </c>
      <c r="X73" s="129" t="str">
        <f>IFERROR(IF(AND(W73="",Q73&gt;=MAX($X$3:X72)),IF(S73="R",Q73,IF(AND(W73="",P73&lt;=MAX($X$3:X72)),MAX($X$3:X72),"")),IF(W73&lt;&gt;"", Q73,"")),"")</f>
        <v/>
      </c>
      <c r="Y73" s="126" t="str">
        <f>IF(S73="S",IF(OR(P73&lt;=MAX($X$3:X72),P73&gt;=IF(MIN(W$53:$W74)&lt;1,99999999,MIN(W$53:$W74))),"Yes","No"),"")</f>
        <v/>
      </c>
      <c r="AA73" s="130" t="str">
        <f t="shared" si="20"/>
        <v/>
      </c>
      <c r="AB73" s="131" t="str">
        <f t="array" ref="AB73">IF(AA73&lt;=$AA$2,MIN(IF($L$4:$L$503&lt;=AB72,99999999999,$L$4:$L$503)),"")</f>
        <v/>
      </c>
      <c r="AC73" s="130" t="str">
        <f>IF(ISNUMBER(AA73),IF(Dashboard!$H$6&lt;&gt;"Horizontal",AC72+dateDistance,AC72),"")</f>
        <v/>
      </c>
      <c r="AD73" s="130" t="str">
        <f>IF(ISNUMBER(AA73),IF(Dashboard!$H$6="Horizontal",AD72+dateDistance,AD72),"")</f>
        <v/>
      </c>
      <c r="AE73" s="132" t="str">
        <f>IF(ISNUMBER(P73), IF(Dashboard!$H$6="Horizontal",IF(S73="S",INDEX($AC$4:$AC$503,MATCH(P73,$AB$4:$AB$503,0),1)+boxDistance*(T73+IF(Y73="No",IF(ISODD(T73),IF(T73&gt;0,1,-1),0),0))*IF(Y73="No",IF(ISODD(T73),0.5,-0.5),1),timelineStartRow - boxDistance * V73),IF( S73="S",INDEX($AC$4:$AC$503,MATCH(P73,$AB$4:$AB$503,0),1),INDEX($AC$4:$AC$503,MATCH(P73,$AB$4:$AB$503,0),1)&amp;"-"&amp;INDEX($AC$4:$AC$503,MATCH(Q73,$AB$4:$AB$503,0),1))),"")</f>
        <v/>
      </c>
      <c r="AF73" s="132" t="str">
        <f>IF(ISNUMBER(P73), IF(Dashboard!$H$6&lt;&gt;"Horizontal",IF(S73="S",INDEX($AD$4:$AD$503,MATCH(P73,$AB$4:$AB$503,0),1)+boxDistance*(T73+IF(Y73="No",IF(ISODD(T73),IF(T73&gt;0,1,-1),0),0))*IF(Y73="No",IF(ISODD(T73),0.5,-0.5),1),timelineStartColumn-boxDistance * IF(AND(ISNUMBER(V73),V73&gt;1),V73*0.85,1)   ),IF( S73="S",INDEX($AD$4:$AD$503,MATCH(P73,$AB$4:$AB$503,0),1),INDEX($AD$4:$AD$503,MATCH(P73,$AB$4:$AB$503,0),1)&amp;"-"&amp;INDEX($AD$4:$AD$503,MATCH(Q73,$AB$4:$AB$503,0),1))),"")</f>
        <v/>
      </c>
      <c r="AG73" s="133" t="str">
        <f t="shared" si="28"/>
        <v/>
      </c>
      <c r="AH73" s="134" t="str">
        <f t="shared" si="21"/>
        <v/>
      </c>
      <c r="AI73" s="135" t="str">
        <f t="shared" si="22"/>
        <v/>
      </c>
      <c r="AJ73" s="135" t="str">
        <f t="shared" si="29"/>
        <v/>
      </c>
      <c r="AK73" s="126" t="str">
        <f t="shared" si="30"/>
        <v/>
      </c>
      <c r="AL73" s="126" t="str">
        <f ca="1">IFERROR(IF(AK73="","", MATCH(AK73,OFFSET(Icons!$B$5,1,AM73-3,20,1),0)+5),"")</f>
        <v/>
      </c>
      <c r="AM73" s="126" t="str">
        <f t="shared" si="31"/>
        <v/>
      </c>
      <c r="AN73" s="90"/>
      <c r="AW73" s="123">
        <v>9</v>
      </c>
      <c r="AX73" s="172" t="str">
        <f t="array" ref="AX73">IF(INDEX(iconsTable,ROW(AX13)-ROW($AX$3),7)="","",INDEX(iconsTable,ROW(AX13)-ROW($AX$3),7))</f>
        <v>moon</v>
      </c>
      <c r="AY73" s="123">
        <f t="shared" si="32"/>
        <v>80</v>
      </c>
      <c r="AZ73" s="137" t="str">
        <f t="shared" si="23"/>
        <v>race1</v>
      </c>
    </row>
    <row r="74" spans="5:52" ht="15" customHeight="1" x14ac:dyDescent="0.25">
      <c r="E74" s="126">
        <v>71</v>
      </c>
      <c r="F74" s="126"/>
      <c r="G74" s="127"/>
      <c r="H74" s="127"/>
      <c r="I74" s="126"/>
      <c r="K74" s="137" t="str">
        <f t="shared" si="24"/>
        <v/>
      </c>
      <c r="L74" s="127" t="str">
        <f t="shared" si="18"/>
        <v/>
      </c>
      <c r="N74" s="128" t="str">
        <f t="shared" si="25"/>
        <v/>
      </c>
      <c r="O74" s="126" t="str">
        <f t="array" ref="O74">IFERROR(SMALL(IF(($G$4:$G$253=P74),ROW($G$4:$G$253)-ROW($G$3),"" ),N74),"")</f>
        <v/>
      </c>
      <c r="P74" s="127" t="str">
        <f t="array" ref="P74">IFERROR(SMALL($G$4:$G$253,E74),"")</f>
        <v/>
      </c>
      <c r="Q74" s="127" t="str">
        <f t="shared" si="26"/>
        <v/>
      </c>
      <c r="R74" s="126" t="str">
        <f t="shared" si="27"/>
        <v/>
      </c>
      <c r="S74" s="126" t="str">
        <f t="shared" si="19"/>
        <v/>
      </c>
      <c r="T74" s="128" t="str">
        <f>IF(OR(S74="R",S74=""),"",COUNTIFS($P$4:P74,P74,$S$4:S74,"S")*U74)</f>
        <v/>
      </c>
      <c r="U74" s="128" t="str">
        <f>IF(ISNUMBER(N74),IF($C$11=TRUE,IF(OR(ISODD(COUNTIF($N$4:N74,1)),Y74="Yes"),1,-1),1),"")</f>
        <v/>
      </c>
      <c r="V74" s="128" t="str">
        <f ca="1">IFERROR(IF(AND(S74="R",W74&lt;&gt;""),1,IF(S74="R",MAX(OFFSET(V73,0,0,-1*(ROW(W74)-3-MATCH(MAX($W$4:W73),$W$4:W73,0)),1))+1,"")),"")</f>
        <v/>
      </c>
      <c r="W74" s="129" t="str">
        <f>IFERROR(IF(AND(S74="R", P74&gt;MAX($X$3:X73)),P74,""),"")</f>
        <v/>
      </c>
      <c r="X74" s="129" t="str">
        <f>IFERROR(IF(AND(W74="",Q74&gt;=MAX($X$3:X73)),IF(S74="R",Q74,IF(AND(W74="",P74&lt;=MAX($X$3:X73)),MAX($X$3:X73),"")),IF(W74&lt;&gt;"", Q74,"")),"")</f>
        <v/>
      </c>
      <c r="Y74" s="126" t="str">
        <f>IF(S74="S",IF(OR(P74&lt;=MAX($X$3:X73),P74&gt;=IF(MIN(W$53:$W75)&lt;1,99999999,MIN(W$53:$W75))),"Yes","No"),"")</f>
        <v/>
      </c>
      <c r="AA74" s="130" t="str">
        <f t="shared" si="20"/>
        <v/>
      </c>
      <c r="AB74" s="131" t="str">
        <f t="array" ref="AB74">IF(AA74&lt;=$AA$2,MIN(IF($L$4:$L$503&lt;=AB73,99999999999,$L$4:$L$503)),"")</f>
        <v/>
      </c>
      <c r="AC74" s="130" t="str">
        <f>IF(ISNUMBER(AA74),IF(Dashboard!$H$6&lt;&gt;"Horizontal",AC73+dateDistance,AC73),"")</f>
        <v/>
      </c>
      <c r="AD74" s="130" t="str">
        <f>IF(ISNUMBER(AA74),IF(Dashboard!$H$6="Horizontal",AD73+dateDistance,AD73),"")</f>
        <v/>
      </c>
      <c r="AE74" s="132" t="str">
        <f>IF(ISNUMBER(P74), IF(Dashboard!$H$6="Horizontal",IF(S74="S",INDEX($AC$4:$AC$503,MATCH(P74,$AB$4:$AB$503,0),1)+boxDistance*(T74+IF(Y74="No",IF(ISODD(T74),IF(T74&gt;0,1,-1),0),0))*IF(Y74="No",IF(ISODD(T74),0.5,-0.5),1),timelineStartRow - boxDistance * V74),IF( S74="S",INDEX($AC$4:$AC$503,MATCH(P74,$AB$4:$AB$503,0),1),INDEX($AC$4:$AC$503,MATCH(P74,$AB$4:$AB$503,0),1)&amp;"-"&amp;INDEX($AC$4:$AC$503,MATCH(Q74,$AB$4:$AB$503,0),1))),"")</f>
        <v/>
      </c>
      <c r="AF74" s="132" t="str">
        <f>IF(ISNUMBER(P74), IF(Dashboard!$H$6&lt;&gt;"Horizontal",IF(S74="S",INDEX($AD$4:$AD$503,MATCH(P74,$AB$4:$AB$503,0),1)+boxDistance*(T74+IF(Y74="No",IF(ISODD(T74),IF(T74&gt;0,1,-1),0),0))*IF(Y74="No",IF(ISODD(T74),0.5,-0.5),1),timelineStartColumn-boxDistance * IF(AND(ISNUMBER(V74),V74&gt;1),V74*0.85,1)   ),IF( S74="S",INDEX($AD$4:$AD$503,MATCH(P74,$AB$4:$AB$503,0),1),INDEX($AD$4:$AD$503,MATCH(P74,$AB$4:$AB$503,0),1)&amp;"-"&amp;INDEX($AD$4:$AD$503,MATCH(Q74,$AB$4:$AB$503,0),1))),"")</f>
        <v/>
      </c>
      <c r="AG74" s="133" t="str">
        <f t="shared" si="28"/>
        <v/>
      </c>
      <c r="AH74" s="134" t="str">
        <f t="shared" si="21"/>
        <v/>
      </c>
      <c r="AI74" s="135" t="str">
        <f t="shared" si="22"/>
        <v/>
      </c>
      <c r="AJ74" s="135" t="str">
        <f t="shared" si="29"/>
        <v/>
      </c>
      <c r="AK74" s="126" t="str">
        <f t="shared" si="30"/>
        <v/>
      </c>
      <c r="AL74" s="126" t="str">
        <f ca="1">IFERROR(IF(AK74="","", MATCH(AK74,OFFSET(Icons!$B$5,1,AM74-3,20,1),0)+5),"")</f>
        <v/>
      </c>
      <c r="AM74" s="126" t="str">
        <f t="shared" si="31"/>
        <v/>
      </c>
      <c r="AN74" s="90"/>
      <c r="AW74" s="123">
        <v>9</v>
      </c>
      <c r="AX74" s="172" t="str">
        <f t="array" ref="AX74">IF(INDEX(iconsTable,ROW(AX14)-ROW($AX$3),7)="","",INDEX(iconsTable,ROW(AX14)-ROW($AX$3),7))</f>
        <v>music</v>
      </c>
      <c r="AY74" s="123">
        <f t="shared" si="32"/>
        <v>81</v>
      </c>
      <c r="AZ74" s="137" t="str">
        <f t="shared" si="23"/>
        <v/>
      </c>
    </row>
    <row r="75" spans="5:52" ht="15" customHeight="1" x14ac:dyDescent="0.25">
      <c r="E75" s="126">
        <v>72</v>
      </c>
      <c r="F75" s="126"/>
      <c r="G75" s="127"/>
      <c r="H75" s="127"/>
      <c r="I75" s="126"/>
      <c r="K75" s="137" t="str">
        <f t="shared" si="24"/>
        <v/>
      </c>
      <c r="L75" s="127" t="str">
        <f t="shared" si="18"/>
        <v/>
      </c>
      <c r="N75" s="128" t="str">
        <f t="shared" si="25"/>
        <v/>
      </c>
      <c r="O75" s="126" t="str">
        <f t="array" ref="O75">IFERROR(SMALL(IF(($G$4:$G$253=P75),ROW($G$4:$G$253)-ROW($G$3),"" ),N75),"")</f>
        <v/>
      </c>
      <c r="P75" s="127" t="str">
        <f t="array" ref="P75">IFERROR(SMALL($G$4:$G$253,E75),"")</f>
        <v/>
      </c>
      <c r="Q75" s="127" t="str">
        <f t="shared" si="26"/>
        <v/>
      </c>
      <c r="R75" s="126" t="str">
        <f t="shared" si="27"/>
        <v/>
      </c>
      <c r="S75" s="126" t="str">
        <f t="shared" si="19"/>
        <v/>
      </c>
      <c r="T75" s="128" t="str">
        <f>IF(OR(S75="R",S75=""),"",COUNTIFS($P$4:P75,P75,$S$4:S75,"S")*U75)</f>
        <v/>
      </c>
      <c r="U75" s="128" t="str">
        <f>IF(ISNUMBER(N75),IF($C$11=TRUE,IF(OR(ISODD(COUNTIF($N$4:N75,1)),Y75="Yes"),1,-1),1),"")</f>
        <v/>
      </c>
      <c r="V75" s="128" t="str">
        <f ca="1">IFERROR(IF(AND(S75="R",W75&lt;&gt;""),1,IF(S75="R",MAX(OFFSET(V74,0,0,-1*(ROW(W75)-3-MATCH(MAX($W$4:W74),$W$4:W74,0)),1))+1,"")),"")</f>
        <v/>
      </c>
      <c r="W75" s="129" t="str">
        <f>IFERROR(IF(AND(S75="R", P75&gt;MAX($X$3:X74)),P75,""),"")</f>
        <v/>
      </c>
      <c r="X75" s="129" t="str">
        <f>IFERROR(IF(AND(W75="",Q75&gt;=MAX($X$3:X74)),IF(S75="R",Q75,IF(AND(W75="",P75&lt;=MAX($X$3:X74)),MAX($X$3:X74),"")),IF(W75&lt;&gt;"", Q75,"")),"")</f>
        <v/>
      </c>
      <c r="Y75" s="126" t="str">
        <f>IF(S75="S",IF(OR(P75&lt;=MAX($X$3:X74),P75&gt;=IF(MIN(W$53:$W76)&lt;1,99999999,MIN(W$53:$W76))),"Yes","No"),"")</f>
        <v/>
      </c>
      <c r="AA75" s="130" t="str">
        <f t="shared" si="20"/>
        <v/>
      </c>
      <c r="AB75" s="131" t="str">
        <f t="array" ref="AB75">IF(AA75&lt;=$AA$2,MIN(IF($L$4:$L$503&lt;=AB74,99999999999,$L$4:$L$503)),"")</f>
        <v/>
      </c>
      <c r="AC75" s="130" t="str">
        <f>IF(ISNUMBER(AA75),IF(Dashboard!$H$6&lt;&gt;"Horizontal",AC74+dateDistance,AC74),"")</f>
        <v/>
      </c>
      <c r="AD75" s="130" t="str">
        <f>IF(ISNUMBER(AA75),IF(Dashboard!$H$6="Horizontal",AD74+dateDistance,AD74),"")</f>
        <v/>
      </c>
      <c r="AE75" s="132" t="str">
        <f>IF(ISNUMBER(P75), IF(Dashboard!$H$6="Horizontal",IF(S75="S",INDEX($AC$4:$AC$503,MATCH(P75,$AB$4:$AB$503,0),1)+boxDistance*(T75+IF(Y75="No",IF(ISODD(T75),IF(T75&gt;0,1,-1),0),0))*IF(Y75="No",IF(ISODD(T75),0.5,-0.5),1),timelineStartRow - boxDistance * V75),IF( S75="S",INDEX($AC$4:$AC$503,MATCH(P75,$AB$4:$AB$503,0),1),INDEX($AC$4:$AC$503,MATCH(P75,$AB$4:$AB$503,0),1)&amp;"-"&amp;INDEX($AC$4:$AC$503,MATCH(Q75,$AB$4:$AB$503,0),1))),"")</f>
        <v/>
      </c>
      <c r="AF75" s="132" t="str">
        <f>IF(ISNUMBER(P75), IF(Dashboard!$H$6&lt;&gt;"Horizontal",IF(S75="S",INDEX($AD$4:$AD$503,MATCH(P75,$AB$4:$AB$503,0),1)+boxDistance*(T75+IF(Y75="No",IF(ISODD(T75),IF(T75&gt;0,1,-1),0),0))*IF(Y75="No",IF(ISODD(T75),0.5,-0.5),1),timelineStartColumn-boxDistance * IF(AND(ISNUMBER(V75),V75&gt;1),V75*0.85,1)   ),IF( S75="S",INDEX($AD$4:$AD$503,MATCH(P75,$AB$4:$AB$503,0),1),INDEX($AD$4:$AD$503,MATCH(P75,$AB$4:$AB$503,0),1)&amp;"-"&amp;INDEX($AD$4:$AD$503,MATCH(Q75,$AB$4:$AB$503,0),1))),"")</f>
        <v/>
      </c>
      <c r="AG75" s="133" t="str">
        <f t="shared" si="28"/>
        <v/>
      </c>
      <c r="AH75" s="134" t="str">
        <f t="shared" si="21"/>
        <v/>
      </c>
      <c r="AI75" s="135" t="str">
        <f t="shared" si="22"/>
        <v/>
      </c>
      <c r="AJ75" s="135" t="str">
        <f t="shared" si="29"/>
        <v/>
      </c>
      <c r="AK75" s="126" t="str">
        <f t="shared" si="30"/>
        <v/>
      </c>
      <c r="AL75" s="126" t="str">
        <f ca="1">IFERROR(IF(AK75="","", MATCH(AK75,OFFSET(Icons!$B$5,1,AM75-3,20,1),0)+5),"")</f>
        <v/>
      </c>
      <c r="AM75" s="126" t="str">
        <f t="shared" si="31"/>
        <v/>
      </c>
      <c r="AN75" s="90"/>
      <c r="AW75" s="123">
        <v>9</v>
      </c>
      <c r="AX75" s="172" t="str">
        <f t="array" ref="AX75">IF(INDEX(iconsTable,ROW(AX15)-ROW($AX$3),7)="","",INDEX(iconsTable,ROW(AX15)-ROW($AX$3),7))</f>
        <v>octopus</v>
      </c>
      <c r="AY75" s="123">
        <f t="shared" si="32"/>
        <v>82</v>
      </c>
      <c r="AZ75" s="137" t="str">
        <f t="shared" si="23"/>
        <v/>
      </c>
    </row>
    <row r="76" spans="5:52" ht="15" customHeight="1" x14ac:dyDescent="0.25">
      <c r="E76" s="126">
        <v>73</v>
      </c>
      <c r="F76" s="126"/>
      <c r="G76" s="127"/>
      <c r="H76" s="127"/>
      <c r="I76" s="126"/>
      <c r="K76" s="137" t="str">
        <f t="shared" si="24"/>
        <v/>
      </c>
      <c r="L76" s="127" t="str">
        <f t="shared" si="18"/>
        <v/>
      </c>
      <c r="N76" s="128" t="str">
        <f t="shared" si="25"/>
        <v/>
      </c>
      <c r="O76" s="126" t="str">
        <f t="array" ref="O76">IFERROR(SMALL(IF(($G$4:$G$253=P76),ROW($G$4:$G$253)-ROW($G$3),"" ),N76),"")</f>
        <v/>
      </c>
      <c r="P76" s="127" t="str">
        <f t="array" ref="P76">IFERROR(SMALL($G$4:$G$253,E76),"")</f>
        <v/>
      </c>
      <c r="Q76" s="127" t="str">
        <f t="shared" si="26"/>
        <v/>
      </c>
      <c r="R76" s="126" t="str">
        <f t="shared" si="27"/>
        <v/>
      </c>
      <c r="S76" s="126" t="str">
        <f t="shared" si="19"/>
        <v/>
      </c>
      <c r="T76" s="128" t="str">
        <f>IF(OR(S76="R",S76=""),"",COUNTIFS($P$4:P76,P76,$S$4:S76,"S")*U76)</f>
        <v/>
      </c>
      <c r="U76" s="128" t="str">
        <f>IF(ISNUMBER(N76),IF($C$11=TRUE,IF(OR(ISODD(COUNTIF($N$4:N76,1)),Y76="Yes"),1,-1),1),"")</f>
        <v/>
      </c>
      <c r="V76" s="128" t="str">
        <f ca="1">IFERROR(IF(AND(S76="R",W76&lt;&gt;""),1,IF(S76="R",MAX(OFFSET(V75,0,0,-1*(ROW(W76)-3-MATCH(MAX($W$4:W75),$W$4:W75,0)),1))+1,"")),"")</f>
        <v/>
      </c>
      <c r="W76" s="129" t="str">
        <f>IFERROR(IF(AND(S76="R", P76&gt;MAX($X$3:X75)),P76,""),"")</f>
        <v/>
      </c>
      <c r="X76" s="129" t="str">
        <f>IFERROR(IF(AND(W76="",Q76&gt;=MAX($X$3:X75)),IF(S76="R",Q76,IF(AND(W76="",P76&lt;=MAX($X$3:X75)),MAX($X$3:X75),"")),IF(W76&lt;&gt;"", Q76,"")),"")</f>
        <v/>
      </c>
      <c r="Y76" s="126" t="str">
        <f>IF(S76="S",IF(OR(P76&lt;=MAX($X$3:X75),P76&gt;=IF(MIN(W$53:$W77)&lt;1,99999999,MIN(W$53:$W77))),"Yes","No"),"")</f>
        <v/>
      </c>
      <c r="AA76" s="130" t="str">
        <f t="shared" si="20"/>
        <v/>
      </c>
      <c r="AB76" s="131" t="str">
        <f t="array" ref="AB76">IF(AA76&lt;=$AA$2,MIN(IF($L$4:$L$503&lt;=AB75,99999999999,$L$4:$L$503)),"")</f>
        <v/>
      </c>
      <c r="AC76" s="130" t="str">
        <f>IF(ISNUMBER(AA76),IF(Dashboard!$H$6&lt;&gt;"Horizontal",AC75+dateDistance,AC75),"")</f>
        <v/>
      </c>
      <c r="AD76" s="130" t="str">
        <f>IF(ISNUMBER(AA76),IF(Dashboard!$H$6="Horizontal",AD75+dateDistance,AD75),"")</f>
        <v/>
      </c>
      <c r="AE76" s="132" t="str">
        <f>IF(ISNUMBER(P76), IF(Dashboard!$H$6="Horizontal",IF(S76="S",INDEX($AC$4:$AC$503,MATCH(P76,$AB$4:$AB$503,0),1)+boxDistance*(T76+IF(Y76="No",IF(ISODD(T76),IF(T76&gt;0,1,-1),0),0))*IF(Y76="No",IF(ISODD(T76),0.5,-0.5),1),timelineStartRow - boxDistance * V76),IF( S76="S",INDEX($AC$4:$AC$503,MATCH(P76,$AB$4:$AB$503,0),1),INDEX($AC$4:$AC$503,MATCH(P76,$AB$4:$AB$503,0),1)&amp;"-"&amp;INDEX($AC$4:$AC$503,MATCH(Q76,$AB$4:$AB$503,0),1))),"")</f>
        <v/>
      </c>
      <c r="AF76" s="132" t="str">
        <f>IF(ISNUMBER(P76), IF(Dashboard!$H$6&lt;&gt;"Horizontal",IF(S76="S",INDEX($AD$4:$AD$503,MATCH(P76,$AB$4:$AB$503,0),1)+boxDistance*(T76+IF(Y76="No",IF(ISODD(T76),IF(T76&gt;0,1,-1),0),0))*IF(Y76="No",IF(ISODD(T76),0.5,-0.5),1),timelineStartColumn-boxDistance * IF(AND(ISNUMBER(V76),V76&gt;1),V76*0.85,1)   ),IF( S76="S",INDEX($AD$4:$AD$503,MATCH(P76,$AB$4:$AB$503,0),1),INDEX($AD$4:$AD$503,MATCH(P76,$AB$4:$AB$503,0),1)&amp;"-"&amp;INDEX($AD$4:$AD$503,MATCH(Q76,$AB$4:$AB$503,0),1))),"")</f>
        <v/>
      </c>
      <c r="AG76" s="133" t="str">
        <f t="shared" si="28"/>
        <v/>
      </c>
      <c r="AH76" s="134" t="str">
        <f t="shared" si="21"/>
        <v/>
      </c>
      <c r="AI76" s="135" t="str">
        <f t="shared" si="22"/>
        <v/>
      </c>
      <c r="AJ76" s="135" t="str">
        <f t="shared" si="29"/>
        <v/>
      </c>
      <c r="AK76" s="126" t="str">
        <f t="shared" si="30"/>
        <v/>
      </c>
      <c r="AL76" s="126" t="str">
        <f ca="1">IFERROR(IF(AK76="","", MATCH(AK76,OFFSET(Icons!$B$5,1,AM76-3,20,1),0)+5),"")</f>
        <v/>
      </c>
      <c r="AM76" s="126" t="str">
        <f t="shared" si="31"/>
        <v/>
      </c>
      <c r="AN76" s="90"/>
      <c r="AW76" s="123">
        <v>9</v>
      </c>
      <c r="AX76" s="172" t="str">
        <f t="array" ref="AX76">IF(INDEX(iconsTable,ROW(AX16)-ROW($AX$3),7)="","",INDEX(iconsTable,ROW(AX16)-ROW($AX$3),7))</f>
        <v>oilcan</v>
      </c>
      <c r="AY76" s="123">
        <f t="shared" si="32"/>
        <v>83</v>
      </c>
      <c r="AZ76" s="137" t="str">
        <f t="shared" si="23"/>
        <v/>
      </c>
    </row>
    <row r="77" spans="5:52" ht="15" customHeight="1" x14ac:dyDescent="0.25">
      <c r="E77" s="126">
        <v>74</v>
      </c>
      <c r="F77" s="126"/>
      <c r="G77" s="127"/>
      <c r="H77" s="127"/>
      <c r="I77" s="126"/>
      <c r="K77" s="137" t="str">
        <f t="shared" si="24"/>
        <v/>
      </c>
      <c r="L77" s="127" t="str">
        <f t="shared" si="18"/>
        <v/>
      </c>
      <c r="N77" s="128" t="str">
        <f t="shared" si="25"/>
        <v/>
      </c>
      <c r="O77" s="126" t="str">
        <f t="array" ref="O77">IFERROR(SMALL(IF(($G$4:$G$253=P77),ROW($G$4:$G$253)-ROW($G$3),"" ),N77),"")</f>
        <v/>
      </c>
      <c r="P77" s="127" t="str">
        <f t="array" ref="P77">IFERROR(SMALL($G$4:$G$253,E77),"")</f>
        <v/>
      </c>
      <c r="Q77" s="127" t="str">
        <f t="shared" si="26"/>
        <v/>
      </c>
      <c r="R77" s="126" t="str">
        <f t="shared" si="27"/>
        <v/>
      </c>
      <c r="S77" s="126" t="str">
        <f t="shared" si="19"/>
        <v/>
      </c>
      <c r="T77" s="128" t="str">
        <f>IF(OR(S77="R",S77=""),"",COUNTIFS($P$4:P77,P77,$S$4:S77,"S")*U77)</f>
        <v/>
      </c>
      <c r="U77" s="128" t="str">
        <f>IF(ISNUMBER(N77),IF($C$11=TRUE,IF(OR(ISODD(COUNTIF($N$4:N77,1)),Y77="Yes"),1,-1),1),"")</f>
        <v/>
      </c>
      <c r="V77" s="128" t="str">
        <f ca="1">IFERROR(IF(AND(S77="R",W77&lt;&gt;""),1,IF(S77="R",MAX(OFFSET(V76,0,0,-1*(ROW(W77)-3-MATCH(MAX($W$4:W76),$W$4:W76,0)),1))+1,"")),"")</f>
        <v/>
      </c>
      <c r="W77" s="129" t="str">
        <f>IFERROR(IF(AND(S77="R", P77&gt;MAX($X$3:X76)),P77,""),"")</f>
        <v/>
      </c>
      <c r="X77" s="129" t="str">
        <f>IFERROR(IF(AND(W77="",Q77&gt;=MAX($X$3:X76)),IF(S77="R",Q77,IF(AND(W77="",P77&lt;=MAX($X$3:X76)),MAX($X$3:X76),"")),IF(W77&lt;&gt;"", Q77,"")),"")</f>
        <v/>
      </c>
      <c r="Y77" s="126" t="str">
        <f>IF(S77="S",IF(OR(P77&lt;=MAX($X$3:X76),P77&gt;=IF(MIN(W$53:$W78)&lt;1,99999999,MIN(W$53:$W78))),"Yes","No"),"")</f>
        <v/>
      </c>
      <c r="AA77" s="130" t="str">
        <f t="shared" si="20"/>
        <v/>
      </c>
      <c r="AB77" s="131" t="str">
        <f t="array" ref="AB77">IF(AA77&lt;=$AA$2,MIN(IF($L$4:$L$503&lt;=AB76,99999999999,$L$4:$L$503)),"")</f>
        <v/>
      </c>
      <c r="AC77" s="130" t="str">
        <f>IF(ISNUMBER(AA77),IF(Dashboard!$H$6&lt;&gt;"Horizontal",AC76+dateDistance,AC76),"")</f>
        <v/>
      </c>
      <c r="AD77" s="130" t="str">
        <f>IF(ISNUMBER(AA77),IF(Dashboard!$H$6="Horizontal",AD76+dateDistance,AD76),"")</f>
        <v/>
      </c>
      <c r="AE77" s="132" t="str">
        <f>IF(ISNUMBER(P77), IF(Dashboard!$H$6="Horizontal",IF(S77="S",INDEX($AC$4:$AC$503,MATCH(P77,$AB$4:$AB$503,0),1)+boxDistance*(T77+IF(Y77="No",IF(ISODD(T77),IF(T77&gt;0,1,-1),0),0))*IF(Y77="No",IF(ISODD(T77),0.5,-0.5),1),timelineStartRow - boxDistance * V77),IF( S77="S",INDEX($AC$4:$AC$503,MATCH(P77,$AB$4:$AB$503,0),1),INDEX($AC$4:$AC$503,MATCH(P77,$AB$4:$AB$503,0),1)&amp;"-"&amp;INDEX($AC$4:$AC$503,MATCH(Q77,$AB$4:$AB$503,0),1))),"")</f>
        <v/>
      </c>
      <c r="AF77" s="132" t="str">
        <f>IF(ISNUMBER(P77), IF(Dashboard!$H$6&lt;&gt;"Horizontal",IF(S77="S",INDEX($AD$4:$AD$503,MATCH(P77,$AB$4:$AB$503,0),1)+boxDistance*(T77+IF(Y77="No",IF(ISODD(T77),IF(T77&gt;0,1,-1),0),0))*IF(Y77="No",IF(ISODD(T77),0.5,-0.5),1),timelineStartColumn-boxDistance * IF(AND(ISNUMBER(V77),V77&gt;1),V77*0.85,1)   ),IF( S77="S",INDEX($AD$4:$AD$503,MATCH(P77,$AB$4:$AB$503,0),1),INDEX($AD$4:$AD$503,MATCH(P77,$AB$4:$AB$503,0),1)&amp;"-"&amp;INDEX($AD$4:$AD$503,MATCH(Q77,$AB$4:$AB$503,0),1))),"")</f>
        <v/>
      </c>
      <c r="AG77" s="133" t="str">
        <f t="shared" si="28"/>
        <v/>
      </c>
      <c r="AH77" s="134" t="str">
        <f t="shared" si="21"/>
        <v/>
      </c>
      <c r="AI77" s="135" t="str">
        <f t="shared" si="22"/>
        <v/>
      </c>
      <c r="AJ77" s="135" t="str">
        <f t="shared" si="29"/>
        <v/>
      </c>
      <c r="AK77" s="126" t="str">
        <f t="shared" si="30"/>
        <v/>
      </c>
      <c r="AL77" s="126" t="str">
        <f ca="1">IFERROR(IF(AK77="","", MATCH(AK77,OFFSET(Icons!$B$5,1,AM77-3,20,1),0)+5),"")</f>
        <v/>
      </c>
      <c r="AM77" s="126" t="str">
        <f t="shared" si="31"/>
        <v/>
      </c>
      <c r="AN77" s="90"/>
      <c r="AW77" s="123">
        <v>9</v>
      </c>
      <c r="AX77" s="172" t="str">
        <f t="array" ref="AX77">IF(INDEX(iconsTable,ROW(AX17)-ROW($AX$3),7)="","",INDEX(iconsTable,ROW(AX17)-ROW($AX$3),7))</f>
        <v>owl</v>
      </c>
      <c r="AY77" s="123">
        <f t="shared" si="32"/>
        <v>84</v>
      </c>
      <c r="AZ77" s="137" t="str">
        <f t="shared" si="23"/>
        <v/>
      </c>
    </row>
    <row r="78" spans="5:52" ht="15" customHeight="1" x14ac:dyDescent="0.25">
      <c r="E78" s="126">
        <v>75</v>
      </c>
      <c r="F78" s="126"/>
      <c r="G78" s="127"/>
      <c r="H78" s="127"/>
      <c r="I78" s="126"/>
      <c r="K78" s="137" t="str">
        <f t="shared" si="24"/>
        <v/>
      </c>
      <c r="L78" s="127" t="str">
        <f t="shared" si="18"/>
        <v/>
      </c>
      <c r="N78" s="128" t="str">
        <f t="shared" si="25"/>
        <v/>
      </c>
      <c r="O78" s="126" t="str">
        <f t="array" ref="O78">IFERROR(SMALL(IF(($G$4:$G$253=P78),ROW($G$4:$G$253)-ROW($G$3),"" ),N78),"")</f>
        <v/>
      </c>
      <c r="P78" s="127" t="str">
        <f t="array" ref="P78">IFERROR(SMALL($G$4:$G$253,E78),"")</f>
        <v/>
      </c>
      <c r="Q78" s="127" t="str">
        <f t="shared" si="26"/>
        <v/>
      </c>
      <c r="R78" s="126" t="str">
        <f t="shared" si="27"/>
        <v/>
      </c>
      <c r="S78" s="126" t="str">
        <f t="shared" si="19"/>
        <v/>
      </c>
      <c r="T78" s="128" t="str">
        <f>IF(OR(S78="R",S78=""),"",COUNTIFS($P$4:P78,P78,$S$4:S78,"S")*U78)</f>
        <v/>
      </c>
      <c r="U78" s="128" t="str">
        <f>IF(ISNUMBER(N78),IF($C$11=TRUE,IF(OR(ISODD(COUNTIF($N$4:N78,1)),Y78="Yes"),1,-1),1),"")</f>
        <v/>
      </c>
      <c r="V78" s="128" t="str">
        <f ca="1">IFERROR(IF(AND(S78="R",W78&lt;&gt;""),1,IF(S78="R",MAX(OFFSET(V77,0,0,-1*(ROW(W78)-3-MATCH(MAX($W$4:W77),$W$4:W77,0)),1))+1,"")),"")</f>
        <v/>
      </c>
      <c r="W78" s="129" t="str">
        <f>IFERROR(IF(AND(S78="R", P78&gt;MAX($X$3:X77)),P78,""),"")</f>
        <v/>
      </c>
      <c r="X78" s="129" t="str">
        <f>IFERROR(IF(AND(W78="",Q78&gt;=MAX($X$3:X77)),IF(S78="R",Q78,IF(AND(W78="",P78&lt;=MAX($X$3:X77)),MAX($X$3:X77),"")),IF(W78&lt;&gt;"", Q78,"")),"")</f>
        <v/>
      </c>
      <c r="Y78" s="126" t="str">
        <f>IF(S78="S",IF(OR(P78&lt;=MAX($X$3:X77),P78&gt;=IF(MIN(W$53:$W79)&lt;1,99999999,MIN(W$53:$W79))),"Yes","No"),"")</f>
        <v/>
      </c>
      <c r="AA78" s="130" t="str">
        <f t="shared" si="20"/>
        <v/>
      </c>
      <c r="AB78" s="131" t="str">
        <f t="array" ref="AB78">IF(AA78&lt;=$AA$2,MIN(IF($L$4:$L$503&lt;=AB77,99999999999,$L$4:$L$503)),"")</f>
        <v/>
      </c>
      <c r="AC78" s="130" t="str">
        <f>IF(ISNUMBER(AA78),IF(Dashboard!$H$6&lt;&gt;"Horizontal",AC77+dateDistance,AC77),"")</f>
        <v/>
      </c>
      <c r="AD78" s="130" t="str">
        <f>IF(ISNUMBER(AA78),IF(Dashboard!$H$6="Horizontal",AD77+dateDistance,AD77),"")</f>
        <v/>
      </c>
      <c r="AE78" s="132" t="str">
        <f>IF(ISNUMBER(P78), IF(Dashboard!$H$6="Horizontal",IF(S78="S",INDEX($AC$4:$AC$503,MATCH(P78,$AB$4:$AB$503,0),1)+boxDistance*(T78+IF(Y78="No",IF(ISODD(T78),IF(T78&gt;0,1,-1),0),0))*IF(Y78="No",IF(ISODD(T78),0.5,-0.5),1),timelineStartRow - boxDistance * V78),IF( S78="S",INDEX($AC$4:$AC$503,MATCH(P78,$AB$4:$AB$503,0),1),INDEX($AC$4:$AC$503,MATCH(P78,$AB$4:$AB$503,0),1)&amp;"-"&amp;INDEX($AC$4:$AC$503,MATCH(Q78,$AB$4:$AB$503,0),1))),"")</f>
        <v/>
      </c>
      <c r="AF78" s="132" t="str">
        <f>IF(ISNUMBER(P78), IF(Dashboard!$H$6&lt;&gt;"Horizontal",IF(S78="S",INDEX($AD$4:$AD$503,MATCH(P78,$AB$4:$AB$503,0),1)+boxDistance*(T78+IF(Y78="No",IF(ISODD(T78),IF(T78&gt;0,1,-1),0),0))*IF(Y78="No",IF(ISODD(T78),0.5,-0.5),1),timelineStartColumn-boxDistance * IF(AND(ISNUMBER(V78),V78&gt;1),V78*0.85,1)   ),IF( S78="S",INDEX($AD$4:$AD$503,MATCH(P78,$AB$4:$AB$503,0),1),INDEX($AD$4:$AD$503,MATCH(P78,$AB$4:$AB$503,0),1)&amp;"-"&amp;INDEX($AD$4:$AD$503,MATCH(Q78,$AB$4:$AB$503,0),1))),"")</f>
        <v/>
      </c>
      <c r="AG78" s="133" t="str">
        <f t="shared" si="28"/>
        <v/>
      </c>
      <c r="AH78" s="134" t="str">
        <f t="shared" si="21"/>
        <v/>
      </c>
      <c r="AI78" s="135" t="str">
        <f t="shared" si="22"/>
        <v/>
      </c>
      <c r="AJ78" s="135" t="str">
        <f t="shared" si="29"/>
        <v/>
      </c>
      <c r="AK78" s="126" t="str">
        <f t="shared" si="30"/>
        <v/>
      </c>
      <c r="AL78" s="126" t="str">
        <f ca="1">IFERROR(IF(AK78="","", MATCH(AK78,OFFSET(Icons!$B$5,1,AM78-3,20,1),0)+5),"")</f>
        <v/>
      </c>
      <c r="AM78" s="126" t="str">
        <f t="shared" si="31"/>
        <v/>
      </c>
      <c r="AN78" s="90"/>
      <c r="AW78" s="123">
        <v>9</v>
      </c>
      <c r="AX78" s="172" t="str">
        <f t="array" ref="AX78">IF(INDEX(iconsTable,ROW(AX18)-ROW($AX$3),7)="","",INDEX(iconsTable,ROW(AX18)-ROW($AX$3),7))</f>
        <v>paperplane</v>
      </c>
      <c r="AY78" s="123">
        <f t="shared" si="32"/>
        <v>85</v>
      </c>
      <c r="AZ78" s="137" t="str">
        <f t="shared" si="23"/>
        <v/>
      </c>
    </row>
    <row r="79" spans="5:52" ht="15" customHeight="1" x14ac:dyDescent="0.25">
      <c r="E79" s="126">
        <v>76</v>
      </c>
      <c r="F79" s="126"/>
      <c r="G79" s="127"/>
      <c r="H79" s="127"/>
      <c r="I79" s="126"/>
      <c r="K79" s="137" t="str">
        <f t="shared" si="24"/>
        <v/>
      </c>
      <c r="L79" s="127" t="str">
        <f t="shared" si="18"/>
        <v/>
      </c>
      <c r="N79" s="128" t="str">
        <f t="shared" si="25"/>
        <v/>
      </c>
      <c r="O79" s="126" t="str">
        <f t="array" ref="O79">IFERROR(SMALL(IF(($G$4:$G$253=P79),ROW($G$4:$G$253)-ROW($G$3),"" ),N79),"")</f>
        <v/>
      </c>
      <c r="P79" s="127" t="str">
        <f t="array" ref="P79">IFERROR(SMALL($G$4:$G$253,E79),"")</f>
        <v/>
      </c>
      <c r="Q79" s="127" t="str">
        <f t="shared" si="26"/>
        <v/>
      </c>
      <c r="R79" s="126" t="str">
        <f t="shared" si="27"/>
        <v/>
      </c>
      <c r="S79" s="126" t="str">
        <f t="shared" si="19"/>
        <v/>
      </c>
      <c r="T79" s="128" t="str">
        <f>IF(OR(S79="R",S79=""),"",COUNTIFS($P$4:P79,P79,$S$4:S79,"S")*U79)</f>
        <v/>
      </c>
      <c r="U79" s="128" t="str">
        <f>IF(ISNUMBER(N79),IF($C$11=TRUE,IF(OR(ISODD(COUNTIF($N$4:N79,1)),Y79="Yes"),1,-1),1),"")</f>
        <v/>
      </c>
      <c r="V79" s="128" t="str">
        <f ca="1">IFERROR(IF(AND(S79="R",W79&lt;&gt;""),1,IF(S79="R",MAX(OFFSET(V78,0,0,-1*(ROW(W79)-3-MATCH(MAX($W$4:W78),$W$4:W78,0)),1))+1,"")),"")</f>
        <v/>
      </c>
      <c r="W79" s="129" t="str">
        <f>IFERROR(IF(AND(S79="R", P79&gt;MAX($X$3:X78)),P79,""),"")</f>
        <v/>
      </c>
      <c r="X79" s="129" t="str">
        <f>IFERROR(IF(AND(W79="",Q79&gt;=MAX($X$3:X78)),IF(S79="R",Q79,IF(AND(W79="",P79&lt;=MAX($X$3:X78)),MAX($X$3:X78),"")),IF(W79&lt;&gt;"", Q79,"")),"")</f>
        <v/>
      </c>
      <c r="Y79" s="126" t="str">
        <f>IF(S79="S",IF(OR(P79&lt;=MAX($X$3:X78),P79&gt;=IF(MIN(W$53:$W80)&lt;1,99999999,MIN(W$53:$W80))),"Yes","No"),"")</f>
        <v/>
      </c>
      <c r="AA79" s="130" t="str">
        <f t="shared" si="20"/>
        <v/>
      </c>
      <c r="AB79" s="131" t="str">
        <f t="array" ref="AB79">IF(AA79&lt;=$AA$2,MIN(IF($L$4:$L$503&lt;=AB78,99999999999,$L$4:$L$503)),"")</f>
        <v/>
      </c>
      <c r="AC79" s="130" t="str">
        <f>IF(ISNUMBER(AA79),IF(Dashboard!$H$6&lt;&gt;"Horizontal",AC78+dateDistance,AC78),"")</f>
        <v/>
      </c>
      <c r="AD79" s="130" t="str">
        <f>IF(ISNUMBER(AA79),IF(Dashboard!$H$6="Horizontal",AD78+dateDistance,AD78),"")</f>
        <v/>
      </c>
      <c r="AE79" s="132" t="str">
        <f>IF(ISNUMBER(P79), IF(Dashboard!$H$6="Horizontal",IF(S79="S",INDEX($AC$4:$AC$503,MATCH(P79,$AB$4:$AB$503,0),1)+boxDistance*(T79+IF(Y79="No",IF(ISODD(T79),IF(T79&gt;0,1,-1),0),0))*IF(Y79="No",IF(ISODD(T79),0.5,-0.5),1),timelineStartRow - boxDistance * V79),IF( S79="S",INDEX($AC$4:$AC$503,MATCH(P79,$AB$4:$AB$503,0),1),INDEX($AC$4:$AC$503,MATCH(P79,$AB$4:$AB$503,0),1)&amp;"-"&amp;INDEX($AC$4:$AC$503,MATCH(Q79,$AB$4:$AB$503,0),1))),"")</f>
        <v/>
      </c>
      <c r="AF79" s="132" t="str">
        <f>IF(ISNUMBER(P79), IF(Dashboard!$H$6&lt;&gt;"Horizontal",IF(S79="S",INDEX($AD$4:$AD$503,MATCH(P79,$AB$4:$AB$503,0),1)+boxDistance*(T79+IF(Y79="No",IF(ISODD(T79),IF(T79&gt;0,1,-1),0),0))*IF(Y79="No",IF(ISODD(T79),0.5,-0.5),1),timelineStartColumn-boxDistance * IF(AND(ISNUMBER(V79),V79&gt;1),V79*0.85,1)   ),IF( S79="S",INDEX($AD$4:$AD$503,MATCH(P79,$AB$4:$AB$503,0),1),INDEX($AD$4:$AD$503,MATCH(P79,$AB$4:$AB$503,0),1)&amp;"-"&amp;INDEX($AD$4:$AD$503,MATCH(Q79,$AB$4:$AB$503,0),1))),"")</f>
        <v/>
      </c>
      <c r="AG79" s="133" t="str">
        <f t="shared" si="28"/>
        <v/>
      </c>
      <c r="AH79" s="134" t="str">
        <f t="shared" si="21"/>
        <v/>
      </c>
      <c r="AI79" s="135" t="str">
        <f t="shared" si="22"/>
        <v/>
      </c>
      <c r="AJ79" s="135" t="str">
        <f t="shared" si="29"/>
        <v/>
      </c>
      <c r="AK79" s="126" t="str">
        <f t="shared" si="30"/>
        <v/>
      </c>
      <c r="AL79" s="126" t="str">
        <f ca="1">IFERROR(IF(AK79="","", MATCH(AK79,OFFSET(Icons!$B$5,1,AM79-3,20,1),0)+5),"")</f>
        <v/>
      </c>
      <c r="AM79" s="126" t="str">
        <f t="shared" si="31"/>
        <v/>
      </c>
      <c r="AN79" s="90"/>
      <c r="AW79" s="123">
        <v>9</v>
      </c>
      <c r="AX79" s="172" t="str">
        <f t="array" ref="AX79">IF(INDEX(iconsTable,ROW(AX19)-ROW($AX$3),7)="","",INDEX(iconsTable,ROW(AX19)-ROW($AX$3),7))</f>
        <v/>
      </c>
      <c r="AY79" s="123" t="str">
        <f t="shared" si="32"/>
        <v/>
      </c>
      <c r="AZ79" s="137" t="str">
        <f t="shared" si="23"/>
        <v/>
      </c>
    </row>
    <row r="80" spans="5:52" ht="15" customHeight="1" x14ac:dyDescent="0.25">
      <c r="E80" s="126">
        <v>77</v>
      </c>
      <c r="F80" s="126"/>
      <c r="G80" s="127"/>
      <c r="H80" s="127"/>
      <c r="I80" s="126"/>
      <c r="K80" s="137" t="str">
        <f t="shared" si="24"/>
        <v/>
      </c>
      <c r="L80" s="127" t="str">
        <f t="shared" si="18"/>
        <v/>
      </c>
      <c r="N80" s="128" t="str">
        <f t="shared" si="25"/>
        <v/>
      </c>
      <c r="O80" s="126" t="str">
        <f t="array" ref="O80">IFERROR(SMALL(IF(($G$4:$G$253=P80),ROW($G$4:$G$253)-ROW($G$3),"" ),N80),"")</f>
        <v/>
      </c>
      <c r="P80" s="127" t="str">
        <f t="array" ref="P80">IFERROR(SMALL($G$4:$G$253,E80),"")</f>
        <v/>
      </c>
      <c r="Q80" s="127" t="str">
        <f t="shared" si="26"/>
        <v/>
      </c>
      <c r="R80" s="126" t="str">
        <f t="shared" si="27"/>
        <v/>
      </c>
      <c r="S80" s="126" t="str">
        <f t="shared" si="19"/>
        <v/>
      </c>
      <c r="T80" s="128" t="str">
        <f>IF(OR(S80="R",S80=""),"",COUNTIFS($P$4:P80,P80,$S$4:S80,"S")*U80)</f>
        <v/>
      </c>
      <c r="U80" s="128" t="str">
        <f>IF(ISNUMBER(N80),IF($C$11=TRUE,IF(OR(ISODD(COUNTIF($N$4:N80,1)),Y80="Yes"),1,-1),1),"")</f>
        <v/>
      </c>
      <c r="V80" s="128" t="str">
        <f ca="1">IFERROR(IF(AND(S80="R",W80&lt;&gt;""),1,IF(S80="R",MAX(OFFSET(V79,0,0,-1*(ROW(W80)-3-MATCH(MAX($W$4:W79),$W$4:W79,0)),1))+1,"")),"")</f>
        <v/>
      </c>
      <c r="W80" s="129" t="str">
        <f>IFERROR(IF(AND(S80="R", P80&gt;MAX($X$3:X79)),P80,""),"")</f>
        <v/>
      </c>
      <c r="X80" s="129" t="str">
        <f>IFERROR(IF(AND(W80="",Q80&gt;=MAX($X$3:X79)),IF(S80="R",Q80,IF(AND(W80="",P80&lt;=MAX($X$3:X79)),MAX($X$3:X79),"")),IF(W80&lt;&gt;"", Q80,"")),"")</f>
        <v/>
      </c>
      <c r="Y80" s="126" t="str">
        <f>IF(S80="S",IF(OR(P80&lt;=MAX($X$3:X79),P80&gt;=IF(MIN(W$53:$W81)&lt;1,99999999,MIN(W$53:$W81))),"Yes","No"),"")</f>
        <v/>
      </c>
      <c r="AA80" s="130" t="str">
        <f t="shared" si="20"/>
        <v/>
      </c>
      <c r="AB80" s="131" t="str">
        <f t="array" ref="AB80">IF(AA80&lt;=$AA$2,MIN(IF($L$4:$L$503&lt;=AB79,99999999999,$L$4:$L$503)),"")</f>
        <v/>
      </c>
      <c r="AC80" s="130" t="str">
        <f>IF(ISNUMBER(AA80),IF(Dashboard!$H$6&lt;&gt;"Horizontal",AC79+dateDistance,AC79),"")</f>
        <v/>
      </c>
      <c r="AD80" s="130" t="str">
        <f>IF(ISNUMBER(AA80),IF(Dashboard!$H$6="Horizontal",AD79+dateDistance,AD79),"")</f>
        <v/>
      </c>
      <c r="AE80" s="132" t="str">
        <f>IF(ISNUMBER(P80), IF(Dashboard!$H$6="Horizontal",IF(S80="S",INDEX($AC$4:$AC$503,MATCH(P80,$AB$4:$AB$503,0),1)+boxDistance*(T80+IF(Y80="No",IF(ISODD(T80),IF(T80&gt;0,1,-1),0),0))*IF(Y80="No",IF(ISODD(T80),0.5,-0.5),1),timelineStartRow - boxDistance * V80),IF( S80="S",INDEX($AC$4:$AC$503,MATCH(P80,$AB$4:$AB$503,0),1),INDEX($AC$4:$AC$503,MATCH(P80,$AB$4:$AB$503,0),1)&amp;"-"&amp;INDEX($AC$4:$AC$503,MATCH(Q80,$AB$4:$AB$503,0),1))),"")</f>
        <v/>
      </c>
      <c r="AF80" s="132" t="str">
        <f>IF(ISNUMBER(P80), IF(Dashboard!$H$6&lt;&gt;"Horizontal",IF(S80="S",INDEX($AD$4:$AD$503,MATCH(P80,$AB$4:$AB$503,0),1)+boxDistance*(T80+IF(Y80="No",IF(ISODD(T80),IF(T80&gt;0,1,-1),0),0))*IF(Y80="No",IF(ISODD(T80),0.5,-0.5),1),timelineStartColumn-boxDistance * IF(AND(ISNUMBER(V80),V80&gt;1),V80*0.85,1)   ),IF( S80="S",INDEX($AD$4:$AD$503,MATCH(P80,$AB$4:$AB$503,0),1),INDEX($AD$4:$AD$503,MATCH(P80,$AB$4:$AB$503,0),1)&amp;"-"&amp;INDEX($AD$4:$AD$503,MATCH(Q80,$AB$4:$AB$503,0),1))),"")</f>
        <v/>
      </c>
      <c r="AG80" s="133" t="str">
        <f t="shared" si="28"/>
        <v/>
      </c>
      <c r="AH80" s="134" t="str">
        <f t="shared" si="21"/>
        <v/>
      </c>
      <c r="AI80" s="135" t="str">
        <f t="shared" si="22"/>
        <v/>
      </c>
      <c r="AJ80" s="135" t="str">
        <f t="shared" si="29"/>
        <v/>
      </c>
      <c r="AK80" s="126" t="str">
        <f t="shared" si="30"/>
        <v/>
      </c>
      <c r="AL80" s="126" t="str">
        <f ca="1">IFERROR(IF(AK80="","", MATCH(AK80,OFFSET(Icons!$B$5,1,AM80-3,20,1),0)+5),"")</f>
        <v/>
      </c>
      <c r="AM80" s="126" t="str">
        <f t="shared" si="31"/>
        <v/>
      </c>
      <c r="AN80" s="90"/>
      <c r="AW80" s="123">
        <v>9</v>
      </c>
      <c r="AX80" s="172" t="str">
        <f t="array" ref="AX80">IF(INDEX(iconsTable,ROW(AX20)-ROW($AX$3),7)="","",INDEX(iconsTable,ROW(AX20)-ROW($AX$3),7))</f>
        <v/>
      </c>
      <c r="AY80" s="123" t="str">
        <f t="shared" si="32"/>
        <v/>
      </c>
      <c r="AZ80" s="137" t="str">
        <f t="shared" si="23"/>
        <v/>
      </c>
    </row>
    <row r="81" spans="5:52" ht="15" customHeight="1" x14ac:dyDescent="0.25">
      <c r="E81" s="126">
        <v>78</v>
      </c>
      <c r="F81" s="126"/>
      <c r="G81" s="127"/>
      <c r="H81" s="127"/>
      <c r="I81" s="126"/>
      <c r="K81" s="137" t="str">
        <f t="shared" si="24"/>
        <v/>
      </c>
      <c r="L81" s="127" t="str">
        <f t="shared" si="18"/>
        <v/>
      </c>
      <c r="N81" s="128" t="str">
        <f t="shared" si="25"/>
        <v/>
      </c>
      <c r="O81" s="126" t="str">
        <f t="array" ref="O81">IFERROR(SMALL(IF(($G$4:$G$253=P81),ROW($G$4:$G$253)-ROW($G$3),"" ),N81),"")</f>
        <v/>
      </c>
      <c r="P81" s="127" t="str">
        <f t="array" ref="P81">IFERROR(SMALL($G$4:$G$253,E81),"")</f>
        <v/>
      </c>
      <c r="Q81" s="127" t="str">
        <f t="shared" si="26"/>
        <v/>
      </c>
      <c r="R81" s="126" t="str">
        <f t="shared" si="27"/>
        <v/>
      </c>
      <c r="S81" s="126" t="str">
        <f t="shared" si="19"/>
        <v/>
      </c>
      <c r="T81" s="128" t="str">
        <f>IF(OR(S81="R",S81=""),"",COUNTIFS($P$4:P81,P81,$S$4:S81,"S")*U81)</f>
        <v/>
      </c>
      <c r="U81" s="128" t="str">
        <f>IF(ISNUMBER(N81),IF($C$11=TRUE,IF(OR(ISODD(COUNTIF($N$4:N81,1)),Y81="Yes"),1,-1),1),"")</f>
        <v/>
      </c>
      <c r="V81" s="128" t="str">
        <f ca="1">IFERROR(IF(AND(S81="R",W81&lt;&gt;""),1,IF(S81="R",MAX(OFFSET(V80,0,0,-1*(ROW(W81)-3-MATCH(MAX($W$4:W80),$W$4:W80,0)),1))+1,"")),"")</f>
        <v/>
      </c>
      <c r="W81" s="129" t="str">
        <f>IFERROR(IF(AND(S81="R", P81&gt;MAX($X$3:X80)),P81,""),"")</f>
        <v/>
      </c>
      <c r="X81" s="129" t="str">
        <f>IFERROR(IF(AND(W81="",Q81&gt;=MAX($X$3:X80)),IF(S81="R",Q81,IF(AND(W81="",P81&lt;=MAX($X$3:X80)),MAX($X$3:X80),"")),IF(W81&lt;&gt;"", Q81,"")),"")</f>
        <v/>
      </c>
      <c r="Y81" s="126" t="str">
        <f>IF(S81="S",IF(OR(P81&lt;=MAX($X$3:X80),P81&gt;=IF(MIN(W$53:$W82)&lt;1,99999999,MIN(W$53:$W82))),"Yes","No"),"")</f>
        <v/>
      </c>
      <c r="AA81" s="130" t="str">
        <f t="shared" si="20"/>
        <v/>
      </c>
      <c r="AB81" s="131" t="str">
        <f t="array" ref="AB81">IF(AA81&lt;=$AA$2,MIN(IF($L$4:$L$503&lt;=AB80,99999999999,$L$4:$L$503)),"")</f>
        <v/>
      </c>
      <c r="AC81" s="130" t="str">
        <f>IF(ISNUMBER(AA81),IF(Dashboard!$H$6&lt;&gt;"Horizontal",AC80+dateDistance,AC80),"")</f>
        <v/>
      </c>
      <c r="AD81" s="130" t="str">
        <f>IF(ISNUMBER(AA81),IF(Dashboard!$H$6="Horizontal",AD80+dateDistance,AD80),"")</f>
        <v/>
      </c>
      <c r="AE81" s="132" t="str">
        <f>IF(ISNUMBER(P81), IF(Dashboard!$H$6="Horizontal",IF(S81="S",INDEX($AC$4:$AC$503,MATCH(P81,$AB$4:$AB$503,0),1)+boxDistance*(T81+IF(Y81="No",IF(ISODD(T81),IF(T81&gt;0,1,-1),0),0))*IF(Y81="No",IF(ISODD(T81),0.5,-0.5),1),timelineStartRow - boxDistance * V81),IF( S81="S",INDEX($AC$4:$AC$503,MATCH(P81,$AB$4:$AB$503,0),1),INDEX($AC$4:$AC$503,MATCH(P81,$AB$4:$AB$503,0),1)&amp;"-"&amp;INDEX($AC$4:$AC$503,MATCH(Q81,$AB$4:$AB$503,0),1))),"")</f>
        <v/>
      </c>
      <c r="AF81" s="132" t="str">
        <f>IF(ISNUMBER(P81), IF(Dashboard!$H$6&lt;&gt;"Horizontal",IF(S81="S",INDEX($AD$4:$AD$503,MATCH(P81,$AB$4:$AB$503,0),1)+boxDistance*(T81+IF(Y81="No",IF(ISODD(T81),IF(T81&gt;0,1,-1),0),0))*IF(Y81="No",IF(ISODD(T81),0.5,-0.5),1),timelineStartColumn-boxDistance * IF(AND(ISNUMBER(V81),V81&gt;1),V81*0.85,1)   ),IF( S81="S",INDEX($AD$4:$AD$503,MATCH(P81,$AB$4:$AB$503,0),1),INDEX($AD$4:$AD$503,MATCH(P81,$AB$4:$AB$503,0),1)&amp;"-"&amp;INDEX($AD$4:$AD$503,MATCH(Q81,$AB$4:$AB$503,0),1))),"")</f>
        <v/>
      </c>
      <c r="AG81" s="133" t="str">
        <f t="shared" si="28"/>
        <v/>
      </c>
      <c r="AH81" s="134" t="str">
        <f t="shared" si="21"/>
        <v/>
      </c>
      <c r="AI81" s="135" t="str">
        <f t="shared" si="22"/>
        <v/>
      </c>
      <c r="AJ81" s="135" t="str">
        <f t="shared" si="29"/>
        <v/>
      </c>
      <c r="AK81" s="126" t="str">
        <f t="shared" si="30"/>
        <v/>
      </c>
      <c r="AL81" s="126" t="str">
        <f ca="1">IFERROR(IF(AK81="","", MATCH(AK81,OFFSET(Icons!$B$5,1,AM81-3,20,1),0)+5),"")</f>
        <v/>
      </c>
      <c r="AM81" s="126" t="str">
        <f t="shared" si="31"/>
        <v/>
      </c>
      <c r="AN81" s="90"/>
      <c r="AW81" s="123">
        <v>9</v>
      </c>
      <c r="AX81" s="172" t="str">
        <f t="array" ref="AX81">IF(INDEX(iconsTable,ROW(AX21)-ROW($AX$3),7)="","",INDEX(iconsTable,ROW(AX21)-ROW($AX$3),7))</f>
        <v/>
      </c>
      <c r="AY81" s="123" t="str">
        <f t="shared" si="32"/>
        <v/>
      </c>
      <c r="AZ81" s="137" t="str">
        <f t="shared" si="23"/>
        <v/>
      </c>
    </row>
    <row r="82" spans="5:52" ht="15" customHeight="1" x14ac:dyDescent="0.25">
      <c r="E82" s="126">
        <v>79</v>
      </c>
      <c r="F82" s="126"/>
      <c r="G82" s="127"/>
      <c r="H82" s="127"/>
      <c r="I82" s="126"/>
      <c r="K82" s="137" t="str">
        <f t="shared" si="24"/>
        <v/>
      </c>
      <c r="L82" s="127" t="str">
        <f t="shared" si="18"/>
        <v/>
      </c>
      <c r="N82" s="128" t="str">
        <f t="shared" si="25"/>
        <v/>
      </c>
      <c r="O82" s="126" t="str">
        <f t="array" ref="O82">IFERROR(SMALL(IF(($G$4:$G$253=P82),ROW($G$4:$G$253)-ROW($G$3),"" ),N82),"")</f>
        <v/>
      </c>
      <c r="P82" s="127" t="str">
        <f t="array" ref="P82">IFERROR(SMALL($G$4:$G$253,E82),"")</f>
        <v/>
      </c>
      <c r="Q82" s="127" t="str">
        <f t="shared" si="26"/>
        <v/>
      </c>
      <c r="R82" s="126" t="str">
        <f t="shared" si="27"/>
        <v/>
      </c>
      <c r="S82" s="126" t="str">
        <f t="shared" si="19"/>
        <v/>
      </c>
      <c r="T82" s="128" t="str">
        <f>IF(OR(S82="R",S82=""),"",COUNTIFS($P$4:P82,P82,$S$4:S82,"S")*U82)</f>
        <v/>
      </c>
      <c r="U82" s="128" t="str">
        <f>IF(ISNUMBER(N82),IF($C$11=TRUE,IF(OR(ISODD(COUNTIF($N$4:N82,1)),Y82="Yes"),1,-1),1),"")</f>
        <v/>
      </c>
      <c r="V82" s="128" t="str">
        <f ca="1">IFERROR(IF(AND(S82="R",W82&lt;&gt;""),1,IF(S82="R",MAX(OFFSET(V81,0,0,-1*(ROW(W82)-3-MATCH(MAX($W$4:W81),$W$4:W81,0)),1))+1,"")),"")</f>
        <v/>
      </c>
      <c r="W82" s="129" t="str">
        <f>IFERROR(IF(AND(S82="R", P82&gt;MAX($X$3:X81)),P82,""),"")</f>
        <v/>
      </c>
      <c r="X82" s="129" t="str">
        <f>IFERROR(IF(AND(W82="",Q82&gt;=MAX($X$3:X81)),IF(S82="R",Q82,IF(AND(W82="",P82&lt;=MAX($X$3:X81)),MAX($X$3:X81),"")),IF(W82&lt;&gt;"", Q82,"")),"")</f>
        <v/>
      </c>
      <c r="Y82" s="126" t="str">
        <f>IF(S82="S",IF(OR(P82&lt;=MAX($X$3:X81),P82&gt;=IF(MIN(W$53:$W83)&lt;1,99999999,MIN(W$53:$W83))),"Yes","No"),"")</f>
        <v/>
      </c>
      <c r="AA82" s="130" t="str">
        <f t="shared" si="20"/>
        <v/>
      </c>
      <c r="AB82" s="131" t="str">
        <f t="array" ref="AB82">IF(AA82&lt;=$AA$2,MIN(IF($L$4:$L$503&lt;=AB81,99999999999,$L$4:$L$503)),"")</f>
        <v/>
      </c>
      <c r="AC82" s="130" t="str">
        <f>IF(ISNUMBER(AA82),IF(Dashboard!$H$6&lt;&gt;"Horizontal",AC81+dateDistance,AC81),"")</f>
        <v/>
      </c>
      <c r="AD82" s="130" t="str">
        <f>IF(ISNUMBER(AA82),IF(Dashboard!$H$6="Horizontal",AD81+dateDistance,AD81),"")</f>
        <v/>
      </c>
      <c r="AE82" s="132" t="str">
        <f>IF(ISNUMBER(P82), IF(Dashboard!$H$6="Horizontal",IF(S82="S",INDEX($AC$4:$AC$503,MATCH(P82,$AB$4:$AB$503,0),1)+boxDistance*(T82+IF(Y82="No",IF(ISODD(T82),IF(T82&gt;0,1,-1),0),0))*IF(Y82="No",IF(ISODD(T82),0.5,-0.5),1),timelineStartRow - boxDistance * V82),IF( S82="S",INDEX($AC$4:$AC$503,MATCH(P82,$AB$4:$AB$503,0),1),INDEX($AC$4:$AC$503,MATCH(P82,$AB$4:$AB$503,0),1)&amp;"-"&amp;INDEX($AC$4:$AC$503,MATCH(Q82,$AB$4:$AB$503,0),1))),"")</f>
        <v/>
      </c>
      <c r="AF82" s="132" t="str">
        <f>IF(ISNUMBER(P82), IF(Dashboard!$H$6&lt;&gt;"Horizontal",IF(S82="S",INDEX($AD$4:$AD$503,MATCH(P82,$AB$4:$AB$503,0),1)+boxDistance*(T82+IF(Y82="No",IF(ISODD(T82),IF(T82&gt;0,1,-1),0),0))*IF(Y82="No",IF(ISODD(T82),0.5,-0.5),1),timelineStartColumn-boxDistance * IF(AND(ISNUMBER(V82),V82&gt;1),V82*0.85,1)   ),IF( S82="S",INDEX($AD$4:$AD$503,MATCH(P82,$AB$4:$AB$503,0),1),INDEX($AD$4:$AD$503,MATCH(P82,$AB$4:$AB$503,0),1)&amp;"-"&amp;INDEX($AD$4:$AD$503,MATCH(Q82,$AB$4:$AB$503,0),1))),"")</f>
        <v/>
      </c>
      <c r="AG82" s="133" t="str">
        <f t="shared" si="28"/>
        <v/>
      </c>
      <c r="AH82" s="134" t="str">
        <f t="shared" si="21"/>
        <v/>
      </c>
      <c r="AI82" s="135" t="str">
        <f t="shared" si="22"/>
        <v/>
      </c>
      <c r="AJ82" s="135" t="str">
        <f t="shared" si="29"/>
        <v/>
      </c>
      <c r="AK82" s="126" t="str">
        <f t="shared" si="30"/>
        <v/>
      </c>
      <c r="AL82" s="126" t="str">
        <f ca="1">IFERROR(IF(AK82="","", MATCH(AK82,OFFSET(Icons!$B$5,1,AM82-3,20,1),0)+5),"")</f>
        <v/>
      </c>
      <c r="AM82" s="126" t="str">
        <f t="shared" si="31"/>
        <v/>
      </c>
      <c r="AN82" s="90"/>
      <c r="AW82" s="123">
        <v>9</v>
      </c>
      <c r="AX82" s="172" t="str">
        <f t="array" ref="AX82">IF(INDEX(iconsTable,ROW(AX22)-ROW($AX$3),7)="","",INDEX(iconsTable,ROW(AX22)-ROW($AX$3),7))</f>
        <v/>
      </c>
      <c r="AY82" s="123" t="str">
        <f t="shared" si="32"/>
        <v/>
      </c>
      <c r="AZ82" s="137" t="str">
        <f t="shared" si="23"/>
        <v/>
      </c>
    </row>
    <row r="83" spans="5:52" ht="15" customHeight="1" x14ac:dyDescent="0.25">
      <c r="E83" s="126">
        <v>80</v>
      </c>
      <c r="F83" s="126"/>
      <c r="G83" s="127"/>
      <c r="H83" s="127"/>
      <c r="I83" s="126"/>
      <c r="K83" s="137" t="str">
        <f t="shared" si="24"/>
        <v/>
      </c>
      <c r="L83" s="127" t="str">
        <f t="shared" si="18"/>
        <v/>
      </c>
      <c r="N83" s="128" t="str">
        <f t="shared" si="25"/>
        <v/>
      </c>
      <c r="O83" s="126" t="str">
        <f t="array" ref="O83">IFERROR(SMALL(IF(($G$4:$G$253=P83),ROW($G$4:$G$253)-ROW($G$3),"" ),N83),"")</f>
        <v/>
      </c>
      <c r="P83" s="127" t="str">
        <f t="array" ref="P83">IFERROR(SMALL($G$4:$G$253,E83),"")</f>
        <v/>
      </c>
      <c r="Q83" s="127" t="str">
        <f t="shared" si="26"/>
        <v/>
      </c>
      <c r="R83" s="126" t="str">
        <f t="shared" si="27"/>
        <v/>
      </c>
      <c r="S83" s="126" t="str">
        <f t="shared" si="19"/>
        <v/>
      </c>
      <c r="T83" s="128" t="str">
        <f>IF(OR(S83="R",S83=""),"",COUNTIFS($P$4:P83,P83,$S$4:S83,"S")*U83)</f>
        <v/>
      </c>
      <c r="U83" s="128" t="str">
        <f>IF(ISNUMBER(N83),IF($C$11=TRUE,IF(OR(ISODD(COUNTIF($N$4:N83,1)),Y83="Yes"),1,-1),1),"")</f>
        <v/>
      </c>
      <c r="V83" s="128" t="str">
        <f ca="1">IFERROR(IF(AND(S83="R",W83&lt;&gt;""),1,IF(S83="R",MAX(OFFSET(V82,0,0,-1*(ROW(W83)-3-MATCH(MAX($W$4:W82),$W$4:W82,0)),1))+1,"")),"")</f>
        <v/>
      </c>
      <c r="W83" s="129" t="str">
        <f>IFERROR(IF(AND(S83="R", P83&gt;MAX($X$3:X82)),P83,""),"")</f>
        <v/>
      </c>
      <c r="X83" s="129" t="str">
        <f>IFERROR(IF(AND(W83="",Q83&gt;=MAX($X$3:X82)),IF(S83="R",Q83,IF(AND(W83="",P83&lt;=MAX($X$3:X82)),MAX($X$3:X82),"")),IF(W83&lt;&gt;"", Q83,"")),"")</f>
        <v/>
      </c>
      <c r="Y83" s="126" t="str">
        <f>IF(S83="S",IF(OR(P83&lt;=MAX($X$3:X82),P83&gt;=IF(MIN(W$53:$W84)&lt;1,99999999,MIN(W$53:$W84))),"Yes","No"),"")</f>
        <v/>
      </c>
      <c r="AA83" s="130" t="str">
        <f t="shared" si="20"/>
        <v/>
      </c>
      <c r="AB83" s="131" t="str">
        <f t="array" ref="AB83">IF(AA83&lt;=$AA$2,MIN(IF($L$4:$L$503&lt;=AB82,99999999999,$L$4:$L$503)),"")</f>
        <v/>
      </c>
      <c r="AC83" s="130" t="str">
        <f>IF(ISNUMBER(AA83),IF(Dashboard!$H$6&lt;&gt;"Horizontal",AC82+dateDistance,AC82),"")</f>
        <v/>
      </c>
      <c r="AD83" s="130" t="str">
        <f>IF(ISNUMBER(AA83),IF(Dashboard!$H$6="Horizontal",AD82+dateDistance,AD82),"")</f>
        <v/>
      </c>
      <c r="AE83" s="132" t="str">
        <f>IF(ISNUMBER(P83), IF(Dashboard!$H$6="Horizontal",IF(S83="S",INDEX($AC$4:$AC$503,MATCH(P83,$AB$4:$AB$503,0),1)+boxDistance*(T83+IF(Y83="No",IF(ISODD(T83),IF(T83&gt;0,1,-1),0),0))*IF(Y83="No",IF(ISODD(T83),0.5,-0.5),1),timelineStartRow - boxDistance * V83),IF( S83="S",INDEX($AC$4:$AC$503,MATCH(P83,$AB$4:$AB$503,0),1),INDEX($AC$4:$AC$503,MATCH(P83,$AB$4:$AB$503,0),1)&amp;"-"&amp;INDEX($AC$4:$AC$503,MATCH(Q83,$AB$4:$AB$503,0),1))),"")</f>
        <v/>
      </c>
      <c r="AF83" s="132" t="str">
        <f>IF(ISNUMBER(P83), IF(Dashboard!$H$6&lt;&gt;"Horizontal",IF(S83="S",INDEX($AD$4:$AD$503,MATCH(P83,$AB$4:$AB$503,0),1)+boxDistance*(T83+IF(Y83="No",IF(ISODD(T83),IF(T83&gt;0,1,-1),0),0))*IF(Y83="No",IF(ISODD(T83),0.5,-0.5),1),timelineStartColumn-boxDistance * IF(AND(ISNUMBER(V83),V83&gt;1),V83*0.85,1)   ),IF( S83="S",INDEX($AD$4:$AD$503,MATCH(P83,$AB$4:$AB$503,0),1),INDEX($AD$4:$AD$503,MATCH(P83,$AB$4:$AB$503,0),1)&amp;"-"&amp;INDEX($AD$4:$AD$503,MATCH(Q83,$AB$4:$AB$503,0),1))),"")</f>
        <v/>
      </c>
      <c r="AG83" s="133" t="str">
        <f t="shared" si="28"/>
        <v/>
      </c>
      <c r="AH83" s="134" t="str">
        <f t="shared" si="21"/>
        <v/>
      </c>
      <c r="AI83" s="135" t="str">
        <f t="shared" si="22"/>
        <v/>
      </c>
      <c r="AJ83" s="135" t="str">
        <f t="shared" si="29"/>
        <v/>
      </c>
      <c r="AK83" s="126" t="str">
        <f t="shared" si="30"/>
        <v/>
      </c>
      <c r="AL83" s="126" t="str">
        <f ca="1">IFERROR(IF(AK83="","", MATCH(AK83,OFFSET(Icons!$B$5,1,AM83-3,20,1),0)+5),"")</f>
        <v/>
      </c>
      <c r="AM83" s="126" t="str">
        <f t="shared" si="31"/>
        <v/>
      </c>
      <c r="AN83" s="90"/>
      <c r="AW83" s="123">
        <v>9</v>
      </c>
      <c r="AX83" s="172" t="str">
        <f t="array" ref="AX83">IF(INDEX(iconsTable,ROW(AX23)-ROW($AX$3),7)="","",INDEX(iconsTable,ROW(AX23)-ROW($AX$3),7))</f>
        <v/>
      </c>
      <c r="AY83" s="123" t="str">
        <f t="shared" si="32"/>
        <v/>
      </c>
      <c r="AZ83" s="137" t="str">
        <f t="shared" si="23"/>
        <v/>
      </c>
    </row>
    <row r="84" spans="5:52" ht="15" customHeight="1" x14ac:dyDescent="0.25">
      <c r="E84" s="126">
        <v>81</v>
      </c>
      <c r="F84" s="126"/>
      <c r="G84" s="127"/>
      <c r="H84" s="127"/>
      <c r="I84" s="126"/>
      <c r="K84" s="137" t="str">
        <f t="shared" si="24"/>
        <v/>
      </c>
      <c r="L84" s="127" t="str">
        <f t="shared" si="18"/>
        <v/>
      </c>
      <c r="N84" s="128" t="str">
        <f t="shared" si="25"/>
        <v/>
      </c>
      <c r="O84" s="126" t="str">
        <f t="array" ref="O84">IFERROR(SMALL(IF(($G$4:$G$253=P84),ROW($G$4:$G$253)-ROW($G$3),"" ),N84),"")</f>
        <v/>
      </c>
      <c r="P84" s="127" t="str">
        <f t="array" ref="P84">IFERROR(SMALL($G$4:$G$253,E84),"")</f>
        <v/>
      </c>
      <c r="Q84" s="127" t="str">
        <f t="shared" si="26"/>
        <v/>
      </c>
      <c r="R84" s="126" t="str">
        <f t="shared" si="27"/>
        <v/>
      </c>
      <c r="S84" s="126" t="str">
        <f t="shared" si="19"/>
        <v/>
      </c>
      <c r="T84" s="128" t="str">
        <f>IF(OR(S84="R",S84=""),"",COUNTIFS($P$4:P84,P84,$S$4:S84,"S")*U84)</f>
        <v/>
      </c>
      <c r="U84" s="128" t="str">
        <f>IF(ISNUMBER(N84),IF($C$11=TRUE,IF(OR(ISODD(COUNTIF($N$4:N84,1)),Y84="Yes"),1,-1),1),"")</f>
        <v/>
      </c>
      <c r="V84" s="128" t="str">
        <f ca="1">IFERROR(IF(AND(S84="R",W84&lt;&gt;""),1,IF(S84="R",MAX(OFFSET(V83,0,0,-1*(ROW(W84)-3-MATCH(MAX($W$4:W83),$W$4:W83,0)),1))+1,"")),"")</f>
        <v/>
      </c>
      <c r="W84" s="129" t="str">
        <f>IFERROR(IF(AND(S84="R", P84&gt;MAX($X$3:X83)),P84,""),"")</f>
        <v/>
      </c>
      <c r="X84" s="129" t="str">
        <f>IFERROR(IF(AND(W84="",Q84&gt;=MAX($X$3:X83)),IF(S84="R",Q84,IF(AND(W84="",P84&lt;=MAX($X$3:X83)),MAX($X$3:X83),"")),IF(W84&lt;&gt;"", Q84,"")),"")</f>
        <v/>
      </c>
      <c r="Y84" s="126" t="str">
        <f>IF(S84="S",IF(OR(P84&lt;=MAX($X$3:X83),P84&gt;=IF(MIN(W$53:$W85)&lt;1,99999999,MIN(W$53:$W85))),"Yes","No"),"")</f>
        <v/>
      </c>
      <c r="AA84" s="130" t="str">
        <f t="shared" si="20"/>
        <v/>
      </c>
      <c r="AB84" s="131" t="str">
        <f t="array" ref="AB84">IF(AA84&lt;=$AA$2,MIN(IF($L$4:$L$503&lt;=AB83,99999999999,$L$4:$L$503)),"")</f>
        <v/>
      </c>
      <c r="AC84" s="130" t="str">
        <f>IF(ISNUMBER(AA84),IF(Dashboard!$H$6&lt;&gt;"Horizontal",AC83+dateDistance,AC83),"")</f>
        <v/>
      </c>
      <c r="AD84" s="130" t="str">
        <f>IF(ISNUMBER(AA84),IF(Dashboard!$H$6="Horizontal",AD83+dateDistance,AD83),"")</f>
        <v/>
      </c>
      <c r="AE84" s="132" t="str">
        <f>IF(ISNUMBER(P84), IF(Dashboard!$H$6="Horizontal",IF(S84="S",INDEX($AC$4:$AC$503,MATCH(P84,$AB$4:$AB$503,0),1)+boxDistance*(T84+IF(Y84="No",IF(ISODD(T84),IF(T84&gt;0,1,-1),0),0))*IF(Y84="No",IF(ISODD(T84),0.5,-0.5),1),timelineStartRow - boxDistance * V84),IF( S84="S",INDEX($AC$4:$AC$503,MATCH(P84,$AB$4:$AB$503,0),1),INDEX($AC$4:$AC$503,MATCH(P84,$AB$4:$AB$503,0),1)&amp;"-"&amp;INDEX($AC$4:$AC$503,MATCH(Q84,$AB$4:$AB$503,0),1))),"")</f>
        <v/>
      </c>
      <c r="AF84" s="132" t="str">
        <f>IF(ISNUMBER(P84), IF(Dashboard!$H$6&lt;&gt;"Horizontal",IF(S84="S",INDEX($AD$4:$AD$503,MATCH(P84,$AB$4:$AB$503,0),1)+boxDistance*(T84+IF(Y84="No",IF(ISODD(T84),IF(T84&gt;0,1,-1),0),0))*IF(Y84="No",IF(ISODD(T84),0.5,-0.5),1),timelineStartColumn-boxDistance * IF(AND(ISNUMBER(V84),V84&gt;1),V84*0.85,1)   ),IF( S84="S",INDEX($AD$4:$AD$503,MATCH(P84,$AB$4:$AB$503,0),1),INDEX($AD$4:$AD$503,MATCH(P84,$AB$4:$AB$503,0),1)&amp;"-"&amp;INDEX($AD$4:$AD$503,MATCH(Q84,$AB$4:$AB$503,0),1))),"")</f>
        <v/>
      </c>
      <c r="AG84" s="133" t="str">
        <f t="shared" si="28"/>
        <v/>
      </c>
      <c r="AH84" s="134" t="str">
        <f t="shared" si="21"/>
        <v/>
      </c>
      <c r="AI84" s="135" t="str">
        <f t="shared" si="22"/>
        <v/>
      </c>
      <c r="AJ84" s="135" t="str">
        <f t="shared" si="29"/>
        <v/>
      </c>
      <c r="AK84" s="126" t="str">
        <f t="shared" si="30"/>
        <v/>
      </c>
      <c r="AL84" s="126" t="str">
        <f ca="1">IFERROR(IF(AK84="","", MATCH(AK84,OFFSET(Icons!$B$5,1,AM84-3,20,1),0)+5),"")</f>
        <v/>
      </c>
      <c r="AM84" s="126" t="str">
        <f t="shared" si="31"/>
        <v/>
      </c>
      <c r="AN84" s="90"/>
      <c r="AW84" s="123">
        <v>11</v>
      </c>
      <c r="AX84" s="172" t="str">
        <f t="array" ref="AX84">IF(INDEX(iconsTable,ROW(AX4)-ROW($AX$3),9)="","",INDEX(iconsTable,ROW(AX4)-ROW($AX$3),9))</f>
        <v>partially_sunny</v>
      </c>
      <c r="AY84" s="123">
        <f t="shared" si="32"/>
        <v>86</v>
      </c>
      <c r="AZ84" s="137" t="str">
        <f t="shared" si="23"/>
        <v/>
      </c>
    </row>
    <row r="85" spans="5:52" ht="15" customHeight="1" x14ac:dyDescent="0.25">
      <c r="E85" s="126">
        <v>82</v>
      </c>
      <c r="F85" s="126"/>
      <c r="G85" s="127"/>
      <c r="H85" s="127"/>
      <c r="I85" s="126"/>
      <c r="K85" s="137" t="str">
        <f t="shared" si="24"/>
        <v/>
      </c>
      <c r="L85" s="127" t="str">
        <f t="shared" si="18"/>
        <v/>
      </c>
      <c r="N85" s="128" t="str">
        <f t="shared" si="25"/>
        <v/>
      </c>
      <c r="O85" s="126" t="str">
        <f t="array" ref="O85">IFERROR(SMALL(IF(($G$4:$G$253=P85),ROW($G$4:$G$253)-ROW($G$3),"" ),N85),"")</f>
        <v/>
      </c>
      <c r="P85" s="127" t="str">
        <f t="array" ref="P85">IFERROR(SMALL($G$4:$G$253,E85),"")</f>
        <v/>
      </c>
      <c r="Q85" s="127" t="str">
        <f t="shared" si="26"/>
        <v/>
      </c>
      <c r="R85" s="126" t="str">
        <f t="shared" si="27"/>
        <v/>
      </c>
      <c r="S85" s="126" t="str">
        <f t="shared" si="19"/>
        <v/>
      </c>
      <c r="T85" s="128" t="str">
        <f>IF(OR(S85="R",S85=""),"",COUNTIFS($P$4:P85,P85,$S$4:S85,"S")*U85)</f>
        <v/>
      </c>
      <c r="U85" s="128" t="str">
        <f>IF(ISNUMBER(N85),IF($C$11=TRUE,IF(OR(ISODD(COUNTIF($N$4:N85,1)),Y85="Yes"),1,-1),1),"")</f>
        <v/>
      </c>
      <c r="V85" s="128" t="str">
        <f ca="1">IFERROR(IF(AND(S85="R",W85&lt;&gt;""),1,IF(S85="R",MAX(OFFSET(V84,0,0,-1*(ROW(W85)-3-MATCH(MAX($W$4:W84),$W$4:W84,0)),1))+1,"")),"")</f>
        <v/>
      </c>
      <c r="W85" s="129" t="str">
        <f>IFERROR(IF(AND(S85="R", P85&gt;MAX($X$3:X84)),P85,""),"")</f>
        <v/>
      </c>
      <c r="X85" s="129" t="str">
        <f>IFERROR(IF(AND(W85="",Q85&gt;=MAX($X$3:X84)),IF(S85="R",Q85,IF(AND(W85="",P85&lt;=MAX($X$3:X84)),MAX($X$3:X84),"")),IF(W85&lt;&gt;"", Q85,"")),"")</f>
        <v/>
      </c>
      <c r="Y85" s="126" t="str">
        <f>IF(S85="S",IF(OR(P85&lt;=MAX($X$3:X84),P85&gt;=IF(MIN(W$53:$W86)&lt;1,99999999,MIN(W$53:$W86))),"Yes","No"),"")</f>
        <v/>
      </c>
      <c r="AA85" s="130" t="str">
        <f t="shared" si="20"/>
        <v/>
      </c>
      <c r="AB85" s="131" t="str">
        <f t="array" ref="AB85">IF(AA85&lt;=$AA$2,MIN(IF($L$4:$L$503&lt;=AB84,99999999999,$L$4:$L$503)),"")</f>
        <v/>
      </c>
      <c r="AC85" s="130" t="str">
        <f>IF(ISNUMBER(AA85),IF(Dashboard!$H$6&lt;&gt;"Horizontal",AC84+dateDistance,AC84),"")</f>
        <v/>
      </c>
      <c r="AD85" s="130" t="str">
        <f>IF(ISNUMBER(AA85),IF(Dashboard!$H$6="Horizontal",AD84+dateDistance,AD84),"")</f>
        <v/>
      </c>
      <c r="AE85" s="132" t="str">
        <f>IF(ISNUMBER(P85), IF(Dashboard!$H$6="Horizontal",IF(S85="S",INDEX($AC$4:$AC$503,MATCH(P85,$AB$4:$AB$503,0),1)+boxDistance*(T85+IF(Y85="No",IF(ISODD(T85),IF(T85&gt;0,1,-1),0),0))*IF(Y85="No",IF(ISODD(T85),0.5,-0.5),1),timelineStartRow - boxDistance * V85),IF( S85="S",INDEX($AC$4:$AC$503,MATCH(P85,$AB$4:$AB$503,0),1),INDEX($AC$4:$AC$503,MATCH(P85,$AB$4:$AB$503,0),1)&amp;"-"&amp;INDEX($AC$4:$AC$503,MATCH(Q85,$AB$4:$AB$503,0),1))),"")</f>
        <v/>
      </c>
      <c r="AF85" s="132" t="str">
        <f>IF(ISNUMBER(P85), IF(Dashboard!$H$6&lt;&gt;"Horizontal",IF(S85="S",INDEX($AD$4:$AD$503,MATCH(P85,$AB$4:$AB$503,0),1)+boxDistance*(T85+IF(Y85="No",IF(ISODD(T85),IF(T85&gt;0,1,-1),0),0))*IF(Y85="No",IF(ISODD(T85),0.5,-0.5),1),timelineStartColumn-boxDistance * IF(AND(ISNUMBER(V85),V85&gt;1),V85*0.85,1)   ),IF( S85="S",INDEX($AD$4:$AD$503,MATCH(P85,$AB$4:$AB$503,0),1),INDEX($AD$4:$AD$503,MATCH(P85,$AB$4:$AB$503,0),1)&amp;"-"&amp;INDEX($AD$4:$AD$503,MATCH(Q85,$AB$4:$AB$503,0),1))),"")</f>
        <v/>
      </c>
      <c r="AG85" s="133" t="str">
        <f t="shared" si="28"/>
        <v/>
      </c>
      <c r="AH85" s="134" t="str">
        <f t="shared" si="21"/>
        <v/>
      </c>
      <c r="AI85" s="135" t="str">
        <f t="shared" si="22"/>
        <v/>
      </c>
      <c r="AJ85" s="135" t="str">
        <f t="shared" si="29"/>
        <v/>
      </c>
      <c r="AK85" s="126" t="str">
        <f t="shared" si="30"/>
        <v/>
      </c>
      <c r="AL85" s="126" t="str">
        <f ca="1">IFERROR(IF(AK85="","", MATCH(AK85,OFFSET(Icons!$B$5,1,AM85-3,20,1),0)+5),"")</f>
        <v/>
      </c>
      <c r="AM85" s="126" t="str">
        <f t="shared" si="31"/>
        <v/>
      </c>
      <c r="AN85" s="90"/>
      <c r="AW85" s="123">
        <v>11</v>
      </c>
      <c r="AX85" s="172" t="str">
        <f t="array" ref="AX85">IF(INDEX(iconsTable,ROW(AX5)-ROW($AX$3),9)="","",INDEX(iconsTable,ROW(AX5)-ROW($AX$3),9))</f>
        <v>peace</v>
      </c>
      <c r="AY85" s="123">
        <f t="shared" si="32"/>
        <v>87</v>
      </c>
      <c r="AZ85" s="137" t="str">
        <f t="shared" si="23"/>
        <v/>
      </c>
    </row>
    <row r="86" spans="5:52" ht="15" customHeight="1" x14ac:dyDescent="0.25">
      <c r="E86" s="126">
        <v>83</v>
      </c>
      <c r="F86" s="126"/>
      <c r="G86" s="127"/>
      <c r="H86" s="127"/>
      <c r="I86" s="126"/>
      <c r="K86" s="137" t="str">
        <f t="shared" si="24"/>
        <v/>
      </c>
      <c r="L86" s="127" t="str">
        <f t="shared" si="18"/>
        <v/>
      </c>
      <c r="N86" s="128" t="str">
        <f t="shared" si="25"/>
        <v/>
      </c>
      <c r="O86" s="126" t="str">
        <f t="array" ref="O86">IFERROR(SMALL(IF(($G$4:$G$253=P86),ROW($G$4:$G$253)-ROW($G$3),"" ),N86),"")</f>
        <v/>
      </c>
      <c r="P86" s="127" t="str">
        <f t="array" ref="P86">IFERROR(SMALL($G$4:$G$253,E86),"")</f>
        <v/>
      </c>
      <c r="Q86" s="127" t="str">
        <f t="shared" si="26"/>
        <v/>
      </c>
      <c r="R86" s="126" t="str">
        <f t="shared" si="27"/>
        <v/>
      </c>
      <c r="S86" s="126" t="str">
        <f t="shared" si="19"/>
        <v/>
      </c>
      <c r="T86" s="128" t="str">
        <f>IF(OR(S86="R",S86=""),"",COUNTIFS($P$4:P86,P86,$S$4:S86,"S")*U86)</f>
        <v/>
      </c>
      <c r="U86" s="128" t="str">
        <f>IF(ISNUMBER(N86),IF($C$11=TRUE,IF(OR(ISODD(COUNTIF($N$4:N86,1)),Y86="Yes"),1,-1),1),"")</f>
        <v/>
      </c>
      <c r="V86" s="128" t="str">
        <f ca="1">IFERROR(IF(AND(S86="R",W86&lt;&gt;""),1,IF(S86="R",MAX(OFFSET(V85,0,0,-1*(ROW(W86)-3-MATCH(MAX($W$4:W85),$W$4:W85,0)),1))+1,"")),"")</f>
        <v/>
      </c>
      <c r="W86" s="129" t="str">
        <f>IFERROR(IF(AND(S86="R", P86&gt;MAX($X$3:X85)),P86,""),"")</f>
        <v/>
      </c>
      <c r="X86" s="129" t="str">
        <f>IFERROR(IF(AND(W86="",Q86&gt;=MAX($X$3:X85)),IF(S86="R",Q86,IF(AND(W86="",P86&lt;=MAX($X$3:X85)),MAX($X$3:X85),"")),IF(W86&lt;&gt;"", Q86,"")),"")</f>
        <v/>
      </c>
      <c r="Y86" s="126" t="str">
        <f>IF(S86="S",IF(OR(P86&lt;=MAX($X$3:X85),P86&gt;=IF(MIN(W$53:$W87)&lt;1,99999999,MIN(W$53:$W87))),"Yes","No"),"")</f>
        <v/>
      </c>
      <c r="AA86" s="130" t="str">
        <f t="shared" si="20"/>
        <v/>
      </c>
      <c r="AB86" s="131" t="str">
        <f t="array" ref="AB86">IF(AA86&lt;=$AA$2,MIN(IF($L$4:$L$503&lt;=AB85,99999999999,$L$4:$L$503)),"")</f>
        <v/>
      </c>
      <c r="AC86" s="130" t="str">
        <f>IF(ISNUMBER(AA86),IF(Dashboard!$H$6&lt;&gt;"Horizontal",AC85+dateDistance,AC85),"")</f>
        <v/>
      </c>
      <c r="AD86" s="130" t="str">
        <f>IF(ISNUMBER(AA86),IF(Dashboard!$H$6="Horizontal",AD85+dateDistance,AD85),"")</f>
        <v/>
      </c>
      <c r="AE86" s="132" t="str">
        <f>IF(ISNUMBER(P86), IF(Dashboard!$H$6="Horizontal",IF(S86="S",INDEX($AC$4:$AC$503,MATCH(P86,$AB$4:$AB$503,0),1)+boxDistance*(T86+IF(Y86="No",IF(ISODD(T86),IF(T86&gt;0,1,-1),0),0))*IF(Y86="No",IF(ISODD(T86),0.5,-0.5),1),timelineStartRow - boxDistance * V86),IF( S86="S",INDEX($AC$4:$AC$503,MATCH(P86,$AB$4:$AB$503,0),1),INDEX($AC$4:$AC$503,MATCH(P86,$AB$4:$AB$503,0),1)&amp;"-"&amp;INDEX($AC$4:$AC$503,MATCH(Q86,$AB$4:$AB$503,0),1))),"")</f>
        <v/>
      </c>
      <c r="AF86" s="132" t="str">
        <f>IF(ISNUMBER(P86), IF(Dashboard!$H$6&lt;&gt;"Horizontal",IF(S86="S",INDEX($AD$4:$AD$503,MATCH(P86,$AB$4:$AB$503,0),1)+boxDistance*(T86+IF(Y86="No",IF(ISODD(T86),IF(T86&gt;0,1,-1),0),0))*IF(Y86="No",IF(ISODD(T86),0.5,-0.5),1),timelineStartColumn-boxDistance * IF(AND(ISNUMBER(V86),V86&gt;1),V86*0.85,1)   ),IF( S86="S",INDEX($AD$4:$AD$503,MATCH(P86,$AB$4:$AB$503,0),1),INDEX($AD$4:$AD$503,MATCH(P86,$AB$4:$AB$503,0),1)&amp;"-"&amp;INDEX($AD$4:$AD$503,MATCH(Q86,$AB$4:$AB$503,0),1))),"")</f>
        <v/>
      </c>
      <c r="AG86" s="133" t="str">
        <f t="shared" si="28"/>
        <v/>
      </c>
      <c r="AH86" s="134" t="str">
        <f t="shared" si="21"/>
        <v/>
      </c>
      <c r="AI86" s="135" t="str">
        <f t="shared" si="22"/>
        <v/>
      </c>
      <c r="AJ86" s="135" t="str">
        <f t="shared" si="29"/>
        <v/>
      </c>
      <c r="AK86" s="126" t="str">
        <f t="shared" si="30"/>
        <v/>
      </c>
      <c r="AL86" s="126" t="str">
        <f ca="1">IFERROR(IF(AK86="","", MATCH(AK86,OFFSET(Icons!$B$5,1,AM86-3,20,1),0)+5),"")</f>
        <v/>
      </c>
      <c r="AM86" s="126" t="str">
        <f t="shared" si="31"/>
        <v/>
      </c>
      <c r="AN86" s="90"/>
      <c r="AW86" s="123">
        <v>11</v>
      </c>
      <c r="AX86" s="172" t="str">
        <f t="array" ref="AX86">IF(INDEX(iconsTable,ROW(AX6)-ROW($AX$3),9)="","",INDEX(iconsTable,ROW(AX6)-ROW($AX$3),9))</f>
        <v>pigeon</v>
      </c>
      <c r="AY86" s="123">
        <f t="shared" si="32"/>
        <v>88</v>
      </c>
      <c r="AZ86" s="137" t="str">
        <f t="shared" si="23"/>
        <v/>
      </c>
    </row>
    <row r="87" spans="5:52" ht="15" customHeight="1" x14ac:dyDescent="0.25">
      <c r="E87" s="126">
        <v>84</v>
      </c>
      <c r="F87" s="126"/>
      <c r="G87" s="127"/>
      <c r="H87" s="127"/>
      <c r="I87" s="126"/>
      <c r="K87" s="137" t="str">
        <f t="shared" si="24"/>
        <v/>
      </c>
      <c r="L87" s="127" t="str">
        <f t="shared" si="18"/>
        <v/>
      </c>
      <c r="N87" s="128" t="str">
        <f t="shared" si="25"/>
        <v/>
      </c>
      <c r="O87" s="126" t="str">
        <f t="array" ref="O87">IFERROR(SMALL(IF(($G$4:$G$253=P87),ROW($G$4:$G$253)-ROW($G$3),"" ),N87),"")</f>
        <v/>
      </c>
      <c r="P87" s="127" t="str">
        <f t="array" ref="P87">IFERROR(SMALL($G$4:$G$253,E87),"")</f>
        <v/>
      </c>
      <c r="Q87" s="127" t="str">
        <f t="shared" si="26"/>
        <v/>
      </c>
      <c r="R87" s="126" t="str">
        <f t="shared" si="27"/>
        <v/>
      </c>
      <c r="S87" s="126" t="str">
        <f t="shared" si="19"/>
        <v/>
      </c>
      <c r="T87" s="128" t="str">
        <f>IF(OR(S87="R",S87=""),"",COUNTIFS($P$4:P87,P87,$S$4:S87,"S")*U87)</f>
        <v/>
      </c>
      <c r="U87" s="128" t="str">
        <f>IF(ISNUMBER(N87),IF($C$11=TRUE,IF(OR(ISODD(COUNTIF($N$4:N87,1)),Y87="Yes"),1,-1),1),"")</f>
        <v/>
      </c>
      <c r="V87" s="128" t="str">
        <f ca="1">IFERROR(IF(AND(S87="R",W87&lt;&gt;""),1,IF(S87="R",MAX(OFFSET(V86,0,0,-1*(ROW(W87)-3-MATCH(MAX($W$4:W86),$W$4:W86,0)),1))+1,"")),"")</f>
        <v/>
      </c>
      <c r="W87" s="129" t="str">
        <f>IFERROR(IF(AND(S87="R", P87&gt;MAX($X$3:X86)),P87,""),"")</f>
        <v/>
      </c>
      <c r="X87" s="129" t="str">
        <f>IFERROR(IF(AND(W87="",Q87&gt;=MAX($X$3:X86)),IF(S87="R",Q87,IF(AND(W87="",P87&lt;=MAX($X$3:X86)),MAX($X$3:X86),"")),IF(W87&lt;&gt;"", Q87,"")),"")</f>
        <v/>
      </c>
      <c r="Y87" s="126" t="str">
        <f>IF(S87="S",IF(OR(P87&lt;=MAX($X$3:X86),P87&gt;=IF(MIN(W$53:$W88)&lt;1,99999999,MIN(W$53:$W88))),"Yes","No"),"")</f>
        <v/>
      </c>
      <c r="AA87" s="130" t="str">
        <f t="shared" si="20"/>
        <v/>
      </c>
      <c r="AB87" s="131" t="str">
        <f t="array" ref="AB87">IF(AA87&lt;=$AA$2,MIN(IF($L$4:$L$503&lt;=AB86,99999999999,$L$4:$L$503)),"")</f>
        <v/>
      </c>
      <c r="AC87" s="130" t="str">
        <f>IF(ISNUMBER(AA87),IF(Dashboard!$H$6&lt;&gt;"Horizontal",AC86+dateDistance,AC86),"")</f>
        <v/>
      </c>
      <c r="AD87" s="130" t="str">
        <f>IF(ISNUMBER(AA87),IF(Dashboard!$H$6="Horizontal",AD86+dateDistance,AD86),"")</f>
        <v/>
      </c>
      <c r="AE87" s="132" t="str">
        <f>IF(ISNUMBER(P87), IF(Dashboard!$H$6="Horizontal",IF(S87="S",INDEX($AC$4:$AC$503,MATCH(P87,$AB$4:$AB$503,0),1)+boxDistance*(T87+IF(Y87="No",IF(ISODD(T87),IF(T87&gt;0,1,-1),0),0))*IF(Y87="No",IF(ISODD(T87),0.5,-0.5),1),timelineStartRow - boxDistance * V87),IF( S87="S",INDEX($AC$4:$AC$503,MATCH(P87,$AB$4:$AB$503,0),1),INDEX($AC$4:$AC$503,MATCH(P87,$AB$4:$AB$503,0),1)&amp;"-"&amp;INDEX($AC$4:$AC$503,MATCH(Q87,$AB$4:$AB$503,0),1))),"")</f>
        <v/>
      </c>
      <c r="AF87" s="132" t="str">
        <f>IF(ISNUMBER(P87), IF(Dashboard!$H$6&lt;&gt;"Horizontal",IF(S87="S",INDEX($AD$4:$AD$503,MATCH(P87,$AB$4:$AB$503,0),1)+boxDistance*(T87+IF(Y87="No",IF(ISODD(T87),IF(T87&gt;0,1,-1),0),0))*IF(Y87="No",IF(ISODD(T87),0.5,-0.5),1),timelineStartColumn-boxDistance * IF(AND(ISNUMBER(V87),V87&gt;1),V87*0.85,1)   ),IF( S87="S",INDEX($AD$4:$AD$503,MATCH(P87,$AB$4:$AB$503,0),1),INDEX($AD$4:$AD$503,MATCH(P87,$AB$4:$AB$503,0),1)&amp;"-"&amp;INDEX($AD$4:$AD$503,MATCH(Q87,$AB$4:$AB$503,0),1))),"")</f>
        <v/>
      </c>
      <c r="AG87" s="133" t="str">
        <f t="shared" si="28"/>
        <v/>
      </c>
      <c r="AH87" s="134" t="str">
        <f t="shared" si="21"/>
        <v/>
      </c>
      <c r="AI87" s="135" t="str">
        <f t="shared" si="22"/>
        <v/>
      </c>
      <c r="AJ87" s="135" t="str">
        <f t="shared" si="29"/>
        <v/>
      </c>
      <c r="AK87" s="126" t="str">
        <f t="shared" si="30"/>
        <v/>
      </c>
      <c r="AL87" s="126" t="str">
        <f ca="1">IFERROR(IF(AK87="","", MATCH(AK87,OFFSET(Icons!$B$5,1,AM87-3,20,1),0)+5),"")</f>
        <v/>
      </c>
      <c r="AM87" s="126" t="str">
        <f t="shared" si="31"/>
        <v/>
      </c>
      <c r="AN87" s="90"/>
      <c r="AW87" s="123">
        <v>11</v>
      </c>
      <c r="AX87" s="172" t="str">
        <f t="array" ref="AX87">IF(INDEX(iconsTable,ROW(AX7)-ROW($AX$3),9)="","",INDEX(iconsTable,ROW(AX7)-ROW($AX$3),9))</f>
        <v>pills</v>
      </c>
      <c r="AY87" s="123">
        <f t="shared" si="32"/>
        <v>89</v>
      </c>
      <c r="AZ87" s="137" t="str">
        <f t="shared" si="23"/>
        <v/>
      </c>
    </row>
    <row r="88" spans="5:52" ht="15" customHeight="1" x14ac:dyDescent="0.25">
      <c r="E88" s="126">
        <v>85</v>
      </c>
      <c r="F88" s="126"/>
      <c r="G88" s="127"/>
      <c r="H88" s="127"/>
      <c r="I88" s="126"/>
      <c r="K88" s="137" t="str">
        <f t="shared" si="24"/>
        <v/>
      </c>
      <c r="L88" s="127" t="str">
        <f t="shared" si="18"/>
        <v/>
      </c>
      <c r="N88" s="128" t="str">
        <f t="shared" si="25"/>
        <v/>
      </c>
      <c r="O88" s="126" t="str">
        <f t="array" ref="O88">IFERROR(SMALL(IF(($G$4:$G$253=P88),ROW($G$4:$G$253)-ROW($G$3),"" ),N88),"")</f>
        <v/>
      </c>
      <c r="P88" s="127" t="str">
        <f t="array" ref="P88">IFERROR(SMALL($G$4:$G$253,E88),"")</f>
        <v/>
      </c>
      <c r="Q88" s="127" t="str">
        <f t="shared" si="26"/>
        <v/>
      </c>
      <c r="R88" s="126" t="str">
        <f t="shared" si="27"/>
        <v/>
      </c>
      <c r="S88" s="126" t="str">
        <f t="shared" si="19"/>
        <v/>
      </c>
      <c r="T88" s="128" t="str">
        <f>IF(OR(S88="R",S88=""),"",COUNTIFS($P$4:P88,P88,$S$4:S88,"S")*U88)</f>
        <v/>
      </c>
      <c r="U88" s="128" t="str">
        <f>IF(ISNUMBER(N88),IF($C$11=TRUE,IF(OR(ISODD(COUNTIF($N$4:N88,1)),Y88="Yes"),1,-1),1),"")</f>
        <v/>
      </c>
      <c r="V88" s="128" t="str">
        <f ca="1">IFERROR(IF(AND(S88="R",W88&lt;&gt;""),1,IF(S88="R",MAX(OFFSET(V87,0,0,-1*(ROW(W88)-3-MATCH(MAX($W$4:W87),$W$4:W87,0)),1))+1,"")),"")</f>
        <v/>
      </c>
      <c r="W88" s="129" t="str">
        <f>IFERROR(IF(AND(S88="R", P88&gt;MAX($X$3:X87)),P88,""),"")</f>
        <v/>
      </c>
      <c r="X88" s="129" t="str">
        <f>IFERROR(IF(AND(W88="",Q88&gt;=MAX($X$3:X87)),IF(S88="R",Q88,IF(AND(W88="",P88&lt;=MAX($X$3:X87)),MAX($X$3:X87),"")),IF(W88&lt;&gt;"", Q88,"")),"")</f>
        <v/>
      </c>
      <c r="Y88" s="126" t="str">
        <f>IF(S88="S",IF(OR(P88&lt;=MAX($X$3:X87),P88&gt;=IF(MIN(W$53:$W89)&lt;1,99999999,MIN(W$53:$W89))),"Yes","No"),"")</f>
        <v/>
      </c>
      <c r="AA88" s="130" t="str">
        <f t="shared" si="20"/>
        <v/>
      </c>
      <c r="AB88" s="131" t="str">
        <f t="array" ref="AB88">IF(AA88&lt;=$AA$2,MIN(IF($L$4:$L$503&lt;=AB87,99999999999,$L$4:$L$503)),"")</f>
        <v/>
      </c>
      <c r="AC88" s="130" t="str">
        <f>IF(ISNUMBER(AA88),IF(Dashboard!$H$6&lt;&gt;"Horizontal",AC87+dateDistance,AC87),"")</f>
        <v/>
      </c>
      <c r="AD88" s="130" t="str">
        <f>IF(ISNUMBER(AA88),IF(Dashboard!$H$6="Horizontal",AD87+dateDistance,AD87),"")</f>
        <v/>
      </c>
      <c r="AE88" s="132" t="str">
        <f>IF(ISNUMBER(P88), IF(Dashboard!$H$6="Horizontal",IF(S88="S",INDEX($AC$4:$AC$503,MATCH(P88,$AB$4:$AB$503,0),1)+boxDistance*(T88+IF(Y88="No",IF(ISODD(T88),IF(T88&gt;0,1,-1),0),0))*IF(Y88="No",IF(ISODD(T88),0.5,-0.5),1),timelineStartRow - boxDistance * V88),IF( S88="S",INDEX($AC$4:$AC$503,MATCH(P88,$AB$4:$AB$503,0),1),INDEX($AC$4:$AC$503,MATCH(P88,$AB$4:$AB$503,0),1)&amp;"-"&amp;INDEX($AC$4:$AC$503,MATCH(Q88,$AB$4:$AB$503,0),1))),"")</f>
        <v/>
      </c>
      <c r="AF88" s="132" t="str">
        <f>IF(ISNUMBER(P88), IF(Dashboard!$H$6&lt;&gt;"Horizontal",IF(S88="S",INDEX($AD$4:$AD$503,MATCH(P88,$AB$4:$AB$503,0),1)+boxDistance*(T88+IF(Y88="No",IF(ISODD(T88),IF(T88&gt;0,1,-1),0),0))*IF(Y88="No",IF(ISODD(T88),0.5,-0.5),1),timelineStartColumn-boxDistance * IF(AND(ISNUMBER(V88),V88&gt;1),V88*0.85,1)   ),IF( S88="S",INDEX($AD$4:$AD$503,MATCH(P88,$AB$4:$AB$503,0),1),INDEX($AD$4:$AD$503,MATCH(P88,$AB$4:$AB$503,0),1)&amp;"-"&amp;INDEX($AD$4:$AD$503,MATCH(Q88,$AB$4:$AB$503,0),1))),"")</f>
        <v/>
      </c>
      <c r="AG88" s="133" t="str">
        <f t="shared" si="28"/>
        <v/>
      </c>
      <c r="AH88" s="134" t="str">
        <f t="shared" si="21"/>
        <v/>
      </c>
      <c r="AI88" s="135" t="str">
        <f t="shared" si="22"/>
        <v/>
      </c>
      <c r="AJ88" s="135" t="str">
        <f t="shared" si="29"/>
        <v/>
      </c>
      <c r="AK88" s="126" t="str">
        <f t="shared" si="30"/>
        <v/>
      </c>
      <c r="AL88" s="126" t="str">
        <f ca="1">IFERROR(IF(AK88="","", MATCH(AK88,OFFSET(Icons!$B$5,1,AM88-3,20,1),0)+5),"")</f>
        <v/>
      </c>
      <c r="AM88" s="126" t="str">
        <f t="shared" si="31"/>
        <v/>
      </c>
      <c r="AN88" s="90"/>
      <c r="AW88" s="123">
        <v>11</v>
      </c>
      <c r="AX88" s="172" t="str">
        <f t="array" ref="AX88">IF(INDEX(iconsTable,ROW(AX8)-ROW($AX$3),9)="","",INDEX(iconsTable,ROW(AX8)-ROW($AX$3),9))</f>
        <v>pizza</v>
      </c>
      <c r="AY88" s="123">
        <f t="shared" si="32"/>
        <v>90</v>
      </c>
      <c r="AZ88" s="137" t="str">
        <f t="shared" si="23"/>
        <v/>
      </c>
    </row>
    <row r="89" spans="5:52" ht="15" customHeight="1" x14ac:dyDescent="0.25">
      <c r="E89" s="126">
        <v>86</v>
      </c>
      <c r="F89" s="126"/>
      <c r="G89" s="127"/>
      <c r="H89" s="127"/>
      <c r="I89" s="126"/>
      <c r="K89" s="137" t="str">
        <f t="shared" si="24"/>
        <v/>
      </c>
      <c r="L89" s="127" t="str">
        <f t="shared" si="18"/>
        <v/>
      </c>
      <c r="N89" s="128" t="str">
        <f t="shared" si="25"/>
        <v/>
      </c>
      <c r="O89" s="126" t="str">
        <f t="array" ref="O89">IFERROR(SMALL(IF(($G$4:$G$253=P89),ROW($G$4:$G$253)-ROW($G$3),"" ),N89),"")</f>
        <v/>
      </c>
      <c r="P89" s="127" t="str">
        <f t="array" ref="P89">IFERROR(SMALL($G$4:$G$253,E89),"")</f>
        <v/>
      </c>
      <c r="Q89" s="127" t="str">
        <f t="shared" si="26"/>
        <v/>
      </c>
      <c r="R89" s="126" t="str">
        <f t="shared" si="27"/>
        <v/>
      </c>
      <c r="S89" s="126" t="str">
        <f t="shared" si="19"/>
        <v/>
      </c>
      <c r="T89" s="128" t="str">
        <f>IF(OR(S89="R",S89=""),"",COUNTIFS($P$4:P89,P89,$S$4:S89,"S")*U89)</f>
        <v/>
      </c>
      <c r="U89" s="128" t="str">
        <f>IF(ISNUMBER(N89),IF($C$11=TRUE,IF(OR(ISODD(COUNTIF($N$4:N89,1)),Y89="Yes"),1,-1),1),"")</f>
        <v/>
      </c>
      <c r="V89" s="128" t="str">
        <f ca="1">IFERROR(IF(AND(S89="R",W89&lt;&gt;""),1,IF(S89="R",MAX(OFFSET(V88,0,0,-1*(ROW(W89)-3-MATCH(MAX($W$4:W88),$W$4:W88,0)),1))+1,"")),"")</f>
        <v/>
      </c>
      <c r="W89" s="129" t="str">
        <f>IFERROR(IF(AND(S89="R", P89&gt;MAX($X$3:X88)),P89,""),"")</f>
        <v/>
      </c>
      <c r="X89" s="129" t="str">
        <f>IFERROR(IF(AND(W89="",Q89&gt;=MAX($X$3:X88)),IF(S89="R",Q89,IF(AND(W89="",P89&lt;=MAX($X$3:X88)),MAX($X$3:X88),"")),IF(W89&lt;&gt;"", Q89,"")),"")</f>
        <v/>
      </c>
      <c r="Y89" s="126" t="str">
        <f>IF(S89="S",IF(OR(P89&lt;=MAX($X$3:X88),P89&gt;=IF(MIN(W$53:$W90)&lt;1,99999999,MIN(W$53:$W90))),"Yes","No"),"")</f>
        <v/>
      </c>
      <c r="AA89" s="130" t="str">
        <f t="shared" si="20"/>
        <v/>
      </c>
      <c r="AB89" s="131" t="str">
        <f t="array" ref="AB89">IF(AA89&lt;=$AA$2,MIN(IF($L$4:$L$503&lt;=AB88,99999999999,$L$4:$L$503)),"")</f>
        <v/>
      </c>
      <c r="AC89" s="130" t="str">
        <f>IF(ISNUMBER(AA89),IF(Dashboard!$H$6&lt;&gt;"Horizontal",AC88+dateDistance,AC88),"")</f>
        <v/>
      </c>
      <c r="AD89" s="130" t="str">
        <f>IF(ISNUMBER(AA89),IF(Dashboard!$H$6="Horizontal",AD88+dateDistance,AD88),"")</f>
        <v/>
      </c>
      <c r="AE89" s="132" t="str">
        <f>IF(ISNUMBER(P89), IF(Dashboard!$H$6="Horizontal",IF(S89="S",INDEX($AC$4:$AC$503,MATCH(P89,$AB$4:$AB$503,0),1)+boxDistance*(T89+IF(Y89="No",IF(ISODD(T89),IF(T89&gt;0,1,-1),0),0))*IF(Y89="No",IF(ISODD(T89),0.5,-0.5),1),timelineStartRow - boxDistance * V89),IF( S89="S",INDEX($AC$4:$AC$503,MATCH(P89,$AB$4:$AB$503,0),1),INDEX($AC$4:$AC$503,MATCH(P89,$AB$4:$AB$503,0),1)&amp;"-"&amp;INDEX($AC$4:$AC$503,MATCH(Q89,$AB$4:$AB$503,0),1))),"")</f>
        <v/>
      </c>
      <c r="AF89" s="132" t="str">
        <f>IF(ISNUMBER(P89), IF(Dashboard!$H$6&lt;&gt;"Horizontal",IF(S89="S",INDEX($AD$4:$AD$503,MATCH(P89,$AB$4:$AB$503,0),1)+boxDistance*(T89+IF(Y89="No",IF(ISODD(T89),IF(T89&gt;0,1,-1),0),0))*IF(Y89="No",IF(ISODD(T89),0.5,-0.5),1),timelineStartColumn-boxDistance * IF(AND(ISNUMBER(V89),V89&gt;1),V89*0.85,1)   ),IF( S89="S",INDEX($AD$4:$AD$503,MATCH(P89,$AB$4:$AB$503,0),1),INDEX($AD$4:$AD$503,MATCH(P89,$AB$4:$AB$503,0),1)&amp;"-"&amp;INDEX($AD$4:$AD$503,MATCH(Q89,$AB$4:$AB$503,0),1))),"")</f>
        <v/>
      </c>
      <c r="AG89" s="133" t="str">
        <f t="shared" si="28"/>
        <v/>
      </c>
      <c r="AH89" s="134" t="str">
        <f t="shared" si="21"/>
        <v/>
      </c>
      <c r="AI89" s="135" t="str">
        <f t="shared" si="22"/>
        <v/>
      </c>
      <c r="AJ89" s="135" t="str">
        <f t="shared" si="29"/>
        <v/>
      </c>
      <c r="AK89" s="126" t="str">
        <f t="shared" si="30"/>
        <v/>
      </c>
      <c r="AL89" s="126" t="str">
        <f ca="1">IFERROR(IF(AK89="","", MATCH(AK89,OFFSET(Icons!$B$5,1,AM89-3,20,1),0)+5),"")</f>
        <v/>
      </c>
      <c r="AM89" s="126" t="str">
        <f t="shared" si="31"/>
        <v/>
      </c>
      <c r="AN89" s="90"/>
      <c r="AW89" s="123">
        <v>11</v>
      </c>
      <c r="AX89" s="172" t="str">
        <f t="array" ref="AX89">IF(INDEX(iconsTable,ROW(AX9)-ROW($AX$3),9)="","",INDEX(iconsTable,ROW(AX9)-ROW($AX$3),9))</f>
        <v>plant</v>
      </c>
      <c r="AY89" s="123">
        <f t="shared" si="32"/>
        <v>91</v>
      </c>
      <c r="AZ89" s="137" t="str">
        <f t="shared" si="23"/>
        <v/>
      </c>
    </row>
    <row r="90" spans="5:52" ht="15" customHeight="1" x14ac:dyDescent="0.25">
      <c r="E90" s="126">
        <v>87</v>
      </c>
      <c r="F90" s="126"/>
      <c r="G90" s="127"/>
      <c r="H90" s="127"/>
      <c r="I90" s="126"/>
      <c r="K90" s="137" t="str">
        <f t="shared" si="24"/>
        <v/>
      </c>
      <c r="L90" s="127" t="str">
        <f t="shared" si="18"/>
        <v/>
      </c>
      <c r="N90" s="128" t="str">
        <f t="shared" si="25"/>
        <v/>
      </c>
      <c r="O90" s="126" t="str">
        <f t="array" ref="O90">IFERROR(SMALL(IF(($G$4:$G$253=P90),ROW($G$4:$G$253)-ROW($G$3),"" ),N90),"")</f>
        <v/>
      </c>
      <c r="P90" s="127" t="str">
        <f t="array" ref="P90">IFERROR(SMALL($G$4:$G$253,E90),"")</f>
        <v/>
      </c>
      <c r="Q90" s="127" t="str">
        <f t="shared" si="26"/>
        <v/>
      </c>
      <c r="R90" s="126" t="str">
        <f t="shared" si="27"/>
        <v/>
      </c>
      <c r="S90" s="126" t="str">
        <f t="shared" si="19"/>
        <v/>
      </c>
      <c r="T90" s="128" t="str">
        <f>IF(OR(S90="R",S90=""),"",COUNTIFS($P$4:P90,P90,$S$4:S90,"S")*U90)</f>
        <v/>
      </c>
      <c r="U90" s="128" t="str">
        <f>IF(ISNUMBER(N90),IF($C$11=TRUE,IF(OR(ISODD(COUNTIF($N$4:N90,1)),Y90="Yes"),1,-1),1),"")</f>
        <v/>
      </c>
      <c r="V90" s="128" t="str">
        <f ca="1">IFERROR(IF(AND(S90="R",W90&lt;&gt;""),1,IF(S90="R",MAX(OFFSET(V89,0,0,-1*(ROW(W90)-3-MATCH(MAX($W$4:W89),$W$4:W89,0)),1))+1,"")),"")</f>
        <v/>
      </c>
      <c r="W90" s="129" t="str">
        <f>IFERROR(IF(AND(S90="R", P90&gt;MAX($X$3:X89)),P90,""),"")</f>
        <v/>
      </c>
      <c r="X90" s="129" t="str">
        <f>IFERROR(IF(AND(W90="",Q90&gt;=MAX($X$3:X89)),IF(S90="R",Q90,IF(AND(W90="",P90&lt;=MAX($X$3:X89)),MAX($X$3:X89),"")),IF(W90&lt;&gt;"", Q90,"")),"")</f>
        <v/>
      </c>
      <c r="Y90" s="126" t="str">
        <f>IF(S90="S",IF(OR(P90&lt;=MAX($X$3:X89),P90&gt;=IF(MIN(W$53:$W91)&lt;1,99999999,MIN(W$53:$W91))),"Yes","No"),"")</f>
        <v/>
      </c>
      <c r="AA90" s="130" t="str">
        <f t="shared" si="20"/>
        <v/>
      </c>
      <c r="AB90" s="131" t="str">
        <f t="array" ref="AB90">IF(AA90&lt;=$AA$2,MIN(IF($L$4:$L$503&lt;=AB89,99999999999,$L$4:$L$503)),"")</f>
        <v/>
      </c>
      <c r="AC90" s="130" t="str">
        <f>IF(ISNUMBER(AA90),IF(Dashboard!$H$6&lt;&gt;"Horizontal",AC89+dateDistance,AC89),"")</f>
        <v/>
      </c>
      <c r="AD90" s="130" t="str">
        <f>IF(ISNUMBER(AA90),IF(Dashboard!$H$6="Horizontal",AD89+dateDistance,AD89),"")</f>
        <v/>
      </c>
      <c r="AE90" s="132" t="str">
        <f>IF(ISNUMBER(P90), IF(Dashboard!$H$6="Horizontal",IF(S90="S",INDEX($AC$4:$AC$503,MATCH(P90,$AB$4:$AB$503,0),1)+boxDistance*(T90+IF(Y90="No",IF(ISODD(T90),IF(T90&gt;0,1,-1),0),0))*IF(Y90="No",IF(ISODD(T90),0.5,-0.5),1),timelineStartRow - boxDistance * V90),IF( S90="S",INDEX($AC$4:$AC$503,MATCH(P90,$AB$4:$AB$503,0),1),INDEX($AC$4:$AC$503,MATCH(P90,$AB$4:$AB$503,0),1)&amp;"-"&amp;INDEX($AC$4:$AC$503,MATCH(Q90,$AB$4:$AB$503,0),1))),"")</f>
        <v/>
      </c>
      <c r="AF90" s="132" t="str">
        <f>IF(ISNUMBER(P90), IF(Dashboard!$H$6&lt;&gt;"Horizontal",IF(S90="S",INDEX($AD$4:$AD$503,MATCH(P90,$AB$4:$AB$503,0),1)+boxDistance*(T90+IF(Y90="No",IF(ISODD(T90),IF(T90&gt;0,1,-1),0),0))*IF(Y90="No",IF(ISODD(T90),0.5,-0.5),1),timelineStartColumn-boxDistance * IF(AND(ISNUMBER(V90),V90&gt;1),V90*0.85,1)   ),IF( S90="S",INDEX($AD$4:$AD$503,MATCH(P90,$AB$4:$AB$503,0),1),INDEX($AD$4:$AD$503,MATCH(P90,$AB$4:$AB$503,0),1)&amp;"-"&amp;INDEX($AD$4:$AD$503,MATCH(Q90,$AB$4:$AB$503,0),1))),"")</f>
        <v/>
      </c>
      <c r="AG90" s="133" t="str">
        <f t="shared" si="28"/>
        <v/>
      </c>
      <c r="AH90" s="134" t="str">
        <f t="shared" si="21"/>
        <v/>
      </c>
      <c r="AI90" s="135" t="str">
        <f t="shared" si="22"/>
        <v/>
      </c>
      <c r="AJ90" s="135" t="str">
        <f t="shared" si="29"/>
        <v/>
      </c>
      <c r="AK90" s="126" t="str">
        <f t="shared" si="30"/>
        <v/>
      </c>
      <c r="AL90" s="126" t="str">
        <f ca="1">IFERROR(IF(AK90="","", MATCH(AK90,OFFSET(Icons!$B$5,1,AM90-3,20,1),0)+5),"")</f>
        <v/>
      </c>
      <c r="AM90" s="126" t="str">
        <f t="shared" si="31"/>
        <v/>
      </c>
      <c r="AN90" s="90"/>
      <c r="AW90" s="123">
        <v>11</v>
      </c>
      <c r="AX90" s="172" t="str">
        <f t="array" ref="AX90">IF(INDEX(iconsTable,ROW(AX10)-ROW($AX$3),9)="","",INDEX(iconsTable,ROW(AX10)-ROW($AX$3),9))</f>
        <v>police</v>
      </c>
      <c r="AY90" s="123">
        <f t="shared" si="32"/>
        <v>92</v>
      </c>
      <c r="AZ90" s="137" t="str">
        <f t="shared" si="23"/>
        <v/>
      </c>
    </row>
    <row r="91" spans="5:52" ht="15" customHeight="1" x14ac:dyDescent="0.25">
      <c r="E91" s="126">
        <v>88</v>
      </c>
      <c r="F91" s="126"/>
      <c r="G91" s="127"/>
      <c r="H91" s="127"/>
      <c r="I91" s="126"/>
      <c r="K91" s="137" t="str">
        <f t="shared" si="24"/>
        <v/>
      </c>
      <c r="L91" s="127" t="str">
        <f t="shared" si="18"/>
        <v/>
      </c>
      <c r="N91" s="128" t="str">
        <f t="shared" si="25"/>
        <v/>
      </c>
      <c r="O91" s="126" t="str">
        <f t="array" ref="O91">IFERROR(SMALL(IF(($G$4:$G$253=P91),ROW($G$4:$G$253)-ROW($G$3),"" ),N91),"")</f>
        <v/>
      </c>
      <c r="P91" s="127" t="str">
        <f t="array" ref="P91">IFERROR(SMALL($G$4:$G$253,E91),"")</f>
        <v/>
      </c>
      <c r="Q91" s="127" t="str">
        <f t="shared" si="26"/>
        <v/>
      </c>
      <c r="R91" s="126" t="str">
        <f t="shared" si="27"/>
        <v/>
      </c>
      <c r="S91" s="126" t="str">
        <f t="shared" si="19"/>
        <v/>
      </c>
      <c r="T91" s="128" t="str">
        <f>IF(OR(S91="R",S91=""),"",COUNTIFS($P$4:P91,P91,$S$4:S91,"S")*U91)</f>
        <v/>
      </c>
      <c r="U91" s="128" t="str">
        <f>IF(ISNUMBER(N91),IF($C$11=TRUE,IF(OR(ISODD(COUNTIF($N$4:N91,1)),Y91="Yes"),1,-1),1),"")</f>
        <v/>
      </c>
      <c r="V91" s="128" t="str">
        <f ca="1">IFERROR(IF(AND(S91="R",W91&lt;&gt;""),1,IF(S91="R",MAX(OFFSET(V90,0,0,-1*(ROW(W91)-3-MATCH(MAX($W$4:W90),$W$4:W90,0)),1))+1,"")),"")</f>
        <v/>
      </c>
      <c r="W91" s="129" t="str">
        <f>IFERROR(IF(AND(S91="R", P91&gt;MAX($X$3:X90)),P91,""),"")</f>
        <v/>
      </c>
      <c r="X91" s="129" t="str">
        <f>IFERROR(IF(AND(W91="",Q91&gt;=MAX($X$3:X90)),IF(S91="R",Q91,IF(AND(W91="",P91&lt;=MAX($X$3:X90)),MAX($X$3:X90),"")),IF(W91&lt;&gt;"", Q91,"")),"")</f>
        <v/>
      </c>
      <c r="Y91" s="126" t="str">
        <f>IF(S91="S",IF(OR(P91&lt;=MAX($X$3:X90),P91&gt;=IF(MIN(W$53:$W92)&lt;1,99999999,MIN(W$53:$W92))),"Yes","No"),"")</f>
        <v/>
      </c>
      <c r="AA91" s="130" t="str">
        <f t="shared" si="20"/>
        <v/>
      </c>
      <c r="AB91" s="131" t="str">
        <f t="array" ref="AB91">IF(AA91&lt;=$AA$2,MIN(IF($L$4:$L$503&lt;=AB90,99999999999,$L$4:$L$503)),"")</f>
        <v/>
      </c>
      <c r="AC91" s="130" t="str">
        <f>IF(ISNUMBER(AA91),IF(Dashboard!$H$6&lt;&gt;"Horizontal",AC90+dateDistance,AC90),"")</f>
        <v/>
      </c>
      <c r="AD91" s="130" t="str">
        <f>IF(ISNUMBER(AA91),IF(Dashboard!$H$6="Horizontal",AD90+dateDistance,AD90),"")</f>
        <v/>
      </c>
      <c r="AE91" s="132" t="str">
        <f>IF(ISNUMBER(P91), IF(Dashboard!$H$6="Horizontal",IF(S91="S",INDEX($AC$4:$AC$503,MATCH(P91,$AB$4:$AB$503,0),1)+boxDistance*(T91+IF(Y91="No",IF(ISODD(T91),IF(T91&gt;0,1,-1),0),0))*IF(Y91="No",IF(ISODD(T91),0.5,-0.5),1),timelineStartRow - boxDistance * V91),IF( S91="S",INDEX($AC$4:$AC$503,MATCH(P91,$AB$4:$AB$503,0),1),INDEX($AC$4:$AC$503,MATCH(P91,$AB$4:$AB$503,0),1)&amp;"-"&amp;INDEX($AC$4:$AC$503,MATCH(Q91,$AB$4:$AB$503,0),1))),"")</f>
        <v/>
      </c>
      <c r="AF91" s="132" t="str">
        <f>IF(ISNUMBER(P91), IF(Dashboard!$H$6&lt;&gt;"Horizontal",IF(S91="S",INDEX($AD$4:$AD$503,MATCH(P91,$AB$4:$AB$503,0),1)+boxDistance*(T91+IF(Y91="No",IF(ISODD(T91),IF(T91&gt;0,1,-1),0),0))*IF(Y91="No",IF(ISODD(T91),0.5,-0.5),1),timelineStartColumn-boxDistance * IF(AND(ISNUMBER(V91),V91&gt;1),V91*0.85,1)   ),IF( S91="S",INDEX($AD$4:$AD$503,MATCH(P91,$AB$4:$AB$503,0),1),INDEX($AD$4:$AD$503,MATCH(P91,$AB$4:$AB$503,0),1)&amp;"-"&amp;INDEX($AD$4:$AD$503,MATCH(Q91,$AB$4:$AB$503,0),1))),"")</f>
        <v/>
      </c>
      <c r="AG91" s="133" t="str">
        <f t="shared" si="28"/>
        <v/>
      </c>
      <c r="AH91" s="134" t="str">
        <f t="shared" si="21"/>
        <v/>
      </c>
      <c r="AI91" s="135" t="str">
        <f t="shared" si="22"/>
        <v/>
      </c>
      <c r="AJ91" s="135" t="str">
        <f t="shared" si="29"/>
        <v/>
      </c>
      <c r="AK91" s="126" t="str">
        <f t="shared" si="30"/>
        <v/>
      </c>
      <c r="AL91" s="126" t="str">
        <f ca="1">IFERROR(IF(AK91="","", MATCH(AK91,OFFSET(Icons!$B$5,1,AM91-3,20,1),0)+5),"")</f>
        <v/>
      </c>
      <c r="AM91" s="126" t="str">
        <f t="shared" si="31"/>
        <v/>
      </c>
      <c r="AN91" s="90"/>
      <c r="AW91" s="123">
        <v>11</v>
      </c>
      <c r="AX91" s="172" t="str">
        <f t="array" ref="AX91">IF(INDEX(iconsTable,ROW(AX11)-ROW($AX$3),9)="","",INDEX(iconsTable,ROW(AX11)-ROW($AX$3),9))</f>
        <v>puppy</v>
      </c>
      <c r="AY91" s="123">
        <f t="shared" si="32"/>
        <v>93</v>
      </c>
      <c r="AZ91" s="137" t="str">
        <f t="shared" si="23"/>
        <v/>
      </c>
    </row>
    <row r="92" spans="5:52" ht="15" customHeight="1" x14ac:dyDescent="0.25">
      <c r="E92" s="126">
        <v>89</v>
      </c>
      <c r="F92" s="126"/>
      <c r="G92" s="127"/>
      <c r="H92" s="127"/>
      <c r="I92" s="126"/>
      <c r="K92" s="137" t="str">
        <f t="shared" si="24"/>
        <v/>
      </c>
      <c r="L92" s="127" t="str">
        <f t="shared" si="18"/>
        <v/>
      </c>
      <c r="N92" s="128" t="str">
        <f t="shared" si="25"/>
        <v/>
      </c>
      <c r="O92" s="126" t="str">
        <f t="array" ref="O92">IFERROR(SMALL(IF(($G$4:$G$253=P92),ROW($G$4:$G$253)-ROW($G$3),"" ),N92),"")</f>
        <v/>
      </c>
      <c r="P92" s="127" t="str">
        <f t="array" ref="P92">IFERROR(SMALL($G$4:$G$253,E92),"")</f>
        <v/>
      </c>
      <c r="Q92" s="127" t="str">
        <f t="shared" si="26"/>
        <v/>
      </c>
      <c r="R92" s="126" t="str">
        <f t="shared" si="27"/>
        <v/>
      </c>
      <c r="S92" s="126" t="str">
        <f t="shared" si="19"/>
        <v/>
      </c>
      <c r="T92" s="128" t="str">
        <f>IF(OR(S92="R",S92=""),"",COUNTIFS($P$4:P92,P92,$S$4:S92,"S")*U92)</f>
        <v/>
      </c>
      <c r="U92" s="128" t="str">
        <f>IF(ISNUMBER(N92),IF($C$11=TRUE,IF(OR(ISODD(COUNTIF($N$4:N92,1)),Y92="Yes"),1,-1),1),"")</f>
        <v/>
      </c>
      <c r="V92" s="128" t="str">
        <f ca="1">IFERROR(IF(AND(S92="R",W92&lt;&gt;""),1,IF(S92="R",MAX(OFFSET(V91,0,0,-1*(ROW(W92)-3-MATCH(MAX($W$4:W91),$W$4:W91,0)),1))+1,"")),"")</f>
        <v/>
      </c>
      <c r="W92" s="129" t="str">
        <f>IFERROR(IF(AND(S92="R", P92&gt;MAX($X$3:X91)),P92,""),"")</f>
        <v/>
      </c>
      <c r="X92" s="129" t="str">
        <f>IFERROR(IF(AND(W92="",Q92&gt;=MAX($X$3:X91)),IF(S92="R",Q92,IF(AND(W92="",P92&lt;=MAX($X$3:X91)),MAX($X$3:X91),"")),IF(W92&lt;&gt;"", Q92,"")),"")</f>
        <v/>
      </c>
      <c r="Y92" s="126" t="str">
        <f>IF(S92="S",IF(OR(P92&lt;=MAX($X$3:X91),P92&gt;=IF(MIN(W$53:$W93)&lt;1,99999999,MIN(W$53:$W93))),"Yes","No"),"")</f>
        <v/>
      </c>
      <c r="AA92" s="130" t="str">
        <f t="shared" si="20"/>
        <v/>
      </c>
      <c r="AB92" s="131" t="str">
        <f t="array" ref="AB92">IF(AA92&lt;=$AA$2,MIN(IF($L$4:$L$503&lt;=AB91,99999999999,$L$4:$L$503)),"")</f>
        <v/>
      </c>
      <c r="AC92" s="130" t="str">
        <f>IF(ISNUMBER(AA92),IF(Dashboard!$H$6&lt;&gt;"Horizontal",AC91+dateDistance,AC91),"")</f>
        <v/>
      </c>
      <c r="AD92" s="130" t="str">
        <f>IF(ISNUMBER(AA92),IF(Dashboard!$H$6="Horizontal",AD91+dateDistance,AD91),"")</f>
        <v/>
      </c>
      <c r="AE92" s="132" t="str">
        <f>IF(ISNUMBER(P92), IF(Dashboard!$H$6="Horizontal",IF(S92="S",INDEX($AC$4:$AC$503,MATCH(P92,$AB$4:$AB$503,0),1)+boxDistance*(T92+IF(Y92="No",IF(ISODD(T92),IF(T92&gt;0,1,-1),0),0))*IF(Y92="No",IF(ISODD(T92),0.5,-0.5),1),timelineStartRow - boxDistance * V92),IF( S92="S",INDEX($AC$4:$AC$503,MATCH(P92,$AB$4:$AB$503,0),1),INDEX($AC$4:$AC$503,MATCH(P92,$AB$4:$AB$503,0),1)&amp;"-"&amp;INDEX($AC$4:$AC$503,MATCH(Q92,$AB$4:$AB$503,0),1))),"")</f>
        <v/>
      </c>
      <c r="AF92" s="132" t="str">
        <f>IF(ISNUMBER(P92), IF(Dashboard!$H$6&lt;&gt;"Horizontal",IF(S92="S",INDEX($AD$4:$AD$503,MATCH(P92,$AB$4:$AB$503,0),1)+boxDistance*(T92+IF(Y92="No",IF(ISODD(T92),IF(T92&gt;0,1,-1),0),0))*IF(Y92="No",IF(ISODD(T92),0.5,-0.5),1),timelineStartColumn-boxDistance * IF(AND(ISNUMBER(V92),V92&gt;1),V92*0.85,1)   ),IF( S92="S",INDEX($AD$4:$AD$503,MATCH(P92,$AB$4:$AB$503,0),1),INDEX($AD$4:$AD$503,MATCH(P92,$AB$4:$AB$503,0),1)&amp;"-"&amp;INDEX($AD$4:$AD$503,MATCH(Q92,$AB$4:$AB$503,0),1))),"")</f>
        <v/>
      </c>
      <c r="AG92" s="133" t="str">
        <f t="shared" si="28"/>
        <v/>
      </c>
      <c r="AH92" s="134" t="str">
        <f t="shared" si="21"/>
        <v/>
      </c>
      <c r="AI92" s="135" t="str">
        <f t="shared" si="22"/>
        <v/>
      </c>
      <c r="AJ92" s="135" t="str">
        <f t="shared" si="29"/>
        <v/>
      </c>
      <c r="AK92" s="126" t="str">
        <f t="shared" si="30"/>
        <v/>
      </c>
      <c r="AL92" s="126" t="str">
        <f ca="1">IFERROR(IF(AK92="","", MATCH(AK92,OFFSET(Icons!$B$5,1,AM92-3,20,1),0)+5),"")</f>
        <v/>
      </c>
      <c r="AM92" s="126" t="str">
        <f t="shared" si="31"/>
        <v/>
      </c>
      <c r="AN92" s="90"/>
      <c r="AW92" s="123">
        <v>11</v>
      </c>
      <c r="AX92" s="172" t="str">
        <f t="array" ref="AX92">IF(INDEX(iconsTable,ROW(AX12)-ROW($AX$3),9)="","",INDEX(iconsTable,ROW(AX12)-ROW($AX$3),9))</f>
        <v>rabbit</v>
      </c>
      <c r="AY92" s="123">
        <f t="shared" si="32"/>
        <v>94</v>
      </c>
      <c r="AZ92" s="137" t="str">
        <f t="shared" si="23"/>
        <v/>
      </c>
    </row>
    <row r="93" spans="5:52" ht="15" customHeight="1" x14ac:dyDescent="0.25">
      <c r="E93" s="126">
        <v>90</v>
      </c>
      <c r="F93" s="126"/>
      <c r="G93" s="127"/>
      <c r="H93" s="127"/>
      <c r="I93" s="126"/>
      <c r="K93" s="137" t="str">
        <f t="shared" si="24"/>
        <v/>
      </c>
      <c r="L93" s="127" t="str">
        <f t="shared" si="18"/>
        <v/>
      </c>
      <c r="N93" s="128" t="str">
        <f t="shared" si="25"/>
        <v/>
      </c>
      <c r="O93" s="126" t="str">
        <f t="array" ref="O93">IFERROR(SMALL(IF(($G$4:$G$253=P93),ROW($G$4:$G$253)-ROW($G$3),"" ),N93),"")</f>
        <v/>
      </c>
      <c r="P93" s="127" t="str">
        <f t="array" ref="P93">IFERROR(SMALL($G$4:$G$253,E93),"")</f>
        <v/>
      </c>
      <c r="Q93" s="127" t="str">
        <f t="shared" si="26"/>
        <v/>
      </c>
      <c r="R93" s="126" t="str">
        <f t="shared" si="27"/>
        <v/>
      </c>
      <c r="S93" s="126" t="str">
        <f t="shared" si="19"/>
        <v/>
      </c>
      <c r="T93" s="128" t="str">
        <f>IF(OR(S93="R",S93=""),"",COUNTIFS($P$4:P93,P93,$S$4:S93,"S")*U93)</f>
        <v/>
      </c>
      <c r="U93" s="128" t="str">
        <f>IF(ISNUMBER(N93),IF($C$11=TRUE,IF(OR(ISODD(COUNTIF($N$4:N93,1)),Y93="Yes"),1,-1),1),"")</f>
        <v/>
      </c>
      <c r="V93" s="128" t="str">
        <f ca="1">IFERROR(IF(AND(S93="R",W93&lt;&gt;""),1,IF(S93="R",MAX(OFFSET(V92,0,0,-1*(ROW(W93)-3-MATCH(MAX($W$4:W92),$W$4:W92,0)),1))+1,"")),"")</f>
        <v/>
      </c>
      <c r="W93" s="129" t="str">
        <f>IFERROR(IF(AND(S93="R", P93&gt;MAX($X$3:X92)),P93,""),"")</f>
        <v/>
      </c>
      <c r="X93" s="129" t="str">
        <f>IFERROR(IF(AND(W93="",Q93&gt;=MAX($X$3:X92)),IF(S93="R",Q93,IF(AND(W93="",P93&lt;=MAX($X$3:X92)),MAX($X$3:X92),"")),IF(W93&lt;&gt;"", Q93,"")),"")</f>
        <v/>
      </c>
      <c r="Y93" s="126" t="str">
        <f>IF(S93="S",IF(OR(P93&lt;=MAX($X$3:X92),P93&gt;=IF(MIN(W$53:$W94)&lt;1,99999999,MIN(W$53:$W94))),"Yes","No"),"")</f>
        <v/>
      </c>
      <c r="AA93" s="130" t="str">
        <f t="shared" si="20"/>
        <v/>
      </c>
      <c r="AB93" s="131" t="str">
        <f t="array" ref="AB93">IF(AA93&lt;=$AA$2,MIN(IF($L$4:$L$503&lt;=AB92,99999999999,$L$4:$L$503)),"")</f>
        <v/>
      </c>
      <c r="AC93" s="130" t="str">
        <f>IF(ISNUMBER(AA93),IF(Dashboard!$H$6&lt;&gt;"Horizontal",AC92+dateDistance,AC92),"")</f>
        <v/>
      </c>
      <c r="AD93" s="130" t="str">
        <f>IF(ISNUMBER(AA93),IF(Dashboard!$H$6="Horizontal",AD92+dateDistance,AD92),"")</f>
        <v/>
      </c>
      <c r="AE93" s="132" t="str">
        <f>IF(ISNUMBER(P93), IF(Dashboard!$H$6="Horizontal",IF(S93="S",INDEX($AC$4:$AC$503,MATCH(P93,$AB$4:$AB$503,0),1)+boxDistance*(T93+IF(Y93="No",IF(ISODD(T93),IF(T93&gt;0,1,-1),0),0))*IF(Y93="No",IF(ISODD(T93),0.5,-0.5),1),timelineStartRow - boxDistance * V93),IF( S93="S",INDEX($AC$4:$AC$503,MATCH(P93,$AB$4:$AB$503,0),1),INDEX($AC$4:$AC$503,MATCH(P93,$AB$4:$AB$503,0),1)&amp;"-"&amp;INDEX($AC$4:$AC$503,MATCH(Q93,$AB$4:$AB$503,0),1))),"")</f>
        <v/>
      </c>
      <c r="AF93" s="132" t="str">
        <f>IF(ISNUMBER(P93), IF(Dashboard!$H$6&lt;&gt;"Horizontal",IF(S93="S",INDEX($AD$4:$AD$503,MATCH(P93,$AB$4:$AB$503,0),1)+boxDistance*(T93+IF(Y93="No",IF(ISODD(T93),IF(T93&gt;0,1,-1),0),0))*IF(Y93="No",IF(ISODD(T93),0.5,-0.5),1),timelineStartColumn-boxDistance * IF(AND(ISNUMBER(V93),V93&gt;1),V93*0.85,1)   ),IF( S93="S",INDEX($AD$4:$AD$503,MATCH(P93,$AB$4:$AB$503,0),1),INDEX($AD$4:$AD$503,MATCH(P93,$AB$4:$AB$503,0),1)&amp;"-"&amp;INDEX($AD$4:$AD$503,MATCH(Q93,$AB$4:$AB$503,0),1))),"")</f>
        <v/>
      </c>
      <c r="AG93" s="133" t="str">
        <f t="shared" si="28"/>
        <v/>
      </c>
      <c r="AH93" s="134" t="str">
        <f t="shared" si="21"/>
        <v/>
      </c>
      <c r="AI93" s="135" t="str">
        <f t="shared" si="22"/>
        <v/>
      </c>
      <c r="AJ93" s="135" t="str">
        <f t="shared" si="29"/>
        <v/>
      </c>
      <c r="AK93" s="126" t="str">
        <f t="shared" si="30"/>
        <v/>
      </c>
      <c r="AL93" s="126" t="str">
        <f ca="1">IFERROR(IF(AK93="","", MATCH(AK93,OFFSET(Icons!$B$5,1,AM93-3,20,1),0)+5),"")</f>
        <v/>
      </c>
      <c r="AM93" s="126" t="str">
        <f t="shared" si="31"/>
        <v/>
      </c>
      <c r="AN93" s="90"/>
      <c r="AW93" s="123">
        <v>11</v>
      </c>
      <c r="AX93" s="172" t="str">
        <f t="array" ref="AX93">IF(INDEX(iconsTable,ROW(AX13)-ROW($AX$3),9)="","",INDEX(iconsTable,ROW(AX13)-ROW($AX$3),9))</f>
        <v>race1</v>
      </c>
      <c r="AY93" s="123">
        <f t="shared" si="32"/>
        <v>95</v>
      </c>
      <c r="AZ93" s="137" t="str">
        <f t="shared" si="23"/>
        <v/>
      </c>
    </row>
    <row r="94" spans="5:52" ht="15" customHeight="1" x14ac:dyDescent="0.25">
      <c r="E94" s="126">
        <v>91</v>
      </c>
      <c r="F94" s="126"/>
      <c r="G94" s="127"/>
      <c r="H94" s="127"/>
      <c r="I94" s="126"/>
      <c r="K94" s="137" t="str">
        <f t="shared" si="24"/>
        <v/>
      </c>
      <c r="L94" s="127" t="str">
        <f t="shared" si="18"/>
        <v/>
      </c>
      <c r="N94" s="128" t="str">
        <f t="shared" si="25"/>
        <v/>
      </c>
      <c r="O94" s="126" t="str">
        <f t="array" ref="O94">IFERROR(SMALL(IF(($G$4:$G$253=P94),ROW($G$4:$G$253)-ROW($G$3),"" ),N94),"")</f>
        <v/>
      </c>
      <c r="P94" s="127" t="str">
        <f t="array" ref="P94">IFERROR(SMALL($G$4:$G$253,E94),"")</f>
        <v/>
      </c>
      <c r="Q94" s="127" t="str">
        <f t="shared" si="26"/>
        <v/>
      </c>
      <c r="R94" s="126" t="str">
        <f t="shared" si="27"/>
        <v/>
      </c>
      <c r="S94" s="126" t="str">
        <f t="shared" si="19"/>
        <v/>
      </c>
      <c r="T94" s="128" t="str">
        <f>IF(OR(S94="R",S94=""),"",COUNTIFS($P$4:P94,P94,$S$4:S94,"S")*U94)</f>
        <v/>
      </c>
      <c r="U94" s="128" t="str">
        <f>IF(ISNUMBER(N94),IF($C$11=TRUE,IF(OR(ISODD(COUNTIF($N$4:N94,1)),Y94="Yes"),1,-1),1),"")</f>
        <v/>
      </c>
      <c r="V94" s="128" t="str">
        <f ca="1">IFERROR(IF(AND(S94="R",W94&lt;&gt;""),1,IF(S94="R",MAX(OFFSET(V93,0,0,-1*(ROW(W94)-3-MATCH(MAX($W$4:W93),$W$4:W93,0)),1))+1,"")),"")</f>
        <v/>
      </c>
      <c r="W94" s="129" t="str">
        <f>IFERROR(IF(AND(S94="R", P94&gt;MAX($X$3:X93)),P94,""),"")</f>
        <v/>
      </c>
      <c r="X94" s="129" t="str">
        <f>IFERROR(IF(AND(W94="",Q94&gt;=MAX($X$3:X93)),IF(S94="R",Q94,IF(AND(W94="",P94&lt;=MAX($X$3:X93)),MAX($X$3:X93),"")),IF(W94&lt;&gt;"", Q94,"")),"")</f>
        <v/>
      </c>
      <c r="Y94" s="126" t="str">
        <f>IF(S94="S",IF(OR(P94&lt;=MAX($X$3:X93),P94&gt;=IF(MIN(W$53:$W95)&lt;1,99999999,MIN(W$53:$W95))),"Yes","No"),"")</f>
        <v/>
      </c>
      <c r="AA94" s="130" t="str">
        <f t="shared" si="20"/>
        <v/>
      </c>
      <c r="AB94" s="131" t="str">
        <f t="array" ref="AB94">IF(AA94&lt;=$AA$2,MIN(IF($L$4:$L$503&lt;=AB93,99999999999,$L$4:$L$503)),"")</f>
        <v/>
      </c>
      <c r="AC94" s="130" t="str">
        <f>IF(ISNUMBER(AA94),IF(Dashboard!$H$6&lt;&gt;"Horizontal",AC93+dateDistance,AC93),"")</f>
        <v/>
      </c>
      <c r="AD94" s="130" t="str">
        <f>IF(ISNUMBER(AA94),IF(Dashboard!$H$6="Horizontal",AD93+dateDistance,AD93),"")</f>
        <v/>
      </c>
      <c r="AE94" s="132" t="str">
        <f>IF(ISNUMBER(P94), IF(Dashboard!$H$6="Horizontal",IF(S94="S",INDEX($AC$4:$AC$503,MATCH(P94,$AB$4:$AB$503,0),1)+boxDistance*(T94+IF(Y94="No",IF(ISODD(T94),IF(T94&gt;0,1,-1),0),0))*IF(Y94="No",IF(ISODD(T94),0.5,-0.5),1),timelineStartRow - boxDistance * V94),IF( S94="S",INDEX($AC$4:$AC$503,MATCH(P94,$AB$4:$AB$503,0),1),INDEX($AC$4:$AC$503,MATCH(P94,$AB$4:$AB$503,0),1)&amp;"-"&amp;INDEX($AC$4:$AC$503,MATCH(Q94,$AB$4:$AB$503,0),1))),"")</f>
        <v/>
      </c>
      <c r="AF94" s="132" t="str">
        <f>IF(ISNUMBER(P94), IF(Dashboard!$H$6&lt;&gt;"Horizontal",IF(S94="S",INDEX($AD$4:$AD$503,MATCH(P94,$AB$4:$AB$503,0),1)+boxDistance*(T94+IF(Y94="No",IF(ISODD(T94),IF(T94&gt;0,1,-1),0),0))*IF(Y94="No",IF(ISODD(T94),0.5,-0.5),1),timelineStartColumn-boxDistance * IF(AND(ISNUMBER(V94),V94&gt;1),V94*0.85,1)   ),IF( S94="S",INDEX($AD$4:$AD$503,MATCH(P94,$AB$4:$AB$503,0),1),INDEX($AD$4:$AD$503,MATCH(P94,$AB$4:$AB$503,0),1)&amp;"-"&amp;INDEX($AD$4:$AD$503,MATCH(Q94,$AB$4:$AB$503,0),1))),"")</f>
        <v/>
      </c>
      <c r="AG94" s="133" t="str">
        <f t="shared" si="28"/>
        <v/>
      </c>
      <c r="AH94" s="134" t="str">
        <f t="shared" si="21"/>
        <v/>
      </c>
      <c r="AI94" s="135" t="str">
        <f t="shared" si="22"/>
        <v/>
      </c>
      <c r="AJ94" s="135" t="str">
        <f t="shared" si="29"/>
        <v/>
      </c>
      <c r="AK94" s="126" t="str">
        <f t="shared" si="30"/>
        <v/>
      </c>
      <c r="AL94" s="126" t="str">
        <f ca="1">IFERROR(IF(AK94="","", MATCH(AK94,OFFSET(Icons!$B$5,1,AM94-3,20,1),0)+5),"")</f>
        <v/>
      </c>
      <c r="AM94" s="126" t="str">
        <f t="shared" si="31"/>
        <v/>
      </c>
      <c r="AN94" s="90"/>
      <c r="AW94" s="123">
        <v>11</v>
      </c>
      <c r="AX94" s="172" t="str">
        <f t="array" ref="AX94">IF(INDEX(iconsTable,ROW(AX14)-ROW($AX$3),9)="","",INDEX(iconsTable,ROW(AX14)-ROW($AX$3),9))</f>
        <v>race2</v>
      </c>
      <c r="AY94" s="123">
        <f t="shared" si="32"/>
        <v>96</v>
      </c>
      <c r="AZ94" s="137" t="str">
        <f t="shared" si="23"/>
        <v/>
      </c>
    </row>
    <row r="95" spans="5:52" ht="15" customHeight="1" x14ac:dyDescent="0.25">
      <c r="E95" s="126">
        <v>92</v>
      </c>
      <c r="F95" s="126"/>
      <c r="G95" s="127"/>
      <c r="H95" s="127"/>
      <c r="I95" s="126"/>
      <c r="K95" s="137" t="str">
        <f t="shared" si="24"/>
        <v/>
      </c>
      <c r="L95" s="127" t="str">
        <f t="shared" si="18"/>
        <v/>
      </c>
      <c r="N95" s="128" t="str">
        <f t="shared" si="25"/>
        <v/>
      </c>
      <c r="O95" s="126" t="str">
        <f t="array" ref="O95">IFERROR(SMALL(IF(($G$4:$G$253=P95),ROW($G$4:$G$253)-ROW($G$3),"" ),N95),"")</f>
        <v/>
      </c>
      <c r="P95" s="127" t="str">
        <f t="array" ref="P95">IFERROR(SMALL($G$4:$G$253,E95),"")</f>
        <v/>
      </c>
      <c r="Q95" s="127" t="str">
        <f t="shared" si="26"/>
        <v/>
      </c>
      <c r="R95" s="126" t="str">
        <f t="shared" si="27"/>
        <v/>
      </c>
      <c r="S95" s="126" t="str">
        <f t="shared" si="19"/>
        <v/>
      </c>
      <c r="T95" s="128" t="str">
        <f>IF(OR(S95="R",S95=""),"",COUNTIFS($P$4:P95,P95,$S$4:S95,"S")*U95)</f>
        <v/>
      </c>
      <c r="U95" s="128" t="str">
        <f>IF(ISNUMBER(N95),IF($C$11=TRUE,IF(OR(ISODD(COUNTIF($N$4:N95,1)),Y95="Yes"),1,-1),1),"")</f>
        <v/>
      </c>
      <c r="V95" s="128" t="str">
        <f ca="1">IFERROR(IF(AND(S95="R",W95&lt;&gt;""),1,IF(S95="R",MAX(OFFSET(V94,0,0,-1*(ROW(W95)-3-MATCH(MAX($W$4:W94),$W$4:W94,0)),1))+1,"")),"")</f>
        <v/>
      </c>
      <c r="W95" s="129" t="str">
        <f>IFERROR(IF(AND(S95="R", P95&gt;MAX($X$3:X94)),P95,""),"")</f>
        <v/>
      </c>
      <c r="X95" s="129" t="str">
        <f>IFERROR(IF(AND(W95="",Q95&gt;=MAX($X$3:X94)),IF(S95="R",Q95,IF(AND(W95="",P95&lt;=MAX($X$3:X94)),MAX($X$3:X94),"")),IF(W95&lt;&gt;"", Q95,"")),"")</f>
        <v/>
      </c>
      <c r="Y95" s="126" t="str">
        <f>IF(S95="S",IF(OR(P95&lt;=MAX($X$3:X94),P95&gt;=IF(MIN(W$53:$W96)&lt;1,99999999,MIN(W$53:$W96))),"Yes","No"),"")</f>
        <v/>
      </c>
      <c r="AA95" s="130" t="str">
        <f t="shared" si="20"/>
        <v/>
      </c>
      <c r="AB95" s="131" t="str">
        <f t="array" ref="AB95">IF(AA95&lt;=$AA$2,MIN(IF($L$4:$L$503&lt;=AB94,99999999999,$L$4:$L$503)),"")</f>
        <v/>
      </c>
      <c r="AC95" s="130" t="str">
        <f>IF(ISNUMBER(AA95),IF(Dashboard!$H$6&lt;&gt;"Horizontal",AC94+dateDistance,AC94),"")</f>
        <v/>
      </c>
      <c r="AD95" s="130" t="str">
        <f>IF(ISNUMBER(AA95),IF(Dashboard!$H$6="Horizontal",AD94+dateDistance,AD94),"")</f>
        <v/>
      </c>
      <c r="AE95" s="132" t="str">
        <f>IF(ISNUMBER(P95), IF(Dashboard!$H$6="Horizontal",IF(S95="S",INDEX($AC$4:$AC$503,MATCH(P95,$AB$4:$AB$503,0),1)+boxDistance*(T95+IF(Y95="No",IF(ISODD(T95),IF(T95&gt;0,1,-1),0),0))*IF(Y95="No",IF(ISODD(T95),0.5,-0.5),1),timelineStartRow - boxDistance * V95),IF( S95="S",INDEX($AC$4:$AC$503,MATCH(P95,$AB$4:$AB$503,0),1),INDEX($AC$4:$AC$503,MATCH(P95,$AB$4:$AB$503,0),1)&amp;"-"&amp;INDEX($AC$4:$AC$503,MATCH(Q95,$AB$4:$AB$503,0),1))),"")</f>
        <v/>
      </c>
      <c r="AF95" s="132" t="str">
        <f>IF(ISNUMBER(P95), IF(Dashboard!$H$6&lt;&gt;"Horizontal",IF(S95="S",INDEX($AD$4:$AD$503,MATCH(P95,$AB$4:$AB$503,0),1)+boxDistance*(T95+IF(Y95="No",IF(ISODD(T95),IF(T95&gt;0,1,-1),0),0))*IF(Y95="No",IF(ISODD(T95),0.5,-0.5),1),timelineStartColumn-boxDistance * IF(AND(ISNUMBER(V95),V95&gt;1),V95*0.85,1)   ),IF( S95="S",INDEX($AD$4:$AD$503,MATCH(P95,$AB$4:$AB$503,0),1),INDEX($AD$4:$AD$503,MATCH(P95,$AB$4:$AB$503,0),1)&amp;"-"&amp;INDEX($AD$4:$AD$503,MATCH(Q95,$AB$4:$AB$503,0),1))),"")</f>
        <v/>
      </c>
      <c r="AG95" s="133" t="str">
        <f t="shared" si="28"/>
        <v/>
      </c>
      <c r="AH95" s="134" t="str">
        <f t="shared" si="21"/>
        <v/>
      </c>
      <c r="AI95" s="135" t="str">
        <f t="shared" si="22"/>
        <v/>
      </c>
      <c r="AJ95" s="135" t="str">
        <f t="shared" si="29"/>
        <v/>
      </c>
      <c r="AK95" s="126" t="str">
        <f t="shared" si="30"/>
        <v/>
      </c>
      <c r="AL95" s="126" t="str">
        <f ca="1">IFERROR(IF(AK95="","", MATCH(AK95,OFFSET(Icons!$B$5,1,AM95-3,20,1),0)+5),"")</f>
        <v/>
      </c>
      <c r="AM95" s="126" t="str">
        <f t="shared" si="31"/>
        <v/>
      </c>
      <c r="AN95" s="90"/>
      <c r="AW95" s="123">
        <v>11</v>
      </c>
      <c r="AX95" s="172" t="str">
        <f t="array" ref="AX95">IF(INDEX(iconsTable,ROW(AX15)-ROW($AX$3),9)="","",INDEX(iconsTable,ROW(AX15)-ROW($AX$3),9))</f>
        <v>rocket</v>
      </c>
      <c r="AY95" s="123">
        <f t="shared" si="32"/>
        <v>97</v>
      </c>
      <c r="AZ95" s="137" t="str">
        <f t="shared" si="23"/>
        <v/>
      </c>
    </row>
    <row r="96" spans="5:52" ht="15" customHeight="1" x14ac:dyDescent="0.25">
      <c r="E96" s="126">
        <v>93</v>
      </c>
      <c r="F96" s="126"/>
      <c r="G96" s="127"/>
      <c r="H96" s="127"/>
      <c r="I96" s="126"/>
      <c r="K96" s="137" t="str">
        <f t="shared" si="24"/>
        <v/>
      </c>
      <c r="L96" s="127" t="str">
        <f t="shared" si="18"/>
        <v/>
      </c>
      <c r="N96" s="128" t="str">
        <f t="shared" si="25"/>
        <v/>
      </c>
      <c r="O96" s="126" t="str">
        <f t="array" ref="O96">IFERROR(SMALL(IF(($G$4:$G$253=P96),ROW($G$4:$G$253)-ROW($G$3),"" ),N96),"")</f>
        <v/>
      </c>
      <c r="P96" s="127" t="str">
        <f t="array" ref="P96">IFERROR(SMALL($G$4:$G$253,E96),"")</f>
        <v/>
      </c>
      <c r="Q96" s="127" t="str">
        <f t="shared" si="26"/>
        <v/>
      </c>
      <c r="R96" s="126" t="str">
        <f t="shared" si="27"/>
        <v/>
      </c>
      <c r="S96" s="126" t="str">
        <f t="shared" si="19"/>
        <v/>
      </c>
      <c r="T96" s="128" t="str">
        <f>IF(OR(S96="R",S96=""),"",COUNTIFS($P$4:P96,P96,$S$4:S96,"S")*U96)</f>
        <v/>
      </c>
      <c r="U96" s="128" t="str">
        <f>IF(ISNUMBER(N96),IF($C$11=TRUE,IF(OR(ISODD(COUNTIF($N$4:N96,1)),Y96="Yes"),1,-1),1),"")</f>
        <v/>
      </c>
      <c r="V96" s="128" t="str">
        <f ca="1">IFERROR(IF(AND(S96="R",W96&lt;&gt;""),1,IF(S96="R",MAX(OFFSET(V95,0,0,-1*(ROW(W96)-3-MATCH(MAX($W$4:W95),$W$4:W95,0)),1))+1,"")),"")</f>
        <v/>
      </c>
      <c r="W96" s="129" t="str">
        <f>IFERROR(IF(AND(S96="R", P96&gt;MAX($X$3:X95)),P96,""),"")</f>
        <v/>
      </c>
      <c r="X96" s="129" t="str">
        <f>IFERROR(IF(AND(W96="",Q96&gt;=MAX($X$3:X95)),IF(S96="R",Q96,IF(AND(W96="",P96&lt;=MAX($X$3:X95)),MAX($X$3:X95),"")),IF(W96&lt;&gt;"", Q96,"")),"")</f>
        <v/>
      </c>
      <c r="Y96" s="126" t="str">
        <f>IF(S96="S",IF(OR(P96&lt;=MAX($X$3:X95),P96&gt;=IF(MIN(W$53:$W97)&lt;1,99999999,MIN(W$53:$W97))),"Yes","No"),"")</f>
        <v/>
      </c>
      <c r="AA96" s="130" t="str">
        <f t="shared" si="20"/>
        <v/>
      </c>
      <c r="AB96" s="131" t="str">
        <f t="array" ref="AB96">IF(AA96&lt;=$AA$2,MIN(IF($L$4:$L$503&lt;=AB95,99999999999,$L$4:$L$503)),"")</f>
        <v/>
      </c>
      <c r="AC96" s="130" t="str">
        <f>IF(ISNUMBER(AA96),IF(Dashboard!$H$6&lt;&gt;"Horizontal",AC95+dateDistance,AC95),"")</f>
        <v/>
      </c>
      <c r="AD96" s="130" t="str">
        <f>IF(ISNUMBER(AA96),IF(Dashboard!$H$6="Horizontal",AD95+dateDistance,AD95),"")</f>
        <v/>
      </c>
      <c r="AE96" s="132" t="str">
        <f>IF(ISNUMBER(P96), IF(Dashboard!$H$6="Horizontal",IF(S96="S",INDEX($AC$4:$AC$503,MATCH(P96,$AB$4:$AB$503,0),1)+boxDistance*(T96+IF(Y96="No",IF(ISODD(T96),IF(T96&gt;0,1,-1),0),0))*IF(Y96="No",IF(ISODD(T96),0.5,-0.5),1),timelineStartRow - boxDistance * V96),IF( S96="S",INDEX($AC$4:$AC$503,MATCH(P96,$AB$4:$AB$503,0),1),INDEX($AC$4:$AC$503,MATCH(P96,$AB$4:$AB$503,0),1)&amp;"-"&amp;INDEX($AC$4:$AC$503,MATCH(Q96,$AB$4:$AB$503,0),1))),"")</f>
        <v/>
      </c>
      <c r="AF96" s="132" t="str">
        <f>IF(ISNUMBER(P96), IF(Dashboard!$H$6&lt;&gt;"Horizontal",IF(S96="S",INDEX($AD$4:$AD$503,MATCH(P96,$AB$4:$AB$503,0),1)+boxDistance*(T96+IF(Y96="No",IF(ISODD(T96),IF(T96&gt;0,1,-1),0),0))*IF(Y96="No",IF(ISODD(T96),0.5,-0.5),1),timelineStartColumn-boxDistance * IF(AND(ISNUMBER(V96),V96&gt;1),V96*0.85,1)   ),IF( S96="S",INDEX($AD$4:$AD$503,MATCH(P96,$AB$4:$AB$503,0),1),INDEX($AD$4:$AD$503,MATCH(P96,$AB$4:$AB$503,0),1)&amp;"-"&amp;INDEX($AD$4:$AD$503,MATCH(Q96,$AB$4:$AB$503,0),1))),"")</f>
        <v/>
      </c>
      <c r="AG96" s="133" t="str">
        <f t="shared" si="28"/>
        <v/>
      </c>
      <c r="AH96" s="134" t="str">
        <f t="shared" si="21"/>
        <v/>
      </c>
      <c r="AI96" s="135" t="str">
        <f t="shared" si="22"/>
        <v/>
      </c>
      <c r="AJ96" s="135" t="str">
        <f t="shared" si="29"/>
        <v/>
      </c>
      <c r="AK96" s="126" t="str">
        <f t="shared" si="30"/>
        <v/>
      </c>
      <c r="AL96" s="126" t="str">
        <f ca="1">IFERROR(IF(AK96="","", MATCH(AK96,OFFSET(Icons!$B$5,1,AM96-3,20,1),0)+5),"")</f>
        <v/>
      </c>
      <c r="AM96" s="126" t="str">
        <f t="shared" si="31"/>
        <v/>
      </c>
      <c r="AN96" s="90"/>
      <c r="AW96" s="123">
        <v>11</v>
      </c>
      <c r="AX96" s="172" t="str">
        <f t="array" ref="AX96">IF(INDEX(iconsTable,ROW(AX16)-ROW($AX$3),9)="","",INDEX(iconsTable,ROW(AX16)-ROW($AX$3),9))</f>
        <v>schoolboy</v>
      </c>
      <c r="AY96" s="123">
        <f t="shared" si="32"/>
        <v>98</v>
      </c>
      <c r="AZ96" s="137" t="str">
        <f t="shared" si="23"/>
        <v/>
      </c>
    </row>
    <row r="97" spans="5:52" ht="15" customHeight="1" x14ac:dyDescent="0.25">
      <c r="E97" s="126">
        <v>94</v>
      </c>
      <c r="F97" s="126"/>
      <c r="G97" s="127"/>
      <c r="H97" s="127"/>
      <c r="I97" s="126"/>
      <c r="K97" s="137" t="str">
        <f t="shared" si="24"/>
        <v/>
      </c>
      <c r="L97" s="127" t="str">
        <f t="shared" si="18"/>
        <v/>
      </c>
      <c r="N97" s="128" t="str">
        <f t="shared" si="25"/>
        <v/>
      </c>
      <c r="O97" s="126" t="str">
        <f t="array" ref="O97">IFERROR(SMALL(IF(($G$4:$G$253=P97),ROW($G$4:$G$253)-ROW($G$3),"" ),N97),"")</f>
        <v/>
      </c>
      <c r="P97" s="127" t="str">
        <f t="array" ref="P97">IFERROR(SMALL($G$4:$G$253,E97),"")</f>
        <v/>
      </c>
      <c r="Q97" s="127" t="str">
        <f t="shared" si="26"/>
        <v/>
      </c>
      <c r="R97" s="126" t="str">
        <f t="shared" si="27"/>
        <v/>
      </c>
      <c r="S97" s="126" t="str">
        <f t="shared" si="19"/>
        <v/>
      </c>
      <c r="T97" s="128" t="str">
        <f>IF(OR(S97="R",S97=""),"",COUNTIFS($P$4:P97,P97,$S$4:S97,"S")*U97)</f>
        <v/>
      </c>
      <c r="U97" s="128" t="str">
        <f>IF(ISNUMBER(N97),IF($C$11=TRUE,IF(OR(ISODD(COUNTIF($N$4:N97,1)),Y97="Yes"),1,-1),1),"")</f>
        <v/>
      </c>
      <c r="V97" s="128" t="str">
        <f ca="1">IFERROR(IF(AND(S97="R",W97&lt;&gt;""),1,IF(S97="R",MAX(OFFSET(V96,0,0,-1*(ROW(W97)-3-MATCH(MAX($W$4:W96),$W$4:W96,0)),1))+1,"")),"")</f>
        <v/>
      </c>
      <c r="W97" s="129" t="str">
        <f>IFERROR(IF(AND(S97="R", P97&gt;MAX($X$3:X96)),P97,""),"")</f>
        <v/>
      </c>
      <c r="X97" s="129" t="str">
        <f>IFERROR(IF(AND(W97="",Q97&gt;=MAX($X$3:X96)),IF(S97="R",Q97,IF(AND(W97="",P97&lt;=MAX($X$3:X96)),MAX($X$3:X96),"")),IF(W97&lt;&gt;"", Q97,"")),"")</f>
        <v/>
      </c>
      <c r="Y97" s="126" t="str">
        <f>IF(S97="S",IF(OR(P97&lt;=MAX($X$3:X96),P97&gt;=IF(MIN(W$53:$W98)&lt;1,99999999,MIN(W$53:$W98))),"Yes","No"),"")</f>
        <v/>
      </c>
      <c r="AA97" s="130" t="str">
        <f t="shared" si="20"/>
        <v/>
      </c>
      <c r="AB97" s="131" t="str">
        <f t="array" ref="AB97">IF(AA97&lt;=$AA$2,MIN(IF($L$4:$L$503&lt;=AB96,99999999999,$L$4:$L$503)),"")</f>
        <v/>
      </c>
      <c r="AC97" s="130" t="str">
        <f>IF(ISNUMBER(AA97),IF(Dashboard!$H$6&lt;&gt;"Horizontal",AC96+dateDistance,AC96),"")</f>
        <v/>
      </c>
      <c r="AD97" s="130" t="str">
        <f>IF(ISNUMBER(AA97),IF(Dashboard!$H$6="Horizontal",AD96+dateDistance,AD96),"")</f>
        <v/>
      </c>
      <c r="AE97" s="132" t="str">
        <f>IF(ISNUMBER(P97), IF(Dashboard!$H$6="Horizontal",IF(S97="S",INDEX($AC$4:$AC$503,MATCH(P97,$AB$4:$AB$503,0),1)+boxDistance*(T97+IF(Y97="No",IF(ISODD(T97),IF(T97&gt;0,1,-1),0),0))*IF(Y97="No",IF(ISODD(T97),0.5,-0.5),1),timelineStartRow - boxDistance * V97),IF( S97="S",INDEX($AC$4:$AC$503,MATCH(P97,$AB$4:$AB$503,0),1),INDEX($AC$4:$AC$503,MATCH(P97,$AB$4:$AB$503,0),1)&amp;"-"&amp;INDEX($AC$4:$AC$503,MATCH(Q97,$AB$4:$AB$503,0),1))),"")</f>
        <v/>
      </c>
      <c r="AF97" s="132" t="str">
        <f>IF(ISNUMBER(P97), IF(Dashboard!$H$6&lt;&gt;"Horizontal",IF(S97="S",INDEX($AD$4:$AD$503,MATCH(P97,$AB$4:$AB$503,0),1)+boxDistance*(T97+IF(Y97="No",IF(ISODD(T97),IF(T97&gt;0,1,-1),0),0))*IF(Y97="No",IF(ISODD(T97),0.5,-0.5),1),timelineStartColumn-boxDistance * IF(AND(ISNUMBER(V97),V97&gt;1),V97*0.85,1)   ),IF( S97="S",INDEX($AD$4:$AD$503,MATCH(P97,$AB$4:$AB$503,0),1),INDEX($AD$4:$AD$503,MATCH(P97,$AB$4:$AB$503,0),1)&amp;"-"&amp;INDEX($AD$4:$AD$503,MATCH(Q97,$AB$4:$AB$503,0),1))),"")</f>
        <v/>
      </c>
      <c r="AG97" s="133" t="str">
        <f t="shared" si="28"/>
        <v/>
      </c>
      <c r="AH97" s="134" t="str">
        <f t="shared" si="21"/>
        <v/>
      </c>
      <c r="AI97" s="135" t="str">
        <f t="shared" si="22"/>
        <v/>
      </c>
      <c r="AJ97" s="135" t="str">
        <f t="shared" si="29"/>
        <v/>
      </c>
      <c r="AK97" s="126" t="str">
        <f t="shared" si="30"/>
        <v/>
      </c>
      <c r="AL97" s="126" t="str">
        <f ca="1">IFERROR(IF(AK97="","", MATCH(AK97,OFFSET(Icons!$B$5,1,AM97-3,20,1),0)+5),"")</f>
        <v/>
      </c>
      <c r="AM97" s="126" t="str">
        <f t="shared" si="31"/>
        <v/>
      </c>
      <c r="AN97" s="90"/>
      <c r="AW97" s="123">
        <v>11</v>
      </c>
      <c r="AX97" s="172" t="str">
        <f t="array" ref="AX97">IF(INDEX(iconsTable,ROW(AX17)-ROW($AX$3),9)="","",INDEX(iconsTable,ROW(AX17)-ROW($AX$3),9))</f>
        <v>schoolgirl</v>
      </c>
      <c r="AY97" s="123">
        <f t="shared" si="32"/>
        <v>99</v>
      </c>
      <c r="AZ97" s="137" t="str">
        <f t="shared" si="23"/>
        <v/>
      </c>
    </row>
    <row r="98" spans="5:52" ht="15" customHeight="1" x14ac:dyDescent="0.25">
      <c r="E98" s="126">
        <v>95</v>
      </c>
      <c r="F98" s="126"/>
      <c r="G98" s="127"/>
      <c r="H98" s="127"/>
      <c r="I98" s="126"/>
      <c r="K98" s="137" t="str">
        <f t="shared" si="24"/>
        <v/>
      </c>
      <c r="L98" s="127" t="str">
        <f t="shared" si="18"/>
        <v/>
      </c>
      <c r="N98" s="128" t="str">
        <f t="shared" si="25"/>
        <v/>
      </c>
      <c r="O98" s="126" t="str">
        <f t="array" ref="O98">IFERROR(SMALL(IF(($G$4:$G$253=P98),ROW($G$4:$G$253)-ROW($G$3),"" ),N98),"")</f>
        <v/>
      </c>
      <c r="P98" s="127" t="str">
        <f t="array" ref="P98">IFERROR(SMALL($G$4:$G$253,E98),"")</f>
        <v/>
      </c>
      <c r="Q98" s="127" t="str">
        <f t="shared" si="26"/>
        <v/>
      </c>
      <c r="R98" s="126" t="str">
        <f t="shared" si="27"/>
        <v/>
      </c>
      <c r="S98" s="126" t="str">
        <f t="shared" si="19"/>
        <v/>
      </c>
      <c r="T98" s="128" t="str">
        <f>IF(OR(S98="R",S98=""),"",COUNTIFS($P$4:P98,P98,$S$4:S98,"S")*U98)</f>
        <v/>
      </c>
      <c r="U98" s="128" t="str">
        <f>IF(ISNUMBER(N98),IF($C$11=TRUE,IF(OR(ISODD(COUNTIF($N$4:N98,1)),Y98="Yes"),1,-1),1),"")</f>
        <v/>
      </c>
      <c r="V98" s="128" t="str">
        <f ca="1">IFERROR(IF(AND(S98="R",W98&lt;&gt;""),1,IF(S98="R",MAX(OFFSET(V97,0,0,-1*(ROW(W98)-3-MATCH(MAX($W$4:W97),$W$4:W97,0)),1))+1,"")),"")</f>
        <v/>
      </c>
      <c r="W98" s="129" t="str">
        <f>IFERROR(IF(AND(S98="R", P98&gt;MAX($X$3:X97)),P98,""),"")</f>
        <v/>
      </c>
      <c r="X98" s="129" t="str">
        <f>IFERROR(IF(AND(W98="",Q98&gt;=MAX($X$3:X97)),IF(S98="R",Q98,IF(AND(W98="",P98&lt;=MAX($X$3:X97)),MAX($X$3:X97),"")),IF(W98&lt;&gt;"", Q98,"")),"")</f>
        <v/>
      </c>
      <c r="Y98" s="126" t="str">
        <f>IF(S98="S",IF(OR(P98&lt;=MAX($X$3:X97),P98&gt;=IF(MIN(W$53:$W99)&lt;1,99999999,MIN(W$53:$W99))),"Yes","No"),"")</f>
        <v/>
      </c>
      <c r="AA98" s="130" t="str">
        <f t="shared" si="20"/>
        <v/>
      </c>
      <c r="AB98" s="131" t="str">
        <f t="array" ref="AB98">IF(AA98&lt;=$AA$2,MIN(IF($L$4:$L$503&lt;=AB97,99999999999,$L$4:$L$503)),"")</f>
        <v/>
      </c>
      <c r="AC98" s="130" t="str">
        <f>IF(ISNUMBER(AA98),IF(Dashboard!$H$6&lt;&gt;"Horizontal",AC97+dateDistance,AC97),"")</f>
        <v/>
      </c>
      <c r="AD98" s="130" t="str">
        <f>IF(ISNUMBER(AA98),IF(Dashboard!$H$6="Horizontal",AD97+dateDistance,AD97),"")</f>
        <v/>
      </c>
      <c r="AE98" s="132" t="str">
        <f>IF(ISNUMBER(P98), IF(Dashboard!$H$6="Horizontal",IF(S98="S",INDEX($AC$4:$AC$503,MATCH(P98,$AB$4:$AB$503,0),1)+boxDistance*(T98+IF(Y98="No",IF(ISODD(T98),IF(T98&gt;0,1,-1),0),0))*IF(Y98="No",IF(ISODD(T98),0.5,-0.5),1),timelineStartRow - boxDistance * V98),IF( S98="S",INDEX($AC$4:$AC$503,MATCH(P98,$AB$4:$AB$503,0),1),INDEX($AC$4:$AC$503,MATCH(P98,$AB$4:$AB$503,0),1)&amp;"-"&amp;INDEX($AC$4:$AC$503,MATCH(Q98,$AB$4:$AB$503,0),1))),"")</f>
        <v/>
      </c>
      <c r="AF98" s="132" t="str">
        <f>IF(ISNUMBER(P98), IF(Dashboard!$H$6&lt;&gt;"Horizontal",IF(S98="S",INDEX($AD$4:$AD$503,MATCH(P98,$AB$4:$AB$503,0),1)+boxDistance*(T98+IF(Y98="No",IF(ISODD(T98),IF(T98&gt;0,1,-1),0),0))*IF(Y98="No",IF(ISODD(T98),0.5,-0.5),1),timelineStartColumn-boxDistance * IF(AND(ISNUMBER(V98),V98&gt;1),V98*0.85,1)   ),IF( S98="S",INDEX($AD$4:$AD$503,MATCH(P98,$AB$4:$AB$503,0),1),INDEX($AD$4:$AD$503,MATCH(P98,$AB$4:$AB$503,0),1)&amp;"-"&amp;INDEX($AD$4:$AD$503,MATCH(Q98,$AB$4:$AB$503,0),1))),"")</f>
        <v/>
      </c>
      <c r="AG98" s="133" t="str">
        <f t="shared" si="28"/>
        <v/>
      </c>
      <c r="AH98" s="134" t="str">
        <f t="shared" si="21"/>
        <v/>
      </c>
      <c r="AI98" s="135" t="str">
        <f t="shared" si="22"/>
        <v/>
      </c>
      <c r="AJ98" s="135" t="str">
        <f t="shared" si="29"/>
        <v/>
      </c>
      <c r="AK98" s="126" t="str">
        <f t="shared" si="30"/>
        <v/>
      </c>
      <c r="AL98" s="126" t="str">
        <f ca="1">IFERROR(IF(AK98="","", MATCH(AK98,OFFSET(Icons!$B$5,1,AM98-3,20,1),0)+5),"")</f>
        <v/>
      </c>
      <c r="AM98" s="126" t="str">
        <f t="shared" si="31"/>
        <v/>
      </c>
      <c r="AN98" s="90"/>
      <c r="AW98" s="123">
        <v>11</v>
      </c>
      <c r="AX98" s="172" t="str">
        <f t="array" ref="AX98">IF(INDEX(iconsTable,ROW(AX18)-ROW($AX$3),9)="","",INDEX(iconsTable,ROW(AX18)-ROW($AX$3),9))</f>
        <v>scientist</v>
      </c>
      <c r="AY98" s="123">
        <f t="shared" si="32"/>
        <v>100</v>
      </c>
      <c r="AZ98" s="137" t="str">
        <f t="shared" si="23"/>
        <v/>
      </c>
    </row>
    <row r="99" spans="5:52" ht="15" customHeight="1" x14ac:dyDescent="0.25">
      <c r="E99" s="126">
        <v>96</v>
      </c>
      <c r="F99" s="126"/>
      <c r="G99" s="127"/>
      <c r="H99" s="127"/>
      <c r="I99" s="126"/>
      <c r="K99" s="137" t="str">
        <f t="shared" si="24"/>
        <v/>
      </c>
      <c r="L99" s="127" t="str">
        <f t="shared" si="18"/>
        <v/>
      </c>
      <c r="N99" s="128" t="str">
        <f t="shared" si="25"/>
        <v/>
      </c>
      <c r="O99" s="126" t="str">
        <f t="array" ref="O99">IFERROR(SMALL(IF(($G$4:$G$253=P99),ROW($G$4:$G$253)-ROW($G$3),"" ),N99),"")</f>
        <v/>
      </c>
      <c r="P99" s="127" t="str">
        <f t="array" ref="P99">IFERROR(SMALL($G$4:$G$253,E99),"")</f>
        <v/>
      </c>
      <c r="Q99" s="127" t="str">
        <f t="shared" si="26"/>
        <v/>
      </c>
      <c r="R99" s="126" t="str">
        <f t="shared" si="27"/>
        <v/>
      </c>
      <c r="S99" s="126" t="str">
        <f t="shared" si="19"/>
        <v/>
      </c>
      <c r="T99" s="128" t="str">
        <f>IF(OR(S99="R",S99=""),"",COUNTIFS($P$4:P99,P99,$S$4:S99,"S")*U99)</f>
        <v/>
      </c>
      <c r="U99" s="128" t="str">
        <f>IF(ISNUMBER(N99),IF($C$11=TRUE,IF(OR(ISODD(COUNTIF($N$4:N99,1)),Y99="Yes"),1,-1),1),"")</f>
        <v/>
      </c>
      <c r="V99" s="128" t="str">
        <f ca="1">IFERROR(IF(AND(S99="R",W99&lt;&gt;""),1,IF(S99="R",MAX(OFFSET(V98,0,0,-1*(ROW(W99)-3-MATCH(MAX($W$4:W98),$W$4:W98,0)),1))+1,"")),"")</f>
        <v/>
      </c>
      <c r="W99" s="129" t="str">
        <f>IFERROR(IF(AND(S99="R", P99&gt;MAX($X$3:X98)),P99,""),"")</f>
        <v/>
      </c>
      <c r="X99" s="129" t="str">
        <f>IFERROR(IF(AND(W99="",Q99&gt;=MAX($X$3:X98)),IF(S99="R",Q99,IF(AND(W99="",P99&lt;=MAX($X$3:X98)),MAX($X$3:X98),"")),IF(W99&lt;&gt;"", Q99,"")),"")</f>
        <v/>
      </c>
      <c r="Y99" s="126" t="str">
        <f>IF(S99="S",IF(OR(P99&lt;=MAX($X$3:X98),P99&gt;=IF(MIN(W$53:$W100)&lt;1,99999999,MIN(W$53:$W100))),"Yes","No"),"")</f>
        <v/>
      </c>
      <c r="AA99" s="130" t="str">
        <f t="shared" si="20"/>
        <v/>
      </c>
      <c r="AB99" s="131" t="str">
        <f t="array" ref="AB99">IF(AA99&lt;=$AA$2,MIN(IF($L$4:$L$503&lt;=AB98,99999999999,$L$4:$L$503)),"")</f>
        <v/>
      </c>
      <c r="AC99" s="130" t="str">
        <f>IF(ISNUMBER(AA99),IF(Dashboard!$H$6&lt;&gt;"Horizontal",AC98+dateDistance,AC98),"")</f>
        <v/>
      </c>
      <c r="AD99" s="130" t="str">
        <f>IF(ISNUMBER(AA99),IF(Dashboard!$H$6="Horizontal",AD98+dateDistance,AD98),"")</f>
        <v/>
      </c>
      <c r="AE99" s="132" t="str">
        <f>IF(ISNUMBER(P99), IF(Dashboard!$H$6="Horizontal",IF(S99="S",INDEX($AC$4:$AC$503,MATCH(P99,$AB$4:$AB$503,0),1)+boxDistance*(T99+IF(Y99="No",IF(ISODD(T99),IF(T99&gt;0,1,-1),0),0))*IF(Y99="No",IF(ISODD(T99),0.5,-0.5),1),timelineStartRow - boxDistance * V99),IF( S99="S",INDEX($AC$4:$AC$503,MATCH(P99,$AB$4:$AB$503,0),1),INDEX($AC$4:$AC$503,MATCH(P99,$AB$4:$AB$503,0),1)&amp;"-"&amp;INDEX($AC$4:$AC$503,MATCH(Q99,$AB$4:$AB$503,0),1))),"")</f>
        <v/>
      </c>
      <c r="AF99" s="132" t="str">
        <f>IF(ISNUMBER(P99), IF(Dashboard!$H$6&lt;&gt;"Horizontal",IF(S99="S",INDEX($AD$4:$AD$503,MATCH(P99,$AB$4:$AB$503,0),1)+boxDistance*(T99+IF(Y99="No",IF(ISODD(T99),IF(T99&gt;0,1,-1),0),0))*IF(Y99="No",IF(ISODD(T99),0.5,-0.5),1),timelineStartColumn-boxDistance * IF(AND(ISNUMBER(V99),V99&gt;1),V99*0.85,1)   ),IF( S99="S",INDEX($AD$4:$AD$503,MATCH(P99,$AB$4:$AB$503,0),1),INDEX($AD$4:$AD$503,MATCH(P99,$AB$4:$AB$503,0),1)&amp;"-"&amp;INDEX($AD$4:$AD$503,MATCH(Q99,$AB$4:$AB$503,0),1))),"")</f>
        <v/>
      </c>
      <c r="AG99" s="133" t="str">
        <f t="shared" si="28"/>
        <v/>
      </c>
      <c r="AH99" s="134" t="str">
        <f t="shared" si="21"/>
        <v/>
      </c>
      <c r="AI99" s="135" t="str">
        <f t="shared" si="22"/>
        <v/>
      </c>
      <c r="AJ99" s="135" t="str">
        <f t="shared" si="29"/>
        <v/>
      </c>
      <c r="AK99" s="126" t="str">
        <f t="shared" si="30"/>
        <v/>
      </c>
      <c r="AL99" s="126" t="str">
        <f ca="1">IFERROR(IF(AK99="","", MATCH(AK99,OFFSET(Icons!$B$5,1,AM99-3,20,1),0)+5),"")</f>
        <v/>
      </c>
      <c r="AM99" s="126" t="str">
        <f t="shared" si="31"/>
        <v/>
      </c>
      <c r="AN99" s="90"/>
      <c r="AW99" s="123">
        <v>11</v>
      </c>
      <c r="AX99" s="172" t="str">
        <f t="array" ref="AX99">IF(INDEX(iconsTable,ROW(AX19)-ROW($AX$3),9)="","",INDEX(iconsTable,ROW(AX19)-ROW($AX$3),9))</f>
        <v/>
      </c>
      <c r="AY99" s="123" t="str">
        <f>IF(AX99="","",COUNTIF($AX$4:$AX$103,"&lt;="&amp;AX99)+(COUNT($AX$4:$AX$103)*ISTEXT(AX99)))</f>
        <v/>
      </c>
      <c r="AZ99" s="137" t="str">
        <f t="shared" si="23"/>
        <v/>
      </c>
    </row>
    <row r="100" spans="5:52" ht="15" customHeight="1" x14ac:dyDescent="0.25">
      <c r="E100" s="126">
        <v>97</v>
      </c>
      <c r="F100" s="126"/>
      <c r="G100" s="127"/>
      <c r="H100" s="127"/>
      <c r="I100" s="126"/>
      <c r="K100" s="137" t="str">
        <f t="shared" si="24"/>
        <v/>
      </c>
      <c r="L100" s="127" t="str">
        <f t="shared" si="18"/>
        <v/>
      </c>
      <c r="N100" s="128" t="str">
        <f t="shared" si="25"/>
        <v/>
      </c>
      <c r="O100" s="126" t="str">
        <f t="array" ref="O100">IFERROR(SMALL(IF(($G$4:$G$253=P100),ROW($G$4:$G$253)-ROW($G$3),"" ),N100),"")</f>
        <v/>
      </c>
      <c r="P100" s="127" t="str">
        <f t="array" ref="P100">IFERROR(SMALL($G$4:$G$253,E100),"")</f>
        <v/>
      </c>
      <c r="Q100" s="127" t="str">
        <f t="shared" si="26"/>
        <v/>
      </c>
      <c r="R100" s="126" t="str">
        <f t="shared" si="27"/>
        <v/>
      </c>
      <c r="S100" s="126" t="str">
        <f t="shared" si="19"/>
        <v/>
      </c>
      <c r="T100" s="128" t="str">
        <f>IF(OR(S100="R",S100=""),"",COUNTIFS($P$4:P100,P100,$S$4:S100,"S")*U100)</f>
        <v/>
      </c>
      <c r="U100" s="128" t="str">
        <f>IF(ISNUMBER(N100),IF($C$11=TRUE,IF(OR(ISODD(COUNTIF($N$4:N100,1)),Y100="Yes"),1,-1),1),"")</f>
        <v/>
      </c>
      <c r="V100" s="128" t="str">
        <f ca="1">IFERROR(IF(AND(S100="R",W100&lt;&gt;""),1,IF(S100="R",MAX(OFFSET(V99,0,0,-1*(ROW(W100)-3-MATCH(MAX($W$4:W99),$W$4:W99,0)),1))+1,"")),"")</f>
        <v/>
      </c>
      <c r="W100" s="129" t="str">
        <f>IFERROR(IF(AND(S100="R", P100&gt;MAX($X$3:X99)),P100,""),"")</f>
        <v/>
      </c>
      <c r="X100" s="129" t="str">
        <f>IFERROR(IF(AND(W100="",Q100&gt;=MAX($X$3:X99)),IF(S100="R",Q100,IF(AND(W100="",P100&lt;=MAX($X$3:X99)),MAX($X$3:X99),"")),IF(W100&lt;&gt;"", Q100,"")),"")</f>
        <v/>
      </c>
      <c r="Y100" s="126" t="str">
        <f>IF(S100="S",IF(OR(P100&lt;=MAX($X$3:X99),P100&gt;=IF(MIN(W$53:$W101)&lt;1,99999999,MIN(W$53:$W101))),"Yes","No"),"")</f>
        <v/>
      </c>
      <c r="AA100" s="130" t="str">
        <f t="shared" si="20"/>
        <v/>
      </c>
      <c r="AB100" s="131" t="str">
        <f t="array" ref="AB100">IF(AA100&lt;=$AA$2,MIN(IF($L$4:$L$503&lt;=AB99,99999999999,$L$4:$L$503)),"")</f>
        <v/>
      </c>
      <c r="AC100" s="130" t="str">
        <f>IF(ISNUMBER(AA100),IF(Dashboard!$H$6&lt;&gt;"Horizontal",AC99+dateDistance,AC99),"")</f>
        <v/>
      </c>
      <c r="AD100" s="130" t="str">
        <f>IF(ISNUMBER(AA100),IF(Dashboard!$H$6="Horizontal",AD99+dateDistance,AD99),"")</f>
        <v/>
      </c>
      <c r="AE100" s="132" t="str">
        <f>IF(ISNUMBER(P100), IF(Dashboard!$H$6="Horizontal",IF(S100="S",INDEX($AC$4:$AC$503,MATCH(P100,$AB$4:$AB$503,0),1)+boxDistance*(T100+IF(Y100="No",IF(ISODD(T100),IF(T100&gt;0,1,-1),0),0))*IF(Y100="No",IF(ISODD(T100),0.5,-0.5),1),timelineStartRow - boxDistance * V100),IF( S100="S",INDEX($AC$4:$AC$503,MATCH(P100,$AB$4:$AB$503,0),1),INDEX($AC$4:$AC$503,MATCH(P100,$AB$4:$AB$503,0),1)&amp;"-"&amp;INDEX($AC$4:$AC$503,MATCH(Q100,$AB$4:$AB$503,0),1))),"")</f>
        <v/>
      </c>
      <c r="AF100" s="132" t="str">
        <f>IF(ISNUMBER(P100), IF(Dashboard!$H$6&lt;&gt;"Horizontal",IF(S100="S",INDEX($AD$4:$AD$503,MATCH(P100,$AB$4:$AB$503,0),1)+boxDistance*(T100+IF(Y100="No",IF(ISODD(T100),IF(T100&gt;0,1,-1),0),0))*IF(Y100="No",IF(ISODD(T100),0.5,-0.5),1),timelineStartColumn-boxDistance * IF(AND(ISNUMBER(V100),V100&gt;1),V100*0.85,1)   ),IF( S100="S",INDEX($AD$4:$AD$503,MATCH(P100,$AB$4:$AB$503,0),1),INDEX($AD$4:$AD$503,MATCH(P100,$AB$4:$AB$503,0),1)&amp;"-"&amp;INDEX($AD$4:$AD$503,MATCH(Q100,$AB$4:$AB$503,0),1))),"")</f>
        <v/>
      </c>
      <c r="AG100" s="133" t="str">
        <f t="shared" si="28"/>
        <v/>
      </c>
      <c r="AH100" s="134" t="str">
        <f t="shared" si="21"/>
        <v/>
      </c>
      <c r="AI100" s="135" t="str">
        <f t="shared" si="22"/>
        <v/>
      </c>
      <c r="AJ100" s="135" t="str">
        <f t="shared" si="29"/>
        <v/>
      </c>
      <c r="AK100" s="126" t="str">
        <f t="shared" si="30"/>
        <v/>
      </c>
      <c r="AL100" s="126" t="str">
        <f ca="1">IFERROR(IF(AK100="","", MATCH(AK100,OFFSET(Icons!$B$5,1,AM100-3,20,1),0)+5),"")</f>
        <v/>
      </c>
      <c r="AM100" s="126" t="str">
        <f t="shared" si="31"/>
        <v/>
      </c>
      <c r="AN100" s="90"/>
      <c r="AW100" s="123">
        <v>11</v>
      </c>
      <c r="AX100" s="172" t="str">
        <f t="array" ref="AX100">IF(INDEX(iconsTable,ROW(AX20)-ROW($AX$3),9)="","",INDEX(iconsTable,ROW(AX20)-ROW($AX$3),9))</f>
        <v/>
      </c>
      <c r="AY100" s="123" t="str">
        <f t="shared" ref="AY100:AY103" si="33">IF(AX100="","",COUNTIF($AX$4:$AX$103,"&lt;="&amp;AX100)+(COUNT($AX$4:$AX$103)*ISTEXT(AX100)))</f>
        <v/>
      </c>
      <c r="AZ100" s="137" t="str">
        <f t="shared" si="23"/>
        <v/>
      </c>
    </row>
    <row r="101" spans="5:52" ht="15" customHeight="1" x14ac:dyDescent="0.25">
      <c r="E101" s="126">
        <v>98</v>
      </c>
      <c r="F101" s="126"/>
      <c r="G101" s="127"/>
      <c r="H101" s="127"/>
      <c r="I101" s="126"/>
      <c r="K101" s="137" t="str">
        <f t="shared" si="24"/>
        <v/>
      </c>
      <c r="L101" s="127" t="str">
        <f t="shared" si="18"/>
        <v/>
      </c>
      <c r="N101" s="128" t="str">
        <f t="shared" si="25"/>
        <v/>
      </c>
      <c r="O101" s="126" t="str">
        <f t="array" ref="O101">IFERROR(SMALL(IF(($G$4:$G$253=P101),ROW($G$4:$G$253)-ROW($G$3),"" ),N101),"")</f>
        <v/>
      </c>
      <c r="P101" s="127" t="str">
        <f t="array" ref="P101">IFERROR(SMALL($G$4:$G$253,E101),"")</f>
        <v/>
      </c>
      <c r="Q101" s="127" t="str">
        <f t="shared" si="26"/>
        <v/>
      </c>
      <c r="R101" s="126" t="str">
        <f t="shared" si="27"/>
        <v/>
      </c>
      <c r="S101" s="126" t="str">
        <f t="shared" si="19"/>
        <v/>
      </c>
      <c r="T101" s="128" t="str">
        <f>IF(OR(S101="R",S101=""),"",COUNTIFS($P$4:P101,P101,$S$4:S101,"S")*U101)</f>
        <v/>
      </c>
      <c r="U101" s="128" t="str">
        <f>IF(ISNUMBER(N101),IF($C$11=TRUE,IF(OR(ISODD(COUNTIF($N$4:N101,1)),Y101="Yes"),1,-1),1),"")</f>
        <v/>
      </c>
      <c r="V101" s="128" t="str">
        <f ca="1">IFERROR(IF(AND(S101="R",W101&lt;&gt;""),1,IF(S101="R",MAX(OFFSET(V100,0,0,-1*(ROW(W101)-3-MATCH(MAX($W$4:W100),$W$4:W100,0)),1))+1,"")),"")</f>
        <v/>
      </c>
      <c r="W101" s="129" t="str">
        <f>IFERROR(IF(AND(S101="R", P101&gt;MAX($X$3:X100)),P101,""),"")</f>
        <v/>
      </c>
      <c r="X101" s="129" t="str">
        <f>IFERROR(IF(AND(W101="",Q101&gt;=MAX($X$3:X100)),IF(S101="R",Q101,IF(AND(W101="",P101&lt;=MAX($X$3:X100)),MAX($X$3:X100),"")),IF(W101&lt;&gt;"", Q101,"")),"")</f>
        <v/>
      </c>
      <c r="Y101" s="126" t="str">
        <f>IF(S101="S",IF(OR(P101&lt;=MAX($X$3:X100),P101&gt;=IF(MIN(W$53:$W102)&lt;1,99999999,MIN(W$53:$W102))),"Yes","No"),"")</f>
        <v/>
      </c>
      <c r="AA101" s="130" t="str">
        <f t="shared" si="20"/>
        <v/>
      </c>
      <c r="AB101" s="131" t="str">
        <f t="array" ref="AB101">IF(AA101&lt;=$AA$2,MIN(IF($L$4:$L$503&lt;=AB100,99999999999,$L$4:$L$503)),"")</f>
        <v/>
      </c>
      <c r="AC101" s="130" t="str">
        <f>IF(ISNUMBER(AA101),IF(Dashboard!$H$6&lt;&gt;"Horizontal",AC100+dateDistance,AC100),"")</f>
        <v/>
      </c>
      <c r="AD101" s="130" t="str">
        <f>IF(ISNUMBER(AA101),IF(Dashboard!$H$6="Horizontal",AD100+dateDistance,AD100),"")</f>
        <v/>
      </c>
      <c r="AE101" s="132" t="str">
        <f>IF(ISNUMBER(P101), IF(Dashboard!$H$6="Horizontal",IF(S101="S",INDEX($AC$4:$AC$503,MATCH(P101,$AB$4:$AB$503,0),1)+boxDistance*(T101+IF(Y101="No",IF(ISODD(T101),IF(T101&gt;0,1,-1),0),0))*IF(Y101="No",IF(ISODD(T101),0.5,-0.5),1),timelineStartRow - boxDistance * V101),IF( S101="S",INDEX($AC$4:$AC$503,MATCH(P101,$AB$4:$AB$503,0),1),INDEX($AC$4:$AC$503,MATCH(P101,$AB$4:$AB$503,0),1)&amp;"-"&amp;INDEX($AC$4:$AC$503,MATCH(Q101,$AB$4:$AB$503,0),1))),"")</f>
        <v/>
      </c>
      <c r="AF101" s="132" t="str">
        <f>IF(ISNUMBER(P101), IF(Dashboard!$H$6&lt;&gt;"Horizontal",IF(S101="S",INDEX($AD$4:$AD$503,MATCH(P101,$AB$4:$AB$503,0),1)+boxDistance*(T101+IF(Y101="No",IF(ISODD(T101),IF(T101&gt;0,1,-1),0),0))*IF(Y101="No",IF(ISODD(T101),0.5,-0.5),1),timelineStartColumn-boxDistance * IF(AND(ISNUMBER(V101),V101&gt;1),V101*0.85,1)   ),IF( S101="S",INDEX($AD$4:$AD$503,MATCH(P101,$AB$4:$AB$503,0),1),INDEX($AD$4:$AD$503,MATCH(P101,$AB$4:$AB$503,0),1)&amp;"-"&amp;INDEX($AD$4:$AD$503,MATCH(Q101,$AB$4:$AB$503,0),1))),"")</f>
        <v/>
      </c>
      <c r="AG101" s="133" t="str">
        <f t="shared" si="28"/>
        <v/>
      </c>
      <c r="AH101" s="134" t="str">
        <f t="shared" si="21"/>
        <v/>
      </c>
      <c r="AI101" s="135" t="str">
        <f t="shared" si="22"/>
        <v/>
      </c>
      <c r="AJ101" s="135" t="str">
        <f t="shared" si="29"/>
        <v/>
      </c>
      <c r="AK101" s="126" t="str">
        <f t="shared" si="30"/>
        <v/>
      </c>
      <c r="AL101" s="126" t="str">
        <f ca="1">IFERROR(IF(AK101="","", MATCH(AK101,OFFSET(Icons!$B$5,1,AM101-3,20,1),0)+5),"")</f>
        <v/>
      </c>
      <c r="AM101" s="126" t="str">
        <f t="shared" si="31"/>
        <v/>
      </c>
      <c r="AN101" s="90"/>
      <c r="AW101" s="123">
        <v>11</v>
      </c>
      <c r="AX101" s="172" t="str">
        <f t="array" ref="AX101">IF(INDEX(iconsTable,ROW(AX21)-ROW($AX$3),9)="","",INDEX(iconsTable,ROW(AX21)-ROW($AX$3),9))</f>
        <v/>
      </c>
      <c r="AY101" s="123" t="str">
        <f t="shared" si="33"/>
        <v/>
      </c>
      <c r="AZ101" s="137" t="str">
        <f t="shared" si="23"/>
        <v/>
      </c>
    </row>
    <row r="102" spans="5:52" ht="15" customHeight="1" x14ac:dyDescent="0.25">
      <c r="E102" s="126">
        <v>99</v>
      </c>
      <c r="F102" s="126"/>
      <c r="G102" s="127"/>
      <c r="H102" s="127"/>
      <c r="I102" s="126"/>
      <c r="K102" s="137" t="str">
        <f t="shared" si="24"/>
        <v/>
      </c>
      <c r="L102" s="127" t="str">
        <f t="shared" si="18"/>
        <v/>
      </c>
      <c r="N102" s="128" t="str">
        <f t="shared" si="25"/>
        <v/>
      </c>
      <c r="O102" s="126" t="str">
        <f t="array" ref="O102">IFERROR(SMALL(IF(($G$4:$G$253=P102),ROW($G$4:$G$253)-ROW($G$3),"" ),N102),"")</f>
        <v/>
      </c>
      <c r="P102" s="127" t="str">
        <f t="array" ref="P102">IFERROR(SMALL($G$4:$G$253,E102),"")</f>
        <v/>
      </c>
      <c r="Q102" s="127" t="str">
        <f t="shared" si="26"/>
        <v/>
      </c>
      <c r="R102" s="126" t="str">
        <f t="shared" si="27"/>
        <v/>
      </c>
      <c r="S102" s="126" t="str">
        <f t="shared" si="19"/>
        <v/>
      </c>
      <c r="T102" s="128" t="str">
        <f>IF(OR(S102="R",S102=""),"",COUNTIFS($P$4:P102,P102,$S$4:S102,"S")*U102)</f>
        <v/>
      </c>
      <c r="U102" s="128" t="str">
        <f>IF(ISNUMBER(N102),IF($C$11=TRUE,IF(OR(ISODD(COUNTIF($N$4:N102,1)),Y102="Yes"),1,-1),1),"")</f>
        <v/>
      </c>
      <c r="V102" s="128" t="str">
        <f ca="1">IFERROR(IF(AND(S102="R",W102&lt;&gt;""),1,IF(S102="R",MAX(OFFSET(V101,0,0,-1*(ROW(W102)-3-MATCH(MAX($W$4:W101),$W$4:W101,0)),1))+1,"")),"")</f>
        <v/>
      </c>
      <c r="W102" s="129" t="str">
        <f>IFERROR(IF(AND(S102="R", P102&gt;MAX($X$3:X101)),P102,""),"")</f>
        <v/>
      </c>
      <c r="X102" s="129" t="str">
        <f>IFERROR(IF(AND(W102="",Q102&gt;=MAX($X$3:X101)),IF(S102="R",Q102,IF(AND(W102="",P102&lt;=MAX($X$3:X101)),MAX($X$3:X101),"")),IF(W102&lt;&gt;"", Q102,"")),"")</f>
        <v/>
      </c>
      <c r="Y102" s="126" t="str">
        <f>IF(S102="S",IF(OR(P102&lt;=MAX($X$3:X101),P102&gt;=IF(MIN(W$53:$W103)&lt;1,99999999,MIN(W$53:$W103))),"Yes","No"),"")</f>
        <v/>
      </c>
      <c r="AA102" s="130" t="str">
        <f t="shared" si="20"/>
        <v/>
      </c>
      <c r="AB102" s="131" t="str">
        <f t="array" ref="AB102">IF(AA102&lt;=$AA$2,MIN(IF($L$4:$L$503&lt;=AB101,99999999999,$L$4:$L$503)),"")</f>
        <v/>
      </c>
      <c r="AC102" s="130" t="str">
        <f>IF(ISNUMBER(AA102),IF(Dashboard!$H$6&lt;&gt;"Horizontal",AC101+dateDistance,AC101),"")</f>
        <v/>
      </c>
      <c r="AD102" s="130" t="str">
        <f>IF(ISNUMBER(AA102),IF(Dashboard!$H$6="Horizontal",AD101+dateDistance,AD101),"")</f>
        <v/>
      </c>
      <c r="AE102" s="132" t="str">
        <f>IF(ISNUMBER(P102), IF(Dashboard!$H$6="Horizontal",IF(S102="S",INDEX($AC$4:$AC$503,MATCH(P102,$AB$4:$AB$503,0),1)+boxDistance*(T102+IF(Y102="No",IF(ISODD(T102),IF(T102&gt;0,1,-1),0),0))*IF(Y102="No",IF(ISODD(T102),0.5,-0.5),1),timelineStartRow - boxDistance * V102),IF( S102="S",INDEX($AC$4:$AC$503,MATCH(P102,$AB$4:$AB$503,0),1),INDEX($AC$4:$AC$503,MATCH(P102,$AB$4:$AB$503,0),1)&amp;"-"&amp;INDEX($AC$4:$AC$503,MATCH(Q102,$AB$4:$AB$503,0),1))),"")</f>
        <v/>
      </c>
      <c r="AF102" s="132" t="str">
        <f>IF(ISNUMBER(P102), IF(Dashboard!$H$6&lt;&gt;"Horizontal",IF(S102="S",INDEX($AD$4:$AD$503,MATCH(P102,$AB$4:$AB$503,0),1)+boxDistance*(T102+IF(Y102="No",IF(ISODD(T102),IF(T102&gt;0,1,-1),0),0))*IF(Y102="No",IF(ISODD(T102),0.5,-0.5),1),timelineStartColumn-boxDistance * IF(AND(ISNUMBER(V102),V102&gt;1),V102*0.85,1)   ),IF( S102="S",INDEX($AD$4:$AD$503,MATCH(P102,$AB$4:$AB$503,0),1),INDEX($AD$4:$AD$503,MATCH(P102,$AB$4:$AB$503,0),1)&amp;"-"&amp;INDEX($AD$4:$AD$503,MATCH(Q102,$AB$4:$AB$503,0),1))),"")</f>
        <v/>
      </c>
      <c r="AG102" s="133" t="str">
        <f t="shared" si="28"/>
        <v/>
      </c>
      <c r="AH102" s="134" t="str">
        <f t="shared" si="21"/>
        <v/>
      </c>
      <c r="AI102" s="135" t="str">
        <f t="shared" si="22"/>
        <v/>
      </c>
      <c r="AJ102" s="135" t="str">
        <f t="shared" si="29"/>
        <v/>
      </c>
      <c r="AK102" s="126" t="str">
        <f t="shared" si="30"/>
        <v/>
      </c>
      <c r="AL102" s="126" t="str">
        <f ca="1">IFERROR(IF(AK102="","", MATCH(AK102,OFFSET(Icons!$B$5,1,AM102-3,20,1),0)+5),"")</f>
        <v/>
      </c>
      <c r="AM102" s="126" t="str">
        <f t="shared" si="31"/>
        <v/>
      </c>
      <c r="AN102" s="90"/>
      <c r="AW102" s="123">
        <v>11</v>
      </c>
      <c r="AX102" s="172" t="str">
        <f t="array" ref="AX102">IF(INDEX(iconsTable,ROW(AX22)-ROW($AX$3),9)="","",INDEX(iconsTable,ROW(AX22)-ROW($AX$3),9))</f>
        <v/>
      </c>
      <c r="AY102" s="123" t="str">
        <f t="shared" si="33"/>
        <v/>
      </c>
      <c r="AZ102" s="137" t="str">
        <f t="shared" si="23"/>
        <v/>
      </c>
    </row>
    <row r="103" spans="5:52" ht="15" customHeight="1" x14ac:dyDescent="0.25">
      <c r="E103" s="126">
        <v>100</v>
      </c>
      <c r="F103" s="126"/>
      <c r="G103" s="127"/>
      <c r="H103" s="127"/>
      <c r="I103" s="126"/>
      <c r="K103" s="137" t="str">
        <f t="shared" si="24"/>
        <v/>
      </c>
      <c r="L103" s="127" t="str">
        <f t="shared" si="18"/>
        <v/>
      </c>
      <c r="N103" s="128" t="str">
        <f t="shared" si="25"/>
        <v/>
      </c>
      <c r="O103" s="126" t="str">
        <f t="array" ref="O103">IFERROR(SMALL(IF(($G$4:$G$253=P103),ROW($G$4:$G$253)-ROW($G$3),"" ),N103),"")</f>
        <v/>
      </c>
      <c r="P103" s="127" t="str">
        <f t="array" ref="P103">IFERROR(SMALL($G$4:$G$253,E103),"")</f>
        <v/>
      </c>
      <c r="Q103" s="127" t="str">
        <f t="shared" si="26"/>
        <v/>
      </c>
      <c r="R103" s="126" t="str">
        <f t="shared" si="27"/>
        <v/>
      </c>
      <c r="S103" s="126" t="str">
        <f t="shared" si="19"/>
        <v/>
      </c>
      <c r="T103" s="128" t="str">
        <f>IF(OR(S103="R",S103=""),"",COUNTIFS($P$4:P103,P103,$S$4:S103,"S")*U103)</f>
        <v/>
      </c>
      <c r="U103" s="128" t="str">
        <f>IF(ISNUMBER(N103),IF($C$11=TRUE,IF(OR(ISODD(COUNTIF($N$4:N103,1)),Y103="Yes"),1,-1),1),"")</f>
        <v/>
      </c>
      <c r="V103" s="128" t="str">
        <f ca="1">IFERROR(IF(AND(S103="R",W103&lt;&gt;""),1,IF(S103="R",MAX(OFFSET(V102,0,0,-1*(ROW(W103)-3-MATCH(MAX($W$4:W102),$W$4:W102,0)),1))+1,"")),"")</f>
        <v/>
      </c>
      <c r="W103" s="129" t="str">
        <f>IFERROR(IF(AND(S103="R", P103&gt;MAX($X$3:X102)),P103,""),"")</f>
        <v/>
      </c>
      <c r="X103" s="129" t="str">
        <f>IFERROR(IF(AND(W103="",Q103&gt;=MAX($X$3:X102)),IF(S103="R",Q103,IF(AND(W103="",P103&lt;=MAX($X$3:X102)),MAX($X$3:X102),"")),IF(W103&lt;&gt;"", Q103,"")),"")</f>
        <v/>
      </c>
      <c r="Y103" s="126" t="str">
        <f>IF(S103="S",IF(OR(P103&lt;=MAX($X$3:X102),P103&gt;=IF(MIN(W$53:$W104)&lt;1,99999999,MIN(W$53:$W104))),"Yes","No"),"")</f>
        <v/>
      </c>
      <c r="AA103" s="130" t="str">
        <f t="shared" si="20"/>
        <v/>
      </c>
      <c r="AB103" s="131" t="str">
        <f t="array" ref="AB103">IF(AA103&lt;=$AA$2,MIN(IF($L$4:$L$503&lt;=AB102,99999999999,$L$4:$L$503)),"")</f>
        <v/>
      </c>
      <c r="AC103" s="130" t="str">
        <f>IF(ISNUMBER(AA103),IF(Dashboard!$H$6&lt;&gt;"Horizontal",AC102+dateDistance,AC102),"")</f>
        <v/>
      </c>
      <c r="AD103" s="130" t="str">
        <f>IF(ISNUMBER(AA103),IF(Dashboard!$H$6="Horizontal",AD102+dateDistance,AD102),"")</f>
        <v/>
      </c>
      <c r="AE103" s="132" t="str">
        <f>IF(ISNUMBER(P103), IF(Dashboard!$H$6="Horizontal",IF(S103="S",INDEX($AC$4:$AC$503,MATCH(P103,$AB$4:$AB$503,0),1)+boxDistance*(T103+IF(Y103="No",IF(ISODD(T103),IF(T103&gt;0,1,-1),0),0))*IF(Y103="No",IF(ISODD(T103),0.5,-0.5),1),timelineStartRow - boxDistance * V103),IF( S103="S",INDEX($AC$4:$AC$503,MATCH(P103,$AB$4:$AB$503,0),1),INDEX($AC$4:$AC$503,MATCH(P103,$AB$4:$AB$503,0),1)&amp;"-"&amp;INDEX($AC$4:$AC$503,MATCH(Q103,$AB$4:$AB$503,0),1))),"")</f>
        <v/>
      </c>
      <c r="AF103" s="132" t="str">
        <f>IF(ISNUMBER(P103), IF(Dashboard!$H$6&lt;&gt;"Horizontal",IF(S103="S",INDEX($AD$4:$AD$503,MATCH(P103,$AB$4:$AB$503,0),1)+boxDistance*(T103+IF(Y103="No",IF(ISODD(T103),IF(T103&gt;0,1,-1),0),0))*IF(Y103="No",IF(ISODD(T103),0.5,-0.5),1),timelineStartColumn-boxDistance * IF(AND(ISNUMBER(V103),V103&gt;1),V103*0.85,1)   ),IF( S103="S",INDEX($AD$4:$AD$503,MATCH(P103,$AB$4:$AB$503,0),1),INDEX($AD$4:$AD$503,MATCH(P103,$AB$4:$AB$503,0),1)&amp;"-"&amp;INDEX($AD$4:$AD$503,MATCH(Q103,$AB$4:$AB$503,0),1))),"")</f>
        <v/>
      </c>
      <c r="AG103" s="133" t="str">
        <f t="shared" si="28"/>
        <v/>
      </c>
      <c r="AH103" s="134" t="str">
        <f t="shared" si="21"/>
        <v/>
      </c>
      <c r="AI103" s="135" t="str">
        <f t="shared" si="22"/>
        <v/>
      </c>
      <c r="AJ103" s="135" t="str">
        <f t="shared" si="29"/>
        <v/>
      </c>
      <c r="AK103" s="126" t="str">
        <f t="shared" si="30"/>
        <v/>
      </c>
      <c r="AL103" s="126" t="str">
        <f ca="1">IFERROR(IF(AK103="","", MATCH(AK103,OFFSET(Icons!$B$5,1,AM103-3,20,1),0)+5),"")</f>
        <v/>
      </c>
      <c r="AM103" s="126" t="str">
        <f t="shared" si="31"/>
        <v/>
      </c>
      <c r="AN103" s="90"/>
      <c r="AW103" s="123">
        <v>11</v>
      </c>
      <c r="AX103" s="172" t="str">
        <f t="array" ref="AX103">IF(INDEX(iconsTable,ROW(AX23)-ROW($AX$3),9)="","",INDEX(iconsTable,ROW(AX23)-ROW($AX$3),9))</f>
        <v/>
      </c>
      <c r="AY103" s="123" t="str">
        <f t="shared" si="33"/>
        <v/>
      </c>
      <c r="AZ103" s="137" t="str">
        <f t="shared" si="23"/>
        <v/>
      </c>
    </row>
    <row r="104" spans="5:52" ht="15" customHeight="1" x14ac:dyDescent="0.25">
      <c r="E104" s="126">
        <v>101</v>
      </c>
      <c r="F104" s="126"/>
      <c r="G104" s="127"/>
      <c r="H104" s="127"/>
      <c r="I104" s="126"/>
      <c r="K104" s="137" t="str">
        <f t="shared" si="24"/>
        <v/>
      </c>
      <c r="L104" s="127" t="str">
        <f t="shared" si="18"/>
        <v/>
      </c>
      <c r="N104" s="128" t="str">
        <f t="shared" si="25"/>
        <v/>
      </c>
      <c r="O104" s="126" t="str">
        <f t="array" ref="O104">IFERROR(SMALL(IF(($G$4:$G$253=P104),ROW($G$4:$G$253)-ROW($G$3),"" ),N104),"")</f>
        <v/>
      </c>
      <c r="P104" s="127" t="str">
        <f t="array" ref="P104">IFERROR(SMALL($G$4:$G$253,E104),"")</f>
        <v/>
      </c>
      <c r="Q104" s="127" t="str">
        <f t="shared" si="26"/>
        <v/>
      </c>
      <c r="R104" s="126" t="str">
        <f t="shared" si="27"/>
        <v/>
      </c>
      <c r="S104" s="126" t="str">
        <f t="shared" si="19"/>
        <v/>
      </c>
      <c r="T104" s="128" t="str">
        <f>IF(OR(S104="R",S104=""),"",COUNTIFS($P$4:P104,P104,$S$4:S104,"S")*U104)</f>
        <v/>
      </c>
      <c r="U104" s="128" t="str">
        <f>IF(ISNUMBER(N104),IF($C$11=TRUE,IF(OR(ISODD(COUNTIF($N$4:N104,1)),Y104="Yes"),1,-1),1),"")</f>
        <v/>
      </c>
      <c r="V104" s="128" t="str">
        <f ca="1">IFERROR(IF(AND(S104="R",W104&lt;&gt;""),1,IF(S104="R",MAX(OFFSET(V103,0,0,-1*(ROW(W104)-3-MATCH(MAX($W$4:W103),$W$4:W103,0)),1))+1,"")),"")</f>
        <v/>
      </c>
      <c r="W104" s="129" t="str">
        <f>IFERROR(IF(AND(S104="R", P104&gt;MAX($X$3:X103)),P104,""),"")</f>
        <v/>
      </c>
      <c r="X104" s="129" t="str">
        <f>IFERROR(IF(AND(W104="",Q104&gt;=MAX($X$3:X103)),IF(S104="R",Q104,IF(AND(W104="",P104&lt;=MAX($X$3:X103)),MAX($X$3:X103),"")),IF(W104&lt;&gt;"", Q104,"")),"")</f>
        <v/>
      </c>
      <c r="Y104" s="126" t="str">
        <f>IF(S104="S",IF(OR(P104&lt;=MAX($X$3:X103),P104&gt;=IF(MIN(W$53:$W105)&lt;1,99999999,MIN(W$53:$W105))),"Yes","No"),"")</f>
        <v/>
      </c>
      <c r="AA104" s="130" t="str">
        <f t="shared" si="20"/>
        <v/>
      </c>
      <c r="AB104" s="131" t="str">
        <f t="array" ref="AB104">IF(AA104&lt;=$AA$2,MIN(IF($L$4:$L$503&lt;=AB103,99999999999,$L$4:$L$503)),"")</f>
        <v/>
      </c>
      <c r="AC104" s="130" t="str">
        <f>IF(ISNUMBER(AA104),IF(Dashboard!$H$6&lt;&gt;"Horizontal",AC103+dateDistance,AC103),"")</f>
        <v/>
      </c>
      <c r="AD104" s="130" t="str">
        <f>IF(ISNUMBER(AA104),IF(Dashboard!$H$6="Horizontal",AD103+dateDistance,AD103),"")</f>
        <v/>
      </c>
      <c r="AE104" s="132" t="str">
        <f>IF(ISNUMBER(P104), IF(Dashboard!$H$6="Horizontal",IF(S104="S",INDEX($AC$4:$AC$503,MATCH(P104,$AB$4:$AB$503,0),1)+boxDistance*(T104+IF(Y104="No",IF(ISODD(T104),IF(T104&gt;0,1,-1),0),0))*IF(Y104="No",IF(ISODD(T104),0.5,-0.5),1),timelineStartRow - boxDistance * V104),IF( S104="S",INDEX($AC$4:$AC$503,MATCH(P104,$AB$4:$AB$503,0),1),INDEX($AC$4:$AC$503,MATCH(P104,$AB$4:$AB$503,0),1)&amp;"-"&amp;INDEX($AC$4:$AC$503,MATCH(Q104,$AB$4:$AB$503,0),1))),"")</f>
        <v/>
      </c>
      <c r="AF104" s="132" t="str">
        <f>IF(ISNUMBER(P104), IF(Dashboard!$H$6&lt;&gt;"Horizontal",IF(S104="S",INDEX($AD$4:$AD$503,MATCH(P104,$AB$4:$AB$503,0),1)+boxDistance*(T104+IF(Y104="No",IF(ISODD(T104),IF(T104&gt;0,1,-1),0),0))*IF(Y104="No",IF(ISODD(T104),0.5,-0.5),1),timelineStartColumn-boxDistance * IF(AND(ISNUMBER(V104),V104&gt;1),V104*0.85,1)   ),IF( S104="S",INDEX($AD$4:$AD$503,MATCH(P104,$AB$4:$AB$503,0),1),INDEX($AD$4:$AD$503,MATCH(P104,$AB$4:$AB$503,0),1)&amp;"-"&amp;INDEX($AD$4:$AD$503,MATCH(Q104,$AB$4:$AB$503,0),1))),"")</f>
        <v/>
      </c>
      <c r="AG104" s="133" t="str">
        <f t="shared" si="28"/>
        <v/>
      </c>
      <c r="AH104" s="134" t="str">
        <f t="shared" si="21"/>
        <v/>
      </c>
      <c r="AI104" s="135" t="str">
        <f t="shared" si="22"/>
        <v/>
      </c>
      <c r="AJ104" s="135" t="str">
        <f t="shared" si="29"/>
        <v/>
      </c>
      <c r="AK104" s="126" t="str">
        <f t="shared" si="30"/>
        <v/>
      </c>
      <c r="AL104" s="126" t="str">
        <f ca="1">IFERROR(IF(AK104="","", MATCH(AK104,OFFSET(Icons!$B$5,1,AM104-3,20,1),0)+5),"")</f>
        <v/>
      </c>
      <c r="AM104" s="126" t="str">
        <f t="shared" si="31"/>
        <v/>
      </c>
      <c r="AN104" s="90"/>
    </row>
    <row r="105" spans="5:52" ht="15" customHeight="1" x14ac:dyDescent="0.25">
      <c r="E105" s="126">
        <v>102</v>
      </c>
      <c r="F105" s="126"/>
      <c r="G105" s="127"/>
      <c r="H105" s="127"/>
      <c r="I105" s="126"/>
      <c r="K105" s="137" t="str">
        <f t="shared" si="24"/>
        <v/>
      </c>
      <c r="L105" s="127" t="str">
        <f t="shared" si="18"/>
        <v/>
      </c>
      <c r="N105" s="128" t="str">
        <f t="shared" si="25"/>
        <v/>
      </c>
      <c r="O105" s="126" t="str">
        <f t="array" ref="O105">IFERROR(SMALL(IF(($G$4:$G$253=P105),ROW($G$4:$G$253)-ROW($G$3),"" ),N105),"")</f>
        <v/>
      </c>
      <c r="P105" s="127" t="str">
        <f t="array" ref="P105">IFERROR(SMALL($G$4:$G$253,E105),"")</f>
        <v/>
      </c>
      <c r="Q105" s="127" t="str">
        <f t="shared" si="26"/>
        <v/>
      </c>
      <c r="R105" s="126" t="str">
        <f t="shared" si="27"/>
        <v/>
      </c>
      <c r="S105" s="126" t="str">
        <f t="shared" si="19"/>
        <v/>
      </c>
      <c r="T105" s="128" t="str">
        <f>IF(OR(S105="R",S105=""),"",COUNTIFS($P$4:P105,P105,$S$4:S105,"S")*U105)</f>
        <v/>
      </c>
      <c r="U105" s="128" t="str">
        <f>IF(ISNUMBER(N105),IF($C$11=TRUE,IF(OR(ISODD(COUNTIF($N$4:N105,1)),Y105="Yes"),1,-1),1),"")</f>
        <v/>
      </c>
      <c r="V105" s="128" t="str">
        <f ca="1">IFERROR(IF(AND(S105="R",W105&lt;&gt;""),1,IF(S105="R",MAX(OFFSET(V104,0,0,-1*(ROW(W105)-3-MATCH(MAX($W$4:W104),$W$4:W104,0)),1))+1,"")),"")</f>
        <v/>
      </c>
      <c r="W105" s="129" t="str">
        <f>IFERROR(IF(AND(S105="R", P105&gt;MAX($X$3:X104)),P105,""),"")</f>
        <v/>
      </c>
      <c r="X105" s="129" t="str">
        <f>IFERROR(IF(AND(W105="",Q105&gt;=MAX($X$3:X104)),IF(S105="R",Q105,IF(AND(W105="",P105&lt;=MAX($X$3:X104)),MAX($X$3:X104),"")),IF(W105&lt;&gt;"", Q105,"")),"")</f>
        <v/>
      </c>
      <c r="Y105" s="126" t="str">
        <f>IF(S105="S",IF(OR(P105&lt;=MAX($X$3:X104),P105&gt;=IF(MIN(W$53:$W106)&lt;1,99999999,MIN(W$53:$W106))),"Yes","No"),"")</f>
        <v/>
      </c>
      <c r="AA105" s="130" t="str">
        <f t="shared" si="20"/>
        <v/>
      </c>
      <c r="AB105" s="131" t="str">
        <f t="array" ref="AB105">IF(AA105&lt;=$AA$2,MIN(IF($L$4:$L$503&lt;=AB104,99999999999,$L$4:$L$503)),"")</f>
        <v/>
      </c>
      <c r="AC105" s="130" t="str">
        <f>IF(ISNUMBER(AA105),IF(Dashboard!$H$6&lt;&gt;"Horizontal",AC104+dateDistance,AC104),"")</f>
        <v/>
      </c>
      <c r="AD105" s="130" t="str">
        <f>IF(ISNUMBER(AA105),IF(Dashboard!$H$6="Horizontal",AD104+dateDistance,AD104),"")</f>
        <v/>
      </c>
      <c r="AE105" s="132" t="str">
        <f>IF(ISNUMBER(P105), IF(Dashboard!$H$6="Horizontal",IF(S105="S",INDEX($AC$4:$AC$503,MATCH(P105,$AB$4:$AB$503,0),1)+boxDistance*(T105+IF(Y105="No",IF(ISODD(T105),IF(T105&gt;0,1,-1),0),0))*IF(Y105="No",IF(ISODD(T105),0.5,-0.5),1),timelineStartRow - boxDistance * V105),IF( S105="S",INDEX($AC$4:$AC$503,MATCH(P105,$AB$4:$AB$503,0),1),INDEX($AC$4:$AC$503,MATCH(P105,$AB$4:$AB$503,0),1)&amp;"-"&amp;INDEX($AC$4:$AC$503,MATCH(Q105,$AB$4:$AB$503,0),1))),"")</f>
        <v/>
      </c>
      <c r="AF105" s="132" t="str">
        <f>IF(ISNUMBER(P105), IF(Dashboard!$H$6&lt;&gt;"Horizontal",IF(S105="S",INDEX($AD$4:$AD$503,MATCH(P105,$AB$4:$AB$503,0),1)+boxDistance*(T105+IF(Y105="No",IF(ISODD(T105),IF(T105&gt;0,1,-1),0),0))*IF(Y105="No",IF(ISODD(T105),0.5,-0.5),1),timelineStartColumn-boxDistance * IF(AND(ISNUMBER(V105),V105&gt;1),V105*0.85,1)   ),IF( S105="S",INDEX($AD$4:$AD$503,MATCH(P105,$AB$4:$AB$503,0),1),INDEX($AD$4:$AD$503,MATCH(P105,$AB$4:$AB$503,0),1)&amp;"-"&amp;INDEX($AD$4:$AD$503,MATCH(Q105,$AB$4:$AB$503,0),1))),"")</f>
        <v/>
      </c>
      <c r="AG105" s="133" t="str">
        <f t="shared" si="28"/>
        <v/>
      </c>
      <c r="AH105" s="134" t="str">
        <f t="shared" si="21"/>
        <v/>
      </c>
      <c r="AI105" s="135" t="str">
        <f t="shared" si="22"/>
        <v/>
      </c>
      <c r="AJ105" s="135" t="str">
        <f t="shared" si="29"/>
        <v/>
      </c>
      <c r="AK105" s="126" t="str">
        <f t="shared" si="30"/>
        <v/>
      </c>
      <c r="AL105" s="126" t="str">
        <f ca="1">IFERROR(IF(AK105="","", MATCH(AK105,OFFSET(Icons!$B$5,1,AM105-3,20,1),0)+5),"")</f>
        <v/>
      </c>
      <c r="AM105" s="126" t="str">
        <f t="shared" si="31"/>
        <v/>
      </c>
      <c r="AN105" s="90"/>
    </row>
    <row r="106" spans="5:52" ht="15" customHeight="1" x14ac:dyDescent="0.25">
      <c r="E106" s="126">
        <v>103</v>
      </c>
      <c r="F106" s="126"/>
      <c r="G106" s="127"/>
      <c r="H106" s="127"/>
      <c r="I106" s="126"/>
      <c r="K106" s="137" t="str">
        <f t="shared" si="24"/>
        <v/>
      </c>
      <c r="L106" s="127" t="str">
        <f t="shared" si="18"/>
        <v/>
      </c>
      <c r="N106" s="128" t="str">
        <f t="shared" si="25"/>
        <v/>
      </c>
      <c r="O106" s="126" t="str">
        <f t="array" ref="O106">IFERROR(SMALL(IF(($G$4:$G$253=P106),ROW($G$4:$G$253)-ROW($G$3),"" ),N106),"")</f>
        <v/>
      </c>
      <c r="P106" s="127" t="str">
        <f t="array" ref="P106">IFERROR(SMALL($G$4:$G$253,E106),"")</f>
        <v/>
      </c>
      <c r="Q106" s="127" t="str">
        <f t="shared" si="26"/>
        <v/>
      </c>
      <c r="R106" s="126" t="str">
        <f t="shared" si="27"/>
        <v/>
      </c>
      <c r="S106" s="126" t="str">
        <f t="shared" si="19"/>
        <v/>
      </c>
      <c r="T106" s="128" t="str">
        <f>IF(OR(S106="R",S106=""),"",COUNTIFS($P$4:P106,P106,$S$4:S106,"S")*U106)</f>
        <v/>
      </c>
      <c r="U106" s="128" t="str">
        <f>IF(ISNUMBER(N106),IF($C$11=TRUE,IF(OR(ISODD(COUNTIF($N$4:N106,1)),Y106="Yes"),1,-1),1),"")</f>
        <v/>
      </c>
      <c r="V106" s="128" t="str">
        <f ca="1">IFERROR(IF(AND(S106="R",W106&lt;&gt;""),1,IF(S106="R",MAX(OFFSET(V105,0,0,-1*(ROW(W106)-3-MATCH(MAX($W$4:W105),$W$4:W105,0)),1))+1,"")),"")</f>
        <v/>
      </c>
      <c r="W106" s="129" t="str">
        <f>IFERROR(IF(AND(S106="R", P106&gt;MAX($X$3:X105)),P106,""),"")</f>
        <v/>
      </c>
      <c r="X106" s="129" t="str">
        <f>IFERROR(IF(AND(W106="",Q106&gt;=MAX($X$3:X105)),IF(S106="R",Q106,IF(AND(W106="",P106&lt;=MAX($X$3:X105)),MAX($X$3:X105),"")),IF(W106&lt;&gt;"", Q106,"")),"")</f>
        <v/>
      </c>
      <c r="Y106" s="126" t="str">
        <f>IF(S106="S",IF(OR(P106&lt;=MAX($X$3:X105),P106&gt;=IF(MIN(W$53:$W107)&lt;1,99999999,MIN(W$53:$W107))),"Yes","No"),"")</f>
        <v/>
      </c>
      <c r="AA106" s="130" t="str">
        <f t="shared" si="20"/>
        <v/>
      </c>
      <c r="AB106" s="131" t="str">
        <f t="array" ref="AB106">IF(AA106&lt;=$AA$2,MIN(IF($L$4:$L$503&lt;=AB105,99999999999,$L$4:$L$503)),"")</f>
        <v/>
      </c>
      <c r="AC106" s="130" t="str">
        <f>IF(ISNUMBER(AA106),IF(Dashboard!$H$6&lt;&gt;"Horizontal",AC105+dateDistance,AC105),"")</f>
        <v/>
      </c>
      <c r="AD106" s="130" t="str">
        <f>IF(ISNUMBER(AA106),IF(Dashboard!$H$6="Horizontal",AD105+dateDistance,AD105),"")</f>
        <v/>
      </c>
      <c r="AE106" s="132" t="str">
        <f>IF(ISNUMBER(P106), IF(Dashboard!$H$6="Horizontal",IF(S106="S",INDEX($AC$4:$AC$503,MATCH(P106,$AB$4:$AB$503,0),1)+boxDistance*(T106+IF(Y106="No",IF(ISODD(T106),IF(T106&gt;0,1,-1),0),0))*IF(Y106="No",IF(ISODD(T106),0.5,-0.5),1),timelineStartRow - boxDistance * V106),IF( S106="S",INDEX($AC$4:$AC$503,MATCH(P106,$AB$4:$AB$503,0),1),INDEX($AC$4:$AC$503,MATCH(P106,$AB$4:$AB$503,0),1)&amp;"-"&amp;INDEX($AC$4:$AC$503,MATCH(Q106,$AB$4:$AB$503,0),1))),"")</f>
        <v/>
      </c>
      <c r="AF106" s="132" t="str">
        <f>IF(ISNUMBER(P106), IF(Dashboard!$H$6&lt;&gt;"Horizontal",IF(S106="S",INDEX($AD$4:$AD$503,MATCH(P106,$AB$4:$AB$503,0),1)+boxDistance*(T106+IF(Y106="No",IF(ISODD(T106),IF(T106&gt;0,1,-1),0),0))*IF(Y106="No",IF(ISODD(T106),0.5,-0.5),1),timelineStartColumn-boxDistance * IF(AND(ISNUMBER(V106),V106&gt;1),V106*0.85,1)   ),IF( S106="S",INDEX($AD$4:$AD$503,MATCH(P106,$AB$4:$AB$503,0),1),INDEX($AD$4:$AD$503,MATCH(P106,$AB$4:$AB$503,0),1)&amp;"-"&amp;INDEX($AD$4:$AD$503,MATCH(Q106,$AB$4:$AB$503,0),1))),"")</f>
        <v/>
      </c>
      <c r="AG106" s="133" t="str">
        <f t="shared" si="28"/>
        <v/>
      </c>
      <c r="AH106" s="134" t="str">
        <f t="shared" si="21"/>
        <v/>
      </c>
      <c r="AI106" s="135" t="str">
        <f t="shared" si="22"/>
        <v/>
      </c>
      <c r="AJ106" s="135" t="str">
        <f t="shared" si="29"/>
        <v/>
      </c>
      <c r="AK106" s="126" t="str">
        <f t="shared" si="30"/>
        <v/>
      </c>
      <c r="AL106" s="126" t="str">
        <f ca="1">IFERROR(IF(AK106="","", MATCH(AK106,OFFSET(Icons!$B$5,1,AM106-3,20,1),0)+5),"")</f>
        <v/>
      </c>
      <c r="AM106" s="126" t="str">
        <f t="shared" si="31"/>
        <v/>
      </c>
      <c r="AN106" s="90"/>
    </row>
    <row r="107" spans="5:52" ht="15" customHeight="1" x14ac:dyDescent="0.25">
      <c r="E107" s="126">
        <v>104</v>
      </c>
      <c r="F107" s="126"/>
      <c r="G107" s="127"/>
      <c r="H107" s="127"/>
      <c r="I107" s="126"/>
      <c r="K107" s="137" t="str">
        <f t="shared" si="24"/>
        <v/>
      </c>
      <c r="L107" s="127" t="str">
        <f t="shared" si="18"/>
        <v/>
      </c>
      <c r="N107" s="128" t="str">
        <f t="shared" si="25"/>
        <v/>
      </c>
      <c r="O107" s="126" t="str">
        <f t="array" ref="O107">IFERROR(SMALL(IF(($G$4:$G$253=P107),ROW($G$4:$G$253)-ROW($G$3),"" ),N107),"")</f>
        <v/>
      </c>
      <c r="P107" s="127" t="str">
        <f t="array" ref="P107">IFERROR(SMALL($G$4:$G$253,E107),"")</f>
        <v/>
      </c>
      <c r="Q107" s="127" t="str">
        <f t="shared" si="26"/>
        <v/>
      </c>
      <c r="R107" s="126" t="str">
        <f t="shared" si="27"/>
        <v/>
      </c>
      <c r="S107" s="126" t="str">
        <f t="shared" si="19"/>
        <v/>
      </c>
      <c r="T107" s="128" t="str">
        <f>IF(OR(S107="R",S107=""),"",COUNTIFS($P$4:P107,P107,$S$4:S107,"S")*U107)</f>
        <v/>
      </c>
      <c r="U107" s="128" t="str">
        <f>IF(ISNUMBER(N107),IF($C$11=TRUE,IF(OR(ISODD(COUNTIF($N$4:N107,1)),Y107="Yes"),1,-1),1),"")</f>
        <v/>
      </c>
      <c r="V107" s="128" t="str">
        <f ca="1">IFERROR(IF(AND(S107="R",W107&lt;&gt;""),1,IF(S107="R",MAX(OFFSET(V106,0,0,-1*(ROW(W107)-3-MATCH(MAX($W$4:W106),$W$4:W106,0)),1))+1,"")),"")</f>
        <v/>
      </c>
      <c r="W107" s="129" t="str">
        <f>IFERROR(IF(AND(S107="R", P107&gt;MAX($X$3:X106)),P107,""),"")</f>
        <v/>
      </c>
      <c r="X107" s="129" t="str">
        <f>IFERROR(IF(AND(W107="",Q107&gt;=MAX($X$3:X106)),IF(S107="R",Q107,IF(AND(W107="",P107&lt;=MAX($X$3:X106)),MAX($X$3:X106),"")),IF(W107&lt;&gt;"", Q107,"")),"")</f>
        <v/>
      </c>
      <c r="Y107" s="126" t="str">
        <f>IF(S107="S",IF(OR(P107&lt;=MAX($X$3:X106),P107&gt;=IF(MIN(W$53:$W108)&lt;1,99999999,MIN(W$53:$W108))),"Yes","No"),"")</f>
        <v/>
      </c>
      <c r="AA107" s="130" t="str">
        <f t="shared" si="20"/>
        <v/>
      </c>
      <c r="AB107" s="131" t="str">
        <f t="array" ref="AB107">IF(AA107&lt;=$AA$2,MIN(IF($L$4:$L$503&lt;=AB106,99999999999,$L$4:$L$503)),"")</f>
        <v/>
      </c>
      <c r="AC107" s="130" t="str">
        <f>IF(ISNUMBER(AA107),IF(Dashboard!$H$6&lt;&gt;"Horizontal",AC106+dateDistance,AC106),"")</f>
        <v/>
      </c>
      <c r="AD107" s="130" t="str">
        <f>IF(ISNUMBER(AA107),IF(Dashboard!$H$6="Horizontal",AD106+dateDistance,AD106),"")</f>
        <v/>
      </c>
      <c r="AE107" s="132" t="str">
        <f>IF(ISNUMBER(P107), IF(Dashboard!$H$6="Horizontal",IF(S107="S",INDEX($AC$4:$AC$503,MATCH(P107,$AB$4:$AB$503,0),1)+boxDistance*(T107+IF(Y107="No",IF(ISODD(T107),IF(T107&gt;0,1,-1),0),0))*IF(Y107="No",IF(ISODD(T107),0.5,-0.5),1),timelineStartRow - boxDistance * V107),IF( S107="S",INDEX($AC$4:$AC$503,MATCH(P107,$AB$4:$AB$503,0),1),INDEX($AC$4:$AC$503,MATCH(P107,$AB$4:$AB$503,0),1)&amp;"-"&amp;INDEX($AC$4:$AC$503,MATCH(Q107,$AB$4:$AB$503,0),1))),"")</f>
        <v/>
      </c>
      <c r="AF107" s="132" t="str">
        <f>IF(ISNUMBER(P107), IF(Dashboard!$H$6&lt;&gt;"Horizontal",IF(S107="S",INDEX($AD$4:$AD$503,MATCH(P107,$AB$4:$AB$503,0),1)+boxDistance*(T107+IF(Y107="No",IF(ISODD(T107),IF(T107&gt;0,1,-1),0),0))*IF(Y107="No",IF(ISODD(T107),0.5,-0.5),1),timelineStartColumn-boxDistance * IF(AND(ISNUMBER(V107),V107&gt;1),V107*0.85,1)   ),IF( S107="S",INDEX($AD$4:$AD$503,MATCH(P107,$AB$4:$AB$503,0),1),INDEX($AD$4:$AD$503,MATCH(P107,$AB$4:$AB$503,0),1)&amp;"-"&amp;INDEX($AD$4:$AD$503,MATCH(Q107,$AB$4:$AB$503,0),1))),"")</f>
        <v/>
      </c>
      <c r="AG107" s="133" t="str">
        <f t="shared" si="28"/>
        <v/>
      </c>
      <c r="AH107" s="134" t="str">
        <f t="shared" si="21"/>
        <v/>
      </c>
      <c r="AI107" s="135" t="str">
        <f t="shared" si="22"/>
        <v/>
      </c>
      <c r="AJ107" s="135" t="str">
        <f t="shared" si="29"/>
        <v/>
      </c>
      <c r="AK107" s="126" t="str">
        <f t="shared" si="30"/>
        <v/>
      </c>
      <c r="AL107" s="126" t="str">
        <f ca="1">IFERROR(IF(AK107="","", MATCH(AK107,OFFSET(Icons!$B$5,1,AM107-3,20,1),0)+5),"")</f>
        <v/>
      </c>
      <c r="AM107" s="126" t="str">
        <f t="shared" si="31"/>
        <v/>
      </c>
      <c r="AN107" s="90"/>
    </row>
    <row r="108" spans="5:52" ht="15" customHeight="1" x14ac:dyDescent="0.25">
      <c r="E108" s="126">
        <v>105</v>
      </c>
      <c r="F108" s="126"/>
      <c r="G108" s="127"/>
      <c r="H108" s="127"/>
      <c r="I108" s="126"/>
      <c r="K108" s="137" t="str">
        <f t="shared" si="24"/>
        <v/>
      </c>
      <c r="L108" s="127" t="str">
        <f t="shared" si="18"/>
        <v/>
      </c>
      <c r="N108" s="128" t="str">
        <f t="shared" si="25"/>
        <v/>
      </c>
      <c r="O108" s="126" t="str">
        <f t="array" ref="O108">IFERROR(SMALL(IF(($G$4:$G$253=P108),ROW($G$4:$G$253)-ROW($G$3),"" ),N108),"")</f>
        <v/>
      </c>
      <c r="P108" s="127" t="str">
        <f t="array" ref="P108">IFERROR(SMALL($G$4:$G$253,E108),"")</f>
        <v/>
      </c>
      <c r="Q108" s="127" t="str">
        <f t="shared" si="26"/>
        <v/>
      </c>
      <c r="R108" s="126" t="str">
        <f t="shared" si="27"/>
        <v/>
      </c>
      <c r="S108" s="126" t="str">
        <f t="shared" si="19"/>
        <v/>
      </c>
      <c r="T108" s="128" t="str">
        <f>IF(OR(S108="R",S108=""),"",COUNTIFS($P$4:P108,P108,$S$4:S108,"S")*U108)</f>
        <v/>
      </c>
      <c r="U108" s="128" t="str">
        <f>IF(ISNUMBER(N108),IF($C$11=TRUE,IF(OR(ISODD(COUNTIF($N$4:N108,1)),Y108="Yes"),1,-1),1),"")</f>
        <v/>
      </c>
      <c r="V108" s="128" t="str">
        <f ca="1">IFERROR(IF(AND(S108="R",W108&lt;&gt;""),1,IF(S108="R",MAX(OFFSET(V107,0,0,-1*(ROW(W108)-3-MATCH(MAX($W$4:W107),$W$4:W107,0)),1))+1,"")),"")</f>
        <v/>
      </c>
      <c r="W108" s="129" t="str">
        <f>IFERROR(IF(AND(S108="R", P108&gt;MAX($X$3:X107)),P108,""),"")</f>
        <v/>
      </c>
      <c r="X108" s="129" t="str">
        <f>IFERROR(IF(AND(W108="",Q108&gt;=MAX($X$3:X107)),IF(S108="R",Q108,IF(AND(W108="",P108&lt;=MAX($X$3:X107)),MAX($X$3:X107),"")),IF(W108&lt;&gt;"", Q108,"")),"")</f>
        <v/>
      </c>
      <c r="Y108" s="126" t="str">
        <f>IF(S108="S",IF(OR(P108&lt;=MAX($X$3:X107),P108&gt;=IF(MIN(W$53:$W109)&lt;1,99999999,MIN(W$53:$W109))),"Yes","No"),"")</f>
        <v/>
      </c>
      <c r="AA108" s="130" t="str">
        <f t="shared" si="20"/>
        <v/>
      </c>
      <c r="AB108" s="131" t="str">
        <f t="array" ref="AB108">IF(AA108&lt;=$AA$2,MIN(IF($L$4:$L$503&lt;=AB107,99999999999,$L$4:$L$503)),"")</f>
        <v/>
      </c>
      <c r="AC108" s="130" t="str">
        <f>IF(ISNUMBER(AA108),IF(Dashboard!$H$6&lt;&gt;"Horizontal",AC107+dateDistance,AC107),"")</f>
        <v/>
      </c>
      <c r="AD108" s="130" t="str">
        <f>IF(ISNUMBER(AA108),IF(Dashboard!$H$6="Horizontal",AD107+dateDistance,AD107),"")</f>
        <v/>
      </c>
      <c r="AE108" s="132" t="str">
        <f>IF(ISNUMBER(P108), IF(Dashboard!$H$6="Horizontal",IF(S108="S",INDEX($AC$4:$AC$503,MATCH(P108,$AB$4:$AB$503,0),1)+boxDistance*(T108+IF(Y108="No",IF(ISODD(T108),IF(T108&gt;0,1,-1),0),0))*IF(Y108="No",IF(ISODD(T108),0.5,-0.5),1),timelineStartRow - boxDistance * V108),IF( S108="S",INDEX($AC$4:$AC$503,MATCH(P108,$AB$4:$AB$503,0),1),INDEX($AC$4:$AC$503,MATCH(P108,$AB$4:$AB$503,0),1)&amp;"-"&amp;INDEX($AC$4:$AC$503,MATCH(Q108,$AB$4:$AB$503,0),1))),"")</f>
        <v/>
      </c>
      <c r="AF108" s="132" t="str">
        <f>IF(ISNUMBER(P108), IF(Dashboard!$H$6&lt;&gt;"Horizontal",IF(S108="S",INDEX($AD$4:$AD$503,MATCH(P108,$AB$4:$AB$503,0),1)+boxDistance*(T108+IF(Y108="No",IF(ISODD(T108),IF(T108&gt;0,1,-1),0),0))*IF(Y108="No",IF(ISODD(T108),0.5,-0.5),1),timelineStartColumn-boxDistance * IF(AND(ISNUMBER(V108),V108&gt;1),V108*0.85,1)   ),IF( S108="S",INDEX($AD$4:$AD$503,MATCH(P108,$AB$4:$AB$503,0),1),INDEX($AD$4:$AD$503,MATCH(P108,$AB$4:$AB$503,0),1)&amp;"-"&amp;INDEX($AD$4:$AD$503,MATCH(Q108,$AB$4:$AB$503,0),1))),"")</f>
        <v/>
      </c>
      <c r="AG108" s="133" t="str">
        <f t="shared" si="28"/>
        <v/>
      </c>
      <c r="AH108" s="134" t="str">
        <f t="shared" si="21"/>
        <v/>
      </c>
      <c r="AI108" s="135" t="str">
        <f t="shared" si="22"/>
        <v/>
      </c>
      <c r="AJ108" s="135" t="str">
        <f t="shared" si="29"/>
        <v/>
      </c>
      <c r="AK108" s="126" t="str">
        <f t="shared" si="30"/>
        <v/>
      </c>
      <c r="AL108" s="126" t="str">
        <f ca="1">IFERROR(IF(AK108="","", MATCH(AK108,OFFSET(Icons!$B$5,1,AM108-3,20,1),0)+5),"")</f>
        <v/>
      </c>
      <c r="AM108" s="126" t="str">
        <f t="shared" si="31"/>
        <v/>
      </c>
      <c r="AN108" s="90"/>
    </row>
    <row r="109" spans="5:52" ht="15" customHeight="1" x14ac:dyDescent="0.25">
      <c r="E109" s="126">
        <v>106</v>
      </c>
      <c r="F109" s="126"/>
      <c r="G109" s="127"/>
      <c r="H109" s="127"/>
      <c r="I109" s="126"/>
      <c r="K109" s="137" t="str">
        <f t="shared" si="24"/>
        <v/>
      </c>
      <c r="L109" s="127" t="str">
        <f t="shared" si="18"/>
        <v/>
      </c>
      <c r="N109" s="128" t="str">
        <f t="shared" si="25"/>
        <v/>
      </c>
      <c r="O109" s="126" t="str">
        <f t="array" ref="O109">IFERROR(SMALL(IF(($G$4:$G$253=P109),ROW($G$4:$G$253)-ROW($G$3),"" ),N109),"")</f>
        <v/>
      </c>
      <c r="P109" s="127" t="str">
        <f t="array" ref="P109">IFERROR(SMALL($G$4:$G$253,E109),"")</f>
        <v/>
      </c>
      <c r="Q109" s="127" t="str">
        <f t="shared" si="26"/>
        <v/>
      </c>
      <c r="R109" s="126" t="str">
        <f t="shared" si="27"/>
        <v/>
      </c>
      <c r="S109" s="126" t="str">
        <f t="shared" si="19"/>
        <v/>
      </c>
      <c r="T109" s="128" t="str">
        <f>IF(OR(S109="R",S109=""),"",COUNTIFS($P$4:P109,P109,$S$4:S109,"S")*U109)</f>
        <v/>
      </c>
      <c r="U109" s="128" t="str">
        <f>IF(ISNUMBER(N109),IF($C$11=TRUE,IF(OR(ISODD(COUNTIF($N$4:N109,1)),Y109="Yes"),1,-1),1),"")</f>
        <v/>
      </c>
      <c r="V109" s="128" t="str">
        <f ca="1">IFERROR(IF(AND(S109="R",W109&lt;&gt;""),1,IF(S109="R",MAX(OFFSET(V108,0,0,-1*(ROW(W109)-3-MATCH(MAX($W$4:W108),$W$4:W108,0)),1))+1,"")),"")</f>
        <v/>
      </c>
      <c r="W109" s="129" t="str">
        <f>IFERROR(IF(AND(S109="R", P109&gt;MAX($X$3:X108)),P109,""),"")</f>
        <v/>
      </c>
      <c r="X109" s="129" t="str">
        <f>IFERROR(IF(AND(W109="",Q109&gt;=MAX($X$3:X108)),IF(S109="R",Q109,IF(AND(W109="",P109&lt;=MAX($X$3:X108)),MAX($X$3:X108),"")),IF(W109&lt;&gt;"", Q109,"")),"")</f>
        <v/>
      </c>
      <c r="Y109" s="126" t="str">
        <f>IF(S109="S",IF(OR(P109&lt;=MAX($X$3:X108),P109&gt;=IF(MIN(W$53:$W110)&lt;1,99999999,MIN(W$53:$W110))),"Yes","No"),"")</f>
        <v/>
      </c>
      <c r="AA109" s="130" t="str">
        <f t="shared" si="20"/>
        <v/>
      </c>
      <c r="AB109" s="131" t="str">
        <f t="array" ref="AB109">IF(AA109&lt;=$AA$2,MIN(IF($L$4:$L$503&lt;=AB108,99999999999,$L$4:$L$503)),"")</f>
        <v/>
      </c>
      <c r="AC109" s="130" t="str">
        <f>IF(ISNUMBER(AA109),IF(Dashboard!$H$6&lt;&gt;"Horizontal",AC108+dateDistance,AC108),"")</f>
        <v/>
      </c>
      <c r="AD109" s="130" t="str">
        <f>IF(ISNUMBER(AA109),IF(Dashboard!$H$6="Horizontal",AD108+dateDistance,AD108),"")</f>
        <v/>
      </c>
      <c r="AE109" s="132" t="str">
        <f>IF(ISNUMBER(P109), IF(Dashboard!$H$6="Horizontal",IF(S109="S",INDEX($AC$4:$AC$503,MATCH(P109,$AB$4:$AB$503,0),1)+boxDistance*(T109+IF(Y109="No",IF(ISODD(T109),IF(T109&gt;0,1,-1),0),0))*IF(Y109="No",IF(ISODD(T109),0.5,-0.5),1),timelineStartRow - boxDistance * V109),IF( S109="S",INDEX($AC$4:$AC$503,MATCH(P109,$AB$4:$AB$503,0),1),INDEX($AC$4:$AC$503,MATCH(P109,$AB$4:$AB$503,0),1)&amp;"-"&amp;INDEX($AC$4:$AC$503,MATCH(Q109,$AB$4:$AB$503,0),1))),"")</f>
        <v/>
      </c>
      <c r="AF109" s="132" t="str">
        <f>IF(ISNUMBER(P109), IF(Dashboard!$H$6&lt;&gt;"Horizontal",IF(S109="S",INDEX($AD$4:$AD$503,MATCH(P109,$AB$4:$AB$503,0),1)+boxDistance*(T109+IF(Y109="No",IF(ISODD(T109),IF(T109&gt;0,1,-1),0),0))*IF(Y109="No",IF(ISODD(T109),0.5,-0.5),1),timelineStartColumn-boxDistance * IF(AND(ISNUMBER(V109),V109&gt;1),V109*0.85,1)   ),IF( S109="S",INDEX($AD$4:$AD$503,MATCH(P109,$AB$4:$AB$503,0),1),INDEX($AD$4:$AD$503,MATCH(P109,$AB$4:$AB$503,0),1)&amp;"-"&amp;INDEX($AD$4:$AD$503,MATCH(Q109,$AB$4:$AB$503,0),1))),"")</f>
        <v/>
      </c>
      <c r="AG109" s="133" t="str">
        <f t="shared" si="28"/>
        <v/>
      </c>
      <c r="AH109" s="134" t="str">
        <f t="shared" si="21"/>
        <v/>
      </c>
      <c r="AI109" s="135" t="str">
        <f t="shared" si="22"/>
        <v/>
      </c>
      <c r="AJ109" s="135" t="str">
        <f t="shared" si="29"/>
        <v/>
      </c>
      <c r="AK109" s="126" t="str">
        <f t="shared" si="30"/>
        <v/>
      </c>
      <c r="AL109" s="126" t="str">
        <f ca="1">IFERROR(IF(AK109="","", MATCH(AK109,OFFSET(Icons!$B$5,1,AM109-3,20,1),0)+5),"")</f>
        <v/>
      </c>
      <c r="AM109" s="126" t="str">
        <f t="shared" si="31"/>
        <v/>
      </c>
      <c r="AN109" s="90"/>
    </row>
    <row r="110" spans="5:52" ht="15" customHeight="1" x14ac:dyDescent="0.25">
      <c r="E110" s="126">
        <v>107</v>
      </c>
      <c r="F110" s="126"/>
      <c r="G110" s="127"/>
      <c r="H110" s="127"/>
      <c r="I110" s="126"/>
      <c r="K110" s="137" t="str">
        <f t="shared" si="24"/>
        <v/>
      </c>
      <c r="L110" s="127" t="str">
        <f t="shared" si="18"/>
        <v/>
      </c>
      <c r="N110" s="128" t="str">
        <f t="shared" si="25"/>
        <v/>
      </c>
      <c r="O110" s="126" t="str">
        <f t="array" ref="O110">IFERROR(SMALL(IF(($G$4:$G$253=P110),ROW($G$4:$G$253)-ROW($G$3),"" ),N110),"")</f>
        <v/>
      </c>
      <c r="P110" s="127" t="str">
        <f t="array" ref="P110">IFERROR(SMALL($G$4:$G$253,E110),"")</f>
        <v/>
      </c>
      <c r="Q110" s="127" t="str">
        <f t="shared" si="26"/>
        <v/>
      </c>
      <c r="R110" s="126" t="str">
        <f t="shared" si="27"/>
        <v/>
      </c>
      <c r="S110" s="126" t="str">
        <f t="shared" si="19"/>
        <v/>
      </c>
      <c r="T110" s="128" t="str">
        <f>IF(OR(S110="R",S110=""),"",COUNTIFS($P$4:P110,P110,$S$4:S110,"S")*U110)</f>
        <v/>
      </c>
      <c r="U110" s="128" t="str">
        <f>IF(ISNUMBER(N110),IF($C$11=TRUE,IF(OR(ISODD(COUNTIF($N$4:N110,1)),Y110="Yes"),1,-1),1),"")</f>
        <v/>
      </c>
      <c r="V110" s="128" t="str">
        <f ca="1">IFERROR(IF(AND(S110="R",W110&lt;&gt;""),1,IF(S110="R",MAX(OFFSET(V109,0,0,-1*(ROW(W110)-3-MATCH(MAX($W$4:W109),$W$4:W109,0)),1))+1,"")),"")</f>
        <v/>
      </c>
      <c r="W110" s="129" t="str">
        <f>IFERROR(IF(AND(S110="R", P110&gt;MAX($X$3:X109)),P110,""),"")</f>
        <v/>
      </c>
      <c r="X110" s="129" t="str">
        <f>IFERROR(IF(AND(W110="",Q110&gt;=MAX($X$3:X109)),IF(S110="R",Q110,IF(AND(W110="",P110&lt;=MAX($X$3:X109)),MAX($X$3:X109),"")),IF(W110&lt;&gt;"", Q110,"")),"")</f>
        <v/>
      </c>
      <c r="Y110" s="126" t="str">
        <f>IF(S110="S",IF(OR(P110&lt;=MAX($X$3:X109),P110&gt;=IF(MIN(W$53:$W111)&lt;1,99999999,MIN(W$53:$W111))),"Yes","No"),"")</f>
        <v/>
      </c>
      <c r="AA110" s="130" t="str">
        <f t="shared" si="20"/>
        <v/>
      </c>
      <c r="AB110" s="131" t="str">
        <f t="array" ref="AB110">IF(AA110&lt;=$AA$2,MIN(IF($L$4:$L$503&lt;=AB109,99999999999,$L$4:$L$503)),"")</f>
        <v/>
      </c>
      <c r="AC110" s="130" t="str">
        <f>IF(ISNUMBER(AA110),IF(Dashboard!$H$6&lt;&gt;"Horizontal",AC109+dateDistance,AC109),"")</f>
        <v/>
      </c>
      <c r="AD110" s="130" t="str">
        <f>IF(ISNUMBER(AA110),IF(Dashboard!$H$6="Horizontal",AD109+dateDistance,AD109),"")</f>
        <v/>
      </c>
      <c r="AE110" s="132" t="str">
        <f>IF(ISNUMBER(P110), IF(Dashboard!$H$6="Horizontal",IF(S110="S",INDEX($AC$4:$AC$503,MATCH(P110,$AB$4:$AB$503,0),1)+boxDistance*(T110+IF(Y110="No",IF(ISODD(T110),IF(T110&gt;0,1,-1),0),0))*IF(Y110="No",IF(ISODD(T110),0.5,-0.5),1),timelineStartRow - boxDistance * V110),IF( S110="S",INDEX($AC$4:$AC$503,MATCH(P110,$AB$4:$AB$503,0),1),INDEX($AC$4:$AC$503,MATCH(P110,$AB$4:$AB$503,0),1)&amp;"-"&amp;INDEX($AC$4:$AC$503,MATCH(Q110,$AB$4:$AB$503,0),1))),"")</f>
        <v/>
      </c>
      <c r="AF110" s="132" t="str">
        <f>IF(ISNUMBER(P110), IF(Dashboard!$H$6&lt;&gt;"Horizontal",IF(S110="S",INDEX($AD$4:$AD$503,MATCH(P110,$AB$4:$AB$503,0),1)+boxDistance*(T110+IF(Y110="No",IF(ISODD(T110),IF(T110&gt;0,1,-1),0),0))*IF(Y110="No",IF(ISODD(T110),0.5,-0.5),1),timelineStartColumn-boxDistance * IF(AND(ISNUMBER(V110),V110&gt;1),V110*0.85,1)   ),IF( S110="S",INDEX($AD$4:$AD$503,MATCH(P110,$AB$4:$AB$503,0),1),INDEX($AD$4:$AD$503,MATCH(P110,$AB$4:$AB$503,0),1)&amp;"-"&amp;INDEX($AD$4:$AD$503,MATCH(Q110,$AB$4:$AB$503,0),1))),"")</f>
        <v/>
      </c>
      <c r="AG110" s="133" t="str">
        <f t="shared" si="28"/>
        <v/>
      </c>
      <c r="AH110" s="134" t="str">
        <f t="shared" si="21"/>
        <v/>
      </c>
      <c r="AI110" s="135" t="str">
        <f t="shared" si="22"/>
        <v/>
      </c>
      <c r="AJ110" s="135" t="str">
        <f t="shared" si="29"/>
        <v/>
      </c>
      <c r="AK110" s="126" t="str">
        <f t="shared" si="30"/>
        <v/>
      </c>
      <c r="AL110" s="126" t="str">
        <f ca="1">IFERROR(IF(AK110="","", MATCH(AK110,OFFSET(Icons!$B$5,1,AM110-3,20,1),0)+5),"")</f>
        <v/>
      </c>
      <c r="AM110" s="126" t="str">
        <f t="shared" si="31"/>
        <v/>
      </c>
      <c r="AN110" s="90"/>
    </row>
    <row r="111" spans="5:52" ht="15" customHeight="1" x14ac:dyDescent="0.25">
      <c r="E111" s="126">
        <v>108</v>
      </c>
      <c r="F111" s="126"/>
      <c r="G111" s="127"/>
      <c r="H111" s="127"/>
      <c r="I111" s="126"/>
      <c r="K111" s="137" t="str">
        <f t="shared" si="24"/>
        <v/>
      </c>
      <c r="L111" s="127" t="str">
        <f t="shared" si="18"/>
        <v/>
      </c>
      <c r="N111" s="128" t="str">
        <f t="shared" si="25"/>
        <v/>
      </c>
      <c r="O111" s="126" t="str">
        <f t="array" ref="O111">IFERROR(SMALL(IF(($G$4:$G$253=P111),ROW($G$4:$G$253)-ROW($G$3),"" ),N111),"")</f>
        <v/>
      </c>
      <c r="P111" s="127" t="str">
        <f t="array" ref="P111">IFERROR(SMALL($G$4:$G$253,E111),"")</f>
        <v/>
      </c>
      <c r="Q111" s="127" t="str">
        <f t="shared" si="26"/>
        <v/>
      </c>
      <c r="R111" s="126" t="str">
        <f t="shared" si="27"/>
        <v/>
      </c>
      <c r="S111" s="126" t="str">
        <f t="shared" si="19"/>
        <v/>
      </c>
      <c r="T111" s="128" t="str">
        <f>IF(OR(S111="R",S111=""),"",COUNTIFS($P$4:P111,P111,$S$4:S111,"S")*U111)</f>
        <v/>
      </c>
      <c r="U111" s="128" t="str">
        <f>IF(ISNUMBER(N111),IF($C$11=TRUE,IF(OR(ISODD(COUNTIF($N$4:N111,1)),Y111="Yes"),1,-1),1),"")</f>
        <v/>
      </c>
      <c r="V111" s="128" t="str">
        <f ca="1">IFERROR(IF(AND(S111="R",W111&lt;&gt;""),1,IF(S111="R",MAX(OFFSET(V110,0,0,-1*(ROW(W111)-3-MATCH(MAX($W$4:W110),$W$4:W110,0)),1))+1,"")),"")</f>
        <v/>
      </c>
      <c r="W111" s="129" t="str">
        <f>IFERROR(IF(AND(S111="R", P111&gt;MAX($X$3:X110)),P111,""),"")</f>
        <v/>
      </c>
      <c r="X111" s="129" t="str">
        <f>IFERROR(IF(AND(W111="",Q111&gt;=MAX($X$3:X110)),IF(S111="R",Q111,IF(AND(W111="",P111&lt;=MAX($X$3:X110)),MAX($X$3:X110),"")),IF(W111&lt;&gt;"", Q111,"")),"")</f>
        <v/>
      </c>
      <c r="Y111" s="126" t="str">
        <f>IF(S111="S",IF(OR(P111&lt;=MAX($X$3:X110),P111&gt;=IF(MIN(W$53:$W112)&lt;1,99999999,MIN(W$53:$W112))),"Yes","No"),"")</f>
        <v/>
      </c>
      <c r="AA111" s="130" t="str">
        <f t="shared" si="20"/>
        <v/>
      </c>
      <c r="AB111" s="131" t="str">
        <f t="array" ref="AB111">IF(AA111&lt;=$AA$2,MIN(IF($L$4:$L$503&lt;=AB110,99999999999,$L$4:$L$503)),"")</f>
        <v/>
      </c>
      <c r="AC111" s="130" t="str">
        <f>IF(ISNUMBER(AA111),IF(Dashboard!$H$6&lt;&gt;"Horizontal",AC110+dateDistance,AC110),"")</f>
        <v/>
      </c>
      <c r="AD111" s="130" t="str">
        <f>IF(ISNUMBER(AA111),IF(Dashboard!$H$6="Horizontal",AD110+dateDistance,AD110),"")</f>
        <v/>
      </c>
      <c r="AE111" s="132" t="str">
        <f>IF(ISNUMBER(P111), IF(Dashboard!$H$6="Horizontal",IF(S111="S",INDEX($AC$4:$AC$503,MATCH(P111,$AB$4:$AB$503,0),1)+boxDistance*(T111+IF(Y111="No",IF(ISODD(T111),IF(T111&gt;0,1,-1),0),0))*IF(Y111="No",IF(ISODD(T111),0.5,-0.5),1),timelineStartRow - boxDistance * V111),IF( S111="S",INDEX($AC$4:$AC$503,MATCH(P111,$AB$4:$AB$503,0),1),INDEX($AC$4:$AC$503,MATCH(P111,$AB$4:$AB$503,0),1)&amp;"-"&amp;INDEX($AC$4:$AC$503,MATCH(Q111,$AB$4:$AB$503,0),1))),"")</f>
        <v/>
      </c>
      <c r="AF111" s="132" t="str">
        <f>IF(ISNUMBER(P111), IF(Dashboard!$H$6&lt;&gt;"Horizontal",IF(S111="S",INDEX($AD$4:$AD$503,MATCH(P111,$AB$4:$AB$503,0),1)+boxDistance*(T111+IF(Y111="No",IF(ISODD(T111),IF(T111&gt;0,1,-1),0),0))*IF(Y111="No",IF(ISODD(T111),0.5,-0.5),1),timelineStartColumn-boxDistance * IF(AND(ISNUMBER(V111),V111&gt;1),V111*0.85,1)   ),IF( S111="S",INDEX($AD$4:$AD$503,MATCH(P111,$AB$4:$AB$503,0),1),INDEX($AD$4:$AD$503,MATCH(P111,$AB$4:$AB$503,0),1)&amp;"-"&amp;INDEX($AD$4:$AD$503,MATCH(Q111,$AB$4:$AB$503,0),1))),"")</f>
        <v/>
      </c>
      <c r="AG111" s="133" t="str">
        <f t="shared" si="28"/>
        <v/>
      </c>
      <c r="AH111" s="134" t="str">
        <f t="shared" si="21"/>
        <v/>
      </c>
      <c r="AI111" s="135" t="str">
        <f t="shared" si="22"/>
        <v/>
      </c>
      <c r="AJ111" s="135" t="str">
        <f t="shared" si="29"/>
        <v/>
      </c>
      <c r="AK111" s="126" t="str">
        <f t="shared" si="30"/>
        <v/>
      </c>
      <c r="AL111" s="126" t="str">
        <f ca="1">IFERROR(IF(AK111="","", MATCH(AK111,OFFSET(Icons!$B$5,1,AM111-3,20,1),0)+5),"")</f>
        <v/>
      </c>
      <c r="AM111" s="126" t="str">
        <f t="shared" si="31"/>
        <v/>
      </c>
      <c r="AN111" s="90"/>
    </row>
    <row r="112" spans="5:52" ht="15" customHeight="1" x14ac:dyDescent="0.25">
      <c r="E112" s="126">
        <v>109</v>
      </c>
      <c r="F112" s="126"/>
      <c r="G112" s="127"/>
      <c r="H112" s="127"/>
      <c r="I112" s="126"/>
      <c r="K112" s="137" t="str">
        <f t="shared" si="24"/>
        <v/>
      </c>
      <c r="L112" s="127" t="str">
        <f t="shared" si="18"/>
        <v/>
      </c>
      <c r="N112" s="128" t="str">
        <f t="shared" si="25"/>
        <v/>
      </c>
      <c r="O112" s="126" t="str">
        <f t="array" ref="O112">IFERROR(SMALL(IF(($G$4:$G$253=P112),ROW($G$4:$G$253)-ROW($G$3),"" ),N112),"")</f>
        <v/>
      </c>
      <c r="P112" s="127" t="str">
        <f t="array" ref="P112">IFERROR(SMALL($G$4:$G$253,E112),"")</f>
        <v/>
      </c>
      <c r="Q112" s="127" t="str">
        <f t="shared" si="26"/>
        <v/>
      </c>
      <c r="R112" s="126" t="str">
        <f t="shared" si="27"/>
        <v/>
      </c>
      <c r="S112" s="126" t="str">
        <f t="shared" si="19"/>
        <v/>
      </c>
      <c r="T112" s="128" t="str">
        <f>IF(OR(S112="R",S112=""),"",COUNTIFS($P$4:P112,P112,$S$4:S112,"S")*U112)</f>
        <v/>
      </c>
      <c r="U112" s="128" t="str">
        <f>IF(ISNUMBER(N112),IF($C$11=TRUE,IF(OR(ISODD(COUNTIF($N$4:N112,1)),Y112="Yes"),1,-1),1),"")</f>
        <v/>
      </c>
      <c r="V112" s="128" t="str">
        <f ca="1">IFERROR(IF(AND(S112="R",W112&lt;&gt;""),1,IF(S112="R",MAX(OFFSET(V111,0,0,-1*(ROW(W112)-3-MATCH(MAX($W$4:W111),$W$4:W111,0)),1))+1,"")),"")</f>
        <v/>
      </c>
      <c r="W112" s="129" t="str">
        <f>IFERROR(IF(AND(S112="R", P112&gt;MAX($X$3:X111)),P112,""),"")</f>
        <v/>
      </c>
      <c r="X112" s="129" t="str">
        <f>IFERROR(IF(AND(W112="",Q112&gt;=MAX($X$3:X111)),IF(S112="R",Q112,IF(AND(W112="",P112&lt;=MAX($X$3:X111)),MAX($X$3:X111),"")),IF(W112&lt;&gt;"", Q112,"")),"")</f>
        <v/>
      </c>
      <c r="Y112" s="126" t="str">
        <f>IF(S112="S",IF(OR(P112&lt;=MAX($X$3:X111),P112&gt;=IF(MIN(W$53:$W113)&lt;1,99999999,MIN(W$53:$W113))),"Yes","No"),"")</f>
        <v/>
      </c>
      <c r="AA112" s="130" t="str">
        <f t="shared" si="20"/>
        <v/>
      </c>
      <c r="AB112" s="131" t="str">
        <f t="array" ref="AB112">IF(AA112&lt;=$AA$2,MIN(IF($L$4:$L$503&lt;=AB111,99999999999,$L$4:$L$503)),"")</f>
        <v/>
      </c>
      <c r="AC112" s="130" t="str">
        <f>IF(ISNUMBER(AA112),IF(Dashboard!$H$6&lt;&gt;"Horizontal",AC111+dateDistance,AC111),"")</f>
        <v/>
      </c>
      <c r="AD112" s="130" t="str">
        <f>IF(ISNUMBER(AA112),IF(Dashboard!$H$6="Horizontal",AD111+dateDistance,AD111),"")</f>
        <v/>
      </c>
      <c r="AE112" s="132" t="str">
        <f>IF(ISNUMBER(P112), IF(Dashboard!$H$6="Horizontal",IF(S112="S",INDEX($AC$4:$AC$503,MATCH(P112,$AB$4:$AB$503,0),1)+boxDistance*(T112+IF(Y112="No",IF(ISODD(T112),IF(T112&gt;0,1,-1),0),0))*IF(Y112="No",IF(ISODD(T112),0.5,-0.5),1),timelineStartRow - boxDistance * V112),IF( S112="S",INDEX($AC$4:$AC$503,MATCH(P112,$AB$4:$AB$503,0),1),INDEX($AC$4:$AC$503,MATCH(P112,$AB$4:$AB$503,0),1)&amp;"-"&amp;INDEX($AC$4:$AC$503,MATCH(Q112,$AB$4:$AB$503,0),1))),"")</f>
        <v/>
      </c>
      <c r="AF112" s="132" t="str">
        <f>IF(ISNUMBER(P112), IF(Dashboard!$H$6&lt;&gt;"Horizontal",IF(S112="S",INDEX($AD$4:$AD$503,MATCH(P112,$AB$4:$AB$503,0),1)+boxDistance*(T112+IF(Y112="No",IF(ISODD(T112),IF(T112&gt;0,1,-1),0),0))*IF(Y112="No",IF(ISODD(T112),0.5,-0.5),1),timelineStartColumn-boxDistance * IF(AND(ISNUMBER(V112),V112&gt;1),V112*0.85,1)   ),IF( S112="S",INDEX($AD$4:$AD$503,MATCH(P112,$AB$4:$AB$503,0),1),INDEX($AD$4:$AD$503,MATCH(P112,$AB$4:$AB$503,0),1)&amp;"-"&amp;INDEX($AD$4:$AD$503,MATCH(Q112,$AB$4:$AB$503,0),1))),"")</f>
        <v/>
      </c>
      <c r="AG112" s="133" t="str">
        <f t="shared" si="28"/>
        <v/>
      </c>
      <c r="AH112" s="134" t="str">
        <f t="shared" si="21"/>
        <v/>
      </c>
      <c r="AI112" s="135" t="str">
        <f t="shared" si="22"/>
        <v/>
      </c>
      <c r="AJ112" s="135" t="str">
        <f t="shared" si="29"/>
        <v/>
      </c>
      <c r="AK112" s="126" t="str">
        <f t="shared" si="30"/>
        <v/>
      </c>
      <c r="AL112" s="126" t="str">
        <f ca="1">IFERROR(IF(AK112="","", MATCH(AK112,OFFSET(Icons!$B$5,1,AM112-3,20,1),0)+5),"")</f>
        <v/>
      </c>
      <c r="AM112" s="126" t="str">
        <f t="shared" si="31"/>
        <v/>
      </c>
      <c r="AN112" s="90"/>
    </row>
    <row r="113" spans="5:40" ht="15" customHeight="1" x14ac:dyDescent="0.25">
      <c r="E113" s="126">
        <v>110</v>
      </c>
      <c r="F113" s="126"/>
      <c r="G113" s="127"/>
      <c r="H113" s="127"/>
      <c r="I113" s="126"/>
      <c r="K113" s="137" t="str">
        <f t="shared" si="24"/>
        <v/>
      </c>
      <c r="L113" s="127" t="str">
        <f t="shared" si="18"/>
        <v/>
      </c>
      <c r="N113" s="128" t="str">
        <f t="shared" si="25"/>
        <v/>
      </c>
      <c r="O113" s="126" t="str">
        <f t="array" ref="O113">IFERROR(SMALL(IF(($G$4:$G$253=P113),ROW($G$4:$G$253)-ROW($G$3),"" ),N113),"")</f>
        <v/>
      </c>
      <c r="P113" s="127" t="str">
        <f t="array" ref="P113">IFERROR(SMALL($G$4:$G$253,E113),"")</f>
        <v/>
      </c>
      <c r="Q113" s="127" t="str">
        <f t="shared" si="26"/>
        <v/>
      </c>
      <c r="R113" s="126" t="str">
        <f t="shared" si="27"/>
        <v/>
      </c>
      <c r="S113" s="126" t="str">
        <f t="shared" si="19"/>
        <v/>
      </c>
      <c r="T113" s="128" t="str">
        <f>IF(OR(S113="R",S113=""),"",COUNTIFS($P$4:P113,P113,$S$4:S113,"S")*U113)</f>
        <v/>
      </c>
      <c r="U113" s="128" t="str">
        <f>IF(ISNUMBER(N113),IF($C$11=TRUE,IF(OR(ISODD(COUNTIF($N$4:N113,1)),Y113="Yes"),1,-1),1),"")</f>
        <v/>
      </c>
      <c r="V113" s="128" t="str">
        <f ca="1">IFERROR(IF(AND(S113="R",W113&lt;&gt;""),1,IF(S113="R",MAX(OFFSET(V112,0,0,-1*(ROW(W113)-3-MATCH(MAX($W$4:W112),$W$4:W112,0)),1))+1,"")),"")</f>
        <v/>
      </c>
      <c r="W113" s="129" t="str">
        <f>IFERROR(IF(AND(S113="R", P113&gt;MAX($X$3:X112)),P113,""),"")</f>
        <v/>
      </c>
      <c r="X113" s="129" t="str">
        <f>IFERROR(IF(AND(W113="",Q113&gt;=MAX($X$3:X112)),IF(S113="R",Q113,IF(AND(W113="",P113&lt;=MAX($X$3:X112)),MAX($X$3:X112),"")),IF(W113&lt;&gt;"", Q113,"")),"")</f>
        <v/>
      </c>
      <c r="Y113" s="126" t="str">
        <f>IF(S113="S",IF(OR(P113&lt;=MAX($X$3:X112),P113&gt;=IF(MIN(W$53:$W114)&lt;1,99999999,MIN(W$53:$W114))),"Yes","No"),"")</f>
        <v/>
      </c>
      <c r="AA113" s="130" t="str">
        <f t="shared" si="20"/>
        <v/>
      </c>
      <c r="AB113" s="131" t="str">
        <f t="array" ref="AB113">IF(AA113&lt;=$AA$2,MIN(IF($L$4:$L$503&lt;=AB112,99999999999,$L$4:$L$503)),"")</f>
        <v/>
      </c>
      <c r="AC113" s="130" t="str">
        <f>IF(ISNUMBER(AA113),IF(Dashboard!$H$6&lt;&gt;"Horizontal",AC112+dateDistance,AC112),"")</f>
        <v/>
      </c>
      <c r="AD113" s="130" t="str">
        <f>IF(ISNUMBER(AA113),IF(Dashboard!$H$6="Horizontal",AD112+dateDistance,AD112),"")</f>
        <v/>
      </c>
      <c r="AE113" s="132" t="str">
        <f>IF(ISNUMBER(P113), IF(Dashboard!$H$6="Horizontal",IF(S113="S",INDEX($AC$4:$AC$503,MATCH(P113,$AB$4:$AB$503,0),1)+boxDistance*(T113+IF(Y113="No",IF(ISODD(T113),IF(T113&gt;0,1,-1),0),0))*IF(Y113="No",IF(ISODD(T113),0.5,-0.5),1),timelineStartRow - boxDistance * V113),IF( S113="S",INDEX($AC$4:$AC$503,MATCH(P113,$AB$4:$AB$503,0),1),INDEX($AC$4:$AC$503,MATCH(P113,$AB$4:$AB$503,0),1)&amp;"-"&amp;INDEX($AC$4:$AC$503,MATCH(Q113,$AB$4:$AB$503,0),1))),"")</f>
        <v/>
      </c>
      <c r="AF113" s="132" t="str">
        <f>IF(ISNUMBER(P113), IF(Dashboard!$H$6&lt;&gt;"Horizontal",IF(S113="S",INDEX($AD$4:$AD$503,MATCH(P113,$AB$4:$AB$503,0),1)+boxDistance*(T113+IF(Y113="No",IF(ISODD(T113),IF(T113&gt;0,1,-1),0),0))*IF(Y113="No",IF(ISODD(T113),0.5,-0.5),1),timelineStartColumn-boxDistance * IF(AND(ISNUMBER(V113),V113&gt;1),V113*0.85,1)   ),IF( S113="S",INDEX($AD$4:$AD$503,MATCH(P113,$AB$4:$AB$503,0),1),INDEX($AD$4:$AD$503,MATCH(P113,$AB$4:$AB$503,0),1)&amp;"-"&amp;INDEX($AD$4:$AD$503,MATCH(Q113,$AB$4:$AB$503,0),1))),"")</f>
        <v/>
      </c>
      <c r="AG113" s="133" t="str">
        <f t="shared" si="28"/>
        <v/>
      </c>
      <c r="AH113" s="134" t="str">
        <f t="shared" si="21"/>
        <v/>
      </c>
      <c r="AI113" s="135" t="str">
        <f t="shared" si="22"/>
        <v/>
      </c>
      <c r="AJ113" s="135" t="str">
        <f t="shared" si="29"/>
        <v/>
      </c>
      <c r="AK113" s="126" t="str">
        <f t="shared" si="30"/>
        <v/>
      </c>
      <c r="AL113" s="126" t="str">
        <f ca="1">IFERROR(IF(AK113="","", MATCH(AK113,OFFSET(Icons!$B$5,1,AM113-3,20,1),0)+5),"")</f>
        <v/>
      </c>
      <c r="AM113" s="126" t="str">
        <f t="shared" si="31"/>
        <v/>
      </c>
      <c r="AN113" s="90"/>
    </row>
    <row r="114" spans="5:40" ht="15" customHeight="1" x14ac:dyDescent="0.25">
      <c r="E114" s="126">
        <v>111</v>
      </c>
      <c r="F114" s="126"/>
      <c r="G114" s="127"/>
      <c r="H114" s="127"/>
      <c r="I114" s="126"/>
      <c r="K114" s="137" t="str">
        <f t="shared" si="24"/>
        <v/>
      </c>
      <c r="L114" s="127" t="str">
        <f t="shared" si="18"/>
        <v/>
      </c>
      <c r="N114" s="128" t="str">
        <f t="shared" si="25"/>
        <v/>
      </c>
      <c r="O114" s="126" t="str">
        <f t="array" ref="O114">IFERROR(SMALL(IF(($G$4:$G$253=P114),ROW($G$4:$G$253)-ROW($G$3),"" ),N114),"")</f>
        <v/>
      </c>
      <c r="P114" s="127" t="str">
        <f t="array" ref="P114">IFERROR(SMALL($G$4:$G$253,E114),"")</f>
        <v/>
      </c>
      <c r="Q114" s="127" t="str">
        <f t="shared" si="26"/>
        <v/>
      </c>
      <c r="R114" s="126" t="str">
        <f t="shared" si="27"/>
        <v/>
      </c>
      <c r="S114" s="126" t="str">
        <f t="shared" si="19"/>
        <v/>
      </c>
      <c r="T114" s="128" t="str">
        <f>IF(OR(S114="R",S114=""),"",COUNTIFS($P$4:P114,P114,$S$4:S114,"S")*U114)</f>
        <v/>
      </c>
      <c r="U114" s="128" t="str">
        <f>IF(ISNUMBER(N114),IF($C$11=TRUE,IF(OR(ISODD(COUNTIF($N$4:N114,1)),Y114="Yes"),1,-1),1),"")</f>
        <v/>
      </c>
      <c r="V114" s="128" t="str">
        <f ca="1">IFERROR(IF(AND(S114="R",W114&lt;&gt;""),1,IF(S114="R",MAX(OFFSET(V113,0,0,-1*(ROW(W114)-3-MATCH(MAX($W$4:W113),$W$4:W113,0)),1))+1,"")),"")</f>
        <v/>
      </c>
      <c r="W114" s="129" t="str">
        <f>IFERROR(IF(AND(S114="R", P114&gt;MAX($X$3:X113)),P114,""),"")</f>
        <v/>
      </c>
      <c r="X114" s="129" t="str">
        <f>IFERROR(IF(AND(W114="",Q114&gt;=MAX($X$3:X113)),IF(S114="R",Q114,IF(AND(W114="",P114&lt;=MAX($X$3:X113)),MAX($X$3:X113),"")),IF(W114&lt;&gt;"", Q114,"")),"")</f>
        <v/>
      </c>
      <c r="Y114" s="126" t="str">
        <f>IF(S114="S",IF(OR(P114&lt;=MAX($X$3:X113),P114&gt;=IF(MIN(W$53:$W115)&lt;1,99999999,MIN(W$53:$W115))),"Yes","No"),"")</f>
        <v/>
      </c>
      <c r="AA114" s="130" t="str">
        <f t="shared" si="20"/>
        <v/>
      </c>
      <c r="AB114" s="131" t="str">
        <f t="array" ref="AB114">IF(AA114&lt;=$AA$2,MIN(IF($L$4:$L$503&lt;=AB113,99999999999,$L$4:$L$503)),"")</f>
        <v/>
      </c>
      <c r="AC114" s="130" t="str">
        <f>IF(ISNUMBER(AA114),IF(Dashboard!$H$6&lt;&gt;"Horizontal",AC113+dateDistance,AC113),"")</f>
        <v/>
      </c>
      <c r="AD114" s="130" t="str">
        <f>IF(ISNUMBER(AA114),IF(Dashboard!$H$6="Horizontal",AD113+dateDistance,AD113),"")</f>
        <v/>
      </c>
      <c r="AE114" s="132" t="str">
        <f>IF(ISNUMBER(P114), IF(Dashboard!$H$6="Horizontal",IF(S114="S",INDEX($AC$4:$AC$503,MATCH(P114,$AB$4:$AB$503,0),1)+boxDistance*(T114+IF(Y114="No",IF(ISODD(T114),IF(T114&gt;0,1,-1),0),0))*IF(Y114="No",IF(ISODD(T114),0.5,-0.5),1),timelineStartRow - boxDistance * V114),IF( S114="S",INDEX($AC$4:$AC$503,MATCH(P114,$AB$4:$AB$503,0),1),INDEX($AC$4:$AC$503,MATCH(P114,$AB$4:$AB$503,0),1)&amp;"-"&amp;INDEX($AC$4:$AC$503,MATCH(Q114,$AB$4:$AB$503,0),1))),"")</f>
        <v/>
      </c>
      <c r="AF114" s="132" t="str">
        <f>IF(ISNUMBER(P114), IF(Dashboard!$H$6&lt;&gt;"Horizontal",IF(S114="S",INDEX($AD$4:$AD$503,MATCH(P114,$AB$4:$AB$503,0),1)+boxDistance*(T114+IF(Y114="No",IF(ISODD(T114),IF(T114&gt;0,1,-1),0),0))*IF(Y114="No",IF(ISODD(T114),0.5,-0.5),1),timelineStartColumn-boxDistance * IF(AND(ISNUMBER(V114),V114&gt;1),V114*0.85,1)   ),IF( S114="S",INDEX($AD$4:$AD$503,MATCH(P114,$AB$4:$AB$503,0),1),INDEX($AD$4:$AD$503,MATCH(P114,$AB$4:$AB$503,0),1)&amp;"-"&amp;INDEX($AD$4:$AD$503,MATCH(Q114,$AB$4:$AB$503,0),1))),"")</f>
        <v/>
      </c>
      <c r="AG114" s="133" t="str">
        <f t="shared" si="28"/>
        <v/>
      </c>
      <c r="AH114" s="134" t="str">
        <f t="shared" si="21"/>
        <v/>
      </c>
      <c r="AI114" s="135" t="str">
        <f t="shared" si="22"/>
        <v/>
      </c>
      <c r="AJ114" s="135" t="str">
        <f t="shared" si="29"/>
        <v/>
      </c>
      <c r="AK114" s="126" t="str">
        <f t="shared" si="30"/>
        <v/>
      </c>
      <c r="AL114" s="126" t="str">
        <f ca="1">IFERROR(IF(AK114="","", MATCH(AK114,OFFSET(Icons!$B$5,1,AM114-3,20,1),0)+5),"")</f>
        <v/>
      </c>
      <c r="AM114" s="126" t="str">
        <f t="shared" si="31"/>
        <v/>
      </c>
      <c r="AN114" s="90"/>
    </row>
    <row r="115" spans="5:40" ht="15" customHeight="1" x14ac:dyDescent="0.25">
      <c r="E115" s="126">
        <v>112</v>
      </c>
      <c r="F115" s="126"/>
      <c r="G115" s="127"/>
      <c r="H115" s="127"/>
      <c r="I115" s="126"/>
      <c r="K115" s="137" t="str">
        <f t="shared" si="24"/>
        <v/>
      </c>
      <c r="L115" s="127" t="str">
        <f t="shared" si="18"/>
        <v/>
      </c>
      <c r="N115" s="128" t="str">
        <f t="shared" si="25"/>
        <v/>
      </c>
      <c r="O115" s="126" t="str">
        <f t="array" ref="O115">IFERROR(SMALL(IF(($G$4:$G$253=P115),ROW($G$4:$G$253)-ROW($G$3),"" ),N115),"")</f>
        <v/>
      </c>
      <c r="P115" s="127" t="str">
        <f t="array" ref="P115">IFERROR(SMALL($G$4:$G$253,E115),"")</f>
        <v/>
      </c>
      <c r="Q115" s="127" t="str">
        <f t="shared" si="26"/>
        <v/>
      </c>
      <c r="R115" s="126" t="str">
        <f t="shared" si="27"/>
        <v/>
      </c>
      <c r="S115" s="126" t="str">
        <f t="shared" si="19"/>
        <v/>
      </c>
      <c r="T115" s="128" t="str">
        <f>IF(OR(S115="R",S115=""),"",COUNTIFS($P$4:P115,P115,$S$4:S115,"S")*U115)</f>
        <v/>
      </c>
      <c r="U115" s="128" t="str">
        <f>IF(ISNUMBER(N115),IF($C$11=TRUE,IF(OR(ISODD(COUNTIF($N$4:N115,1)),Y115="Yes"),1,-1),1),"")</f>
        <v/>
      </c>
      <c r="V115" s="128" t="str">
        <f ca="1">IFERROR(IF(AND(S115="R",W115&lt;&gt;""),1,IF(S115="R",MAX(OFFSET(V114,0,0,-1*(ROW(W115)-3-MATCH(MAX($W$4:W114),$W$4:W114,0)),1))+1,"")),"")</f>
        <v/>
      </c>
      <c r="W115" s="129" t="str">
        <f>IFERROR(IF(AND(S115="R", P115&gt;MAX($X$3:X114)),P115,""),"")</f>
        <v/>
      </c>
      <c r="X115" s="129" t="str">
        <f>IFERROR(IF(AND(W115="",Q115&gt;=MAX($X$3:X114)),IF(S115="R",Q115,IF(AND(W115="",P115&lt;=MAX($X$3:X114)),MAX($X$3:X114),"")),IF(W115&lt;&gt;"", Q115,"")),"")</f>
        <v/>
      </c>
      <c r="Y115" s="126" t="str">
        <f>IF(S115="S",IF(OR(P115&lt;=MAX($X$3:X114),P115&gt;=IF(MIN(W$53:$W116)&lt;1,99999999,MIN(W$53:$W116))),"Yes","No"),"")</f>
        <v/>
      </c>
      <c r="AA115" s="130" t="str">
        <f t="shared" si="20"/>
        <v/>
      </c>
      <c r="AB115" s="131" t="str">
        <f t="array" ref="AB115">IF(AA115&lt;=$AA$2,MIN(IF($L$4:$L$503&lt;=AB114,99999999999,$L$4:$L$503)),"")</f>
        <v/>
      </c>
      <c r="AC115" s="130" t="str">
        <f>IF(ISNUMBER(AA115),IF(Dashboard!$H$6&lt;&gt;"Horizontal",AC114+dateDistance,AC114),"")</f>
        <v/>
      </c>
      <c r="AD115" s="130" t="str">
        <f>IF(ISNUMBER(AA115),IF(Dashboard!$H$6="Horizontal",AD114+dateDistance,AD114),"")</f>
        <v/>
      </c>
      <c r="AE115" s="132" t="str">
        <f>IF(ISNUMBER(P115), IF(Dashboard!$H$6="Horizontal",IF(S115="S",INDEX($AC$4:$AC$503,MATCH(P115,$AB$4:$AB$503,0),1)+boxDistance*(T115+IF(Y115="No",IF(ISODD(T115),IF(T115&gt;0,1,-1),0),0))*IF(Y115="No",IF(ISODD(T115),0.5,-0.5),1),timelineStartRow - boxDistance * V115),IF( S115="S",INDEX($AC$4:$AC$503,MATCH(P115,$AB$4:$AB$503,0),1),INDEX($AC$4:$AC$503,MATCH(P115,$AB$4:$AB$503,0),1)&amp;"-"&amp;INDEX($AC$4:$AC$503,MATCH(Q115,$AB$4:$AB$503,0),1))),"")</f>
        <v/>
      </c>
      <c r="AF115" s="132" t="str">
        <f>IF(ISNUMBER(P115), IF(Dashboard!$H$6&lt;&gt;"Horizontal",IF(S115="S",INDEX($AD$4:$AD$503,MATCH(P115,$AB$4:$AB$503,0),1)+boxDistance*(T115+IF(Y115="No",IF(ISODD(T115),IF(T115&gt;0,1,-1),0),0))*IF(Y115="No",IF(ISODD(T115),0.5,-0.5),1),timelineStartColumn-boxDistance * IF(AND(ISNUMBER(V115),V115&gt;1),V115*0.85,1)   ),IF( S115="S",INDEX($AD$4:$AD$503,MATCH(P115,$AB$4:$AB$503,0),1),INDEX($AD$4:$AD$503,MATCH(P115,$AB$4:$AB$503,0),1)&amp;"-"&amp;INDEX($AD$4:$AD$503,MATCH(Q115,$AB$4:$AB$503,0),1))),"")</f>
        <v/>
      </c>
      <c r="AG115" s="133" t="str">
        <f t="shared" si="28"/>
        <v/>
      </c>
      <c r="AH115" s="134" t="str">
        <f t="shared" si="21"/>
        <v/>
      </c>
      <c r="AI115" s="135" t="str">
        <f t="shared" si="22"/>
        <v/>
      </c>
      <c r="AJ115" s="135" t="str">
        <f t="shared" si="29"/>
        <v/>
      </c>
      <c r="AK115" s="126" t="str">
        <f t="shared" si="30"/>
        <v/>
      </c>
      <c r="AL115" s="126" t="str">
        <f ca="1">IFERROR(IF(AK115="","", MATCH(AK115,OFFSET(Icons!$B$5,1,AM115-3,20,1),0)+5),"")</f>
        <v/>
      </c>
      <c r="AM115" s="126" t="str">
        <f t="shared" si="31"/>
        <v/>
      </c>
      <c r="AN115" s="90"/>
    </row>
    <row r="116" spans="5:40" ht="15" customHeight="1" x14ac:dyDescent="0.25">
      <c r="E116" s="126">
        <v>113</v>
      </c>
      <c r="F116" s="126"/>
      <c r="G116" s="127"/>
      <c r="H116" s="127"/>
      <c r="I116" s="126"/>
      <c r="K116" s="137" t="str">
        <f t="shared" si="24"/>
        <v/>
      </c>
      <c r="L116" s="127" t="str">
        <f t="shared" si="18"/>
        <v/>
      </c>
      <c r="N116" s="128" t="str">
        <f t="shared" si="25"/>
        <v/>
      </c>
      <c r="O116" s="126" t="str">
        <f t="array" ref="O116">IFERROR(SMALL(IF(($G$4:$G$253=P116),ROW($G$4:$G$253)-ROW($G$3),"" ),N116),"")</f>
        <v/>
      </c>
      <c r="P116" s="127" t="str">
        <f t="array" ref="P116">IFERROR(SMALL($G$4:$G$253,E116),"")</f>
        <v/>
      </c>
      <c r="Q116" s="127" t="str">
        <f t="shared" si="26"/>
        <v/>
      </c>
      <c r="R116" s="126" t="str">
        <f t="shared" si="27"/>
        <v/>
      </c>
      <c r="S116" s="126" t="str">
        <f t="shared" si="19"/>
        <v/>
      </c>
      <c r="T116" s="128" t="str">
        <f>IF(OR(S116="R",S116=""),"",COUNTIFS($P$4:P116,P116,$S$4:S116,"S")*U116)</f>
        <v/>
      </c>
      <c r="U116" s="128" t="str">
        <f>IF(ISNUMBER(N116),IF($C$11=TRUE,IF(OR(ISODD(COUNTIF($N$4:N116,1)),Y116="Yes"),1,-1),1),"")</f>
        <v/>
      </c>
      <c r="V116" s="128" t="str">
        <f ca="1">IFERROR(IF(AND(S116="R",W116&lt;&gt;""),1,IF(S116="R",MAX(OFFSET(V115,0,0,-1*(ROW(W116)-3-MATCH(MAX($W$4:W115),$W$4:W115,0)),1))+1,"")),"")</f>
        <v/>
      </c>
      <c r="W116" s="129" t="str">
        <f>IFERROR(IF(AND(S116="R", P116&gt;MAX($X$3:X115)),P116,""),"")</f>
        <v/>
      </c>
      <c r="X116" s="129" t="str">
        <f>IFERROR(IF(AND(W116="",Q116&gt;=MAX($X$3:X115)),IF(S116="R",Q116,IF(AND(W116="",P116&lt;=MAX($X$3:X115)),MAX($X$3:X115),"")),IF(W116&lt;&gt;"", Q116,"")),"")</f>
        <v/>
      </c>
      <c r="Y116" s="126" t="str">
        <f>IF(S116="S",IF(OR(P116&lt;=MAX($X$3:X115),P116&gt;=IF(MIN(W$53:$W117)&lt;1,99999999,MIN(W$53:$W117))),"Yes","No"),"")</f>
        <v/>
      </c>
      <c r="AA116" s="130" t="str">
        <f t="shared" si="20"/>
        <v/>
      </c>
      <c r="AB116" s="131" t="str">
        <f t="array" ref="AB116">IF(AA116&lt;=$AA$2,MIN(IF($L$4:$L$503&lt;=AB115,99999999999,$L$4:$L$503)),"")</f>
        <v/>
      </c>
      <c r="AC116" s="130" t="str">
        <f>IF(ISNUMBER(AA116),IF(Dashboard!$H$6&lt;&gt;"Horizontal",AC115+dateDistance,AC115),"")</f>
        <v/>
      </c>
      <c r="AD116" s="130" t="str">
        <f>IF(ISNUMBER(AA116),IF(Dashboard!$H$6="Horizontal",AD115+dateDistance,AD115),"")</f>
        <v/>
      </c>
      <c r="AE116" s="132" t="str">
        <f>IF(ISNUMBER(P116), IF(Dashboard!$H$6="Horizontal",IF(S116="S",INDEX($AC$4:$AC$503,MATCH(P116,$AB$4:$AB$503,0),1)+boxDistance*(T116+IF(Y116="No",IF(ISODD(T116),IF(T116&gt;0,1,-1),0),0))*IF(Y116="No",IF(ISODD(T116),0.5,-0.5),1),timelineStartRow - boxDistance * V116),IF( S116="S",INDEX($AC$4:$AC$503,MATCH(P116,$AB$4:$AB$503,0),1),INDEX($AC$4:$AC$503,MATCH(P116,$AB$4:$AB$503,0),1)&amp;"-"&amp;INDEX($AC$4:$AC$503,MATCH(Q116,$AB$4:$AB$503,0),1))),"")</f>
        <v/>
      </c>
      <c r="AF116" s="132" t="str">
        <f>IF(ISNUMBER(P116), IF(Dashboard!$H$6&lt;&gt;"Horizontal",IF(S116="S",INDEX($AD$4:$AD$503,MATCH(P116,$AB$4:$AB$503,0),1)+boxDistance*(T116+IF(Y116="No",IF(ISODD(T116),IF(T116&gt;0,1,-1),0),0))*IF(Y116="No",IF(ISODD(T116),0.5,-0.5),1),timelineStartColumn-boxDistance * IF(AND(ISNUMBER(V116),V116&gt;1),V116*0.85,1)   ),IF( S116="S",INDEX($AD$4:$AD$503,MATCH(P116,$AB$4:$AB$503,0),1),INDEX($AD$4:$AD$503,MATCH(P116,$AB$4:$AB$503,0),1)&amp;"-"&amp;INDEX($AD$4:$AD$503,MATCH(Q116,$AB$4:$AB$503,0),1))),"")</f>
        <v/>
      </c>
      <c r="AG116" s="133" t="str">
        <f t="shared" si="28"/>
        <v/>
      </c>
      <c r="AH116" s="134" t="str">
        <f t="shared" si="21"/>
        <v/>
      </c>
      <c r="AI116" s="135" t="str">
        <f t="shared" si="22"/>
        <v/>
      </c>
      <c r="AJ116" s="135" t="str">
        <f t="shared" si="29"/>
        <v/>
      </c>
      <c r="AK116" s="126" t="str">
        <f t="shared" si="30"/>
        <v/>
      </c>
      <c r="AL116" s="126" t="str">
        <f ca="1">IFERROR(IF(AK116="","", MATCH(AK116,OFFSET(Icons!$B$5,1,AM116-3,20,1),0)+5),"")</f>
        <v/>
      </c>
      <c r="AM116" s="126" t="str">
        <f t="shared" si="31"/>
        <v/>
      </c>
      <c r="AN116" s="90"/>
    </row>
    <row r="117" spans="5:40" ht="15" customHeight="1" x14ac:dyDescent="0.25">
      <c r="E117" s="126">
        <v>114</v>
      </c>
      <c r="F117" s="126"/>
      <c r="G117" s="127"/>
      <c r="H117" s="127"/>
      <c r="I117" s="126"/>
      <c r="K117" s="137" t="str">
        <f t="shared" si="24"/>
        <v/>
      </c>
      <c r="L117" s="127" t="str">
        <f t="shared" si="18"/>
        <v/>
      </c>
      <c r="N117" s="128" t="str">
        <f t="shared" si="25"/>
        <v/>
      </c>
      <c r="O117" s="126" t="str">
        <f t="array" ref="O117">IFERROR(SMALL(IF(($G$4:$G$253=P117),ROW($G$4:$G$253)-ROW($G$3),"" ),N117),"")</f>
        <v/>
      </c>
      <c r="P117" s="127" t="str">
        <f t="array" ref="P117">IFERROR(SMALL($G$4:$G$253,E117),"")</f>
        <v/>
      </c>
      <c r="Q117" s="127" t="str">
        <f t="shared" si="26"/>
        <v/>
      </c>
      <c r="R117" s="126" t="str">
        <f t="shared" si="27"/>
        <v/>
      </c>
      <c r="S117" s="126" t="str">
        <f t="shared" si="19"/>
        <v/>
      </c>
      <c r="T117" s="128" t="str">
        <f>IF(OR(S117="R",S117=""),"",COUNTIFS($P$4:P117,P117,$S$4:S117,"S")*U117)</f>
        <v/>
      </c>
      <c r="U117" s="128" t="str">
        <f>IF(ISNUMBER(N117),IF($C$11=TRUE,IF(OR(ISODD(COUNTIF($N$4:N117,1)),Y117="Yes"),1,-1),1),"")</f>
        <v/>
      </c>
      <c r="V117" s="128" t="str">
        <f ca="1">IFERROR(IF(AND(S117="R",W117&lt;&gt;""),1,IF(S117="R",MAX(OFFSET(V116,0,0,-1*(ROW(W117)-3-MATCH(MAX($W$4:W116),$W$4:W116,0)),1))+1,"")),"")</f>
        <v/>
      </c>
      <c r="W117" s="129" t="str">
        <f>IFERROR(IF(AND(S117="R", P117&gt;MAX($X$3:X116)),P117,""),"")</f>
        <v/>
      </c>
      <c r="X117" s="129" t="str">
        <f>IFERROR(IF(AND(W117="",Q117&gt;=MAX($X$3:X116)),IF(S117="R",Q117,IF(AND(W117="",P117&lt;=MAX($X$3:X116)),MAX($X$3:X116),"")),IF(W117&lt;&gt;"", Q117,"")),"")</f>
        <v/>
      </c>
      <c r="Y117" s="126" t="str">
        <f>IF(S117="S",IF(OR(P117&lt;=MAX($X$3:X116),P117&gt;=IF(MIN(W$53:$W118)&lt;1,99999999,MIN(W$53:$W118))),"Yes","No"),"")</f>
        <v/>
      </c>
      <c r="AA117" s="130" t="str">
        <f t="shared" si="20"/>
        <v/>
      </c>
      <c r="AB117" s="131" t="str">
        <f t="array" ref="AB117">IF(AA117&lt;=$AA$2,MIN(IF($L$4:$L$503&lt;=AB116,99999999999,$L$4:$L$503)),"")</f>
        <v/>
      </c>
      <c r="AC117" s="130" t="str">
        <f>IF(ISNUMBER(AA117),IF(Dashboard!$H$6&lt;&gt;"Horizontal",AC116+dateDistance,AC116),"")</f>
        <v/>
      </c>
      <c r="AD117" s="130" t="str">
        <f>IF(ISNUMBER(AA117),IF(Dashboard!$H$6="Horizontal",AD116+dateDistance,AD116),"")</f>
        <v/>
      </c>
      <c r="AE117" s="132" t="str">
        <f>IF(ISNUMBER(P117), IF(Dashboard!$H$6="Horizontal",IF(S117="S",INDEX($AC$4:$AC$503,MATCH(P117,$AB$4:$AB$503,0),1)+boxDistance*(T117+IF(Y117="No",IF(ISODD(T117),IF(T117&gt;0,1,-1),0),0))*IF(Y117="No",IF(ISODD(T117),0.5,-0.5),1),timelineStartRow - boxDistance * V117),IF( S117="S",INDEX($AC$4:$AC$503,MATCH(P117,$AB$4:$AB$503,0),1),INDEX($AC$4:$AC$503,MATCH(P117,$AB$4:$AB$503,0),1)&amp;"-"&amp;INDEX($AC$4:$AC$503,MATCH(Q117,$AB$4:$AB$503,0),1))),"")</f>
        <v/>
      </c>
      <c r="AF117" s="132" t="str">
        <f>IF(ISNUMBER(P117), IF(Dashboard!$H$6&lt;&gt;"Horizontal",IF(S117="S",INDEX($AD$4:$AD$503,MATCH(P117,$AB$4:$AB$503,0),1)+boxDistance*(T117+IF(Y117="No",IF(ISODD(T117),IF(T117&gt;0,1,-1),0),0))*IF(Y117="No",IF(ISODD(T117),0.5,-0.5),1),timelineStartColumn-boxDistance * IF(AND(ISNUMBER(V117),V117&gt;1),V117*0.85,1)   ),IF( S117="S",INDEX($AD$4:$AD$503,MATCH(P117,$AB$4:$AB$503,0),1),INDEX($AD$4:$AD$503,MATCH(P117,$AB$4:$AB$503,0),1)&amp;"-"&amp;INDEX($AD$4:$AD$503,MATCH(Q117,$AB$4:$AB$503,0),1))),"")</f>
        <v/>
      </c>
      <c r="AG117" s="133" t="str">
        <f t="shared" si="28"/>
        <v/>
      </c>
      <c r="AH117" s="134" t="str">
        <f t="shared" si="21"/>
        <v/>
      </c>
      <c r="AI117" s="135" t="str">
        <f t="shared" si="22"/>
        <v/>
      </c>
      <c r="AJ117" s="135" t="str">
        <f t="shared" si="29"/>
        <v/>
      </c>
      <c r="AK117" s="126" t="str">
        <f t="shared" si="30"/>
        <v/>
      </c>
      <c r="AL117" s="126" t="str">
        <f ca="1">IFERROR(IF(AK117="","", MATCH(AK117,OFFSET(Icons!$B$5,1,AM117-3,20,1),0)+5),"")</f>
        <v/>
      </c>
      <c r="AM117" s="126" t="str">
        <f t="shared" si="31"/>
        <v/>
      </c>
      <c r="AN117" s="90"/>
    </row>
    <row r="118" spans="5:40" ht="15" customHeight="1" x14ac:dyDescent="0.25">
      <c r="E118" s="126">
        <v>115</v>
      </c>
      <c r="F118" s="126"/>
      <c r="G118" s="127"/>
      <c r="H118" s="127"/>
      <c r="I118" s="126"/>
      <c r="K118" s="137" t="str">
        <f t="shared" si="24"/>
        <v/>
      </c>
      <c r="L118" s="127" t="str">
        <f t="shared" si="18"/>
        <v/>
      </c>
      <c r="N118" s="128" t="str">
        <f t="shared" si="25"/>
        <v/>
      </c>
      <c r="O118" s="126" t="str">
        <f t="array" ref="O118">IFERROR(SMALL(IF(($G$4:$G$253=P118),ROW($G$4:$G$253)-ROW($G$3),"" ),N118),"")</f>
        <v/>
      </c>
      <c r="P118" s="127" t="str">
        <f t="array" ref="P118">IFERROR(SMALL($G$4:$G$253,E118),"")</f>
        <v/>
      </c>
      <c r="Q118" s="127" t="str">
        <f t="shared" si="26"/>
        <v/>
      </c>
      <c r="R118" s="126" t="str">
        <f t="shared" si="27"/>
        <v/>
      </c>
      <c r="S118" s="126" t="str">
        <f t="shared" si="19"/>
        <v/>
      </c>
      <c r="T118" s="128" t="str">
        <f>IF(OR(S118="R",S118=""),"",COUNTIFS($P$4:P118,P118,$S$4:S118,"S")*U118)</f>
        <v/>
      </c>
      <c r="U118" s="128" t="str">
        <f>IF(ISNUMBER(N118),IF($C$11=TRUE,IF(OR(ISODD(COUNTIF($N$4:N118,1)),Y118="Yes"),1,-1),1),"")</f>
        <v/>
      </c>
      <c r="V118" s="128" t="str">
        <f ca="1">IFERROR(IF(AND(S118="R",W118&lt;&gt;""),1,IF(S118="R",MAX(OFFSET(V117,0,0,-1*(ROW(W118)-3-MATCH(MAX($W$4:W117),$W$4:W117,0)),1))+1,"")),"")</f>
        <v/>
      </c>
      <c r="W118" s="129" t="str">
        <f>IFERROR(IF(AND(S118="R", P118&gt;MAX($X$3:X117)),P118,""),"")</f>
        <v/>
      </c>
      <c r="X118" s="129" t="str">
        <f>IFERROR(IF(AND(W118="",Q118&gt;=MAX($X$3:X117)),IF(S118="R",Q118,IF(AND(W118="",P118&lt;=MAX($X$3:X117)),MAX($X$3:X117),"")),IF(W118&lt;&gt;"", Q118,"")),"")</f>
        <v/>
      </c>
      <c r="Y118" s="126" t="str">
        <f>IF(S118="S",IF(OR(P118&lt;=MAX($X$3:X117),P118&gt;=IF(MIN(W$53:$W119)&lt;1,99999999,MIN(W$53:$W119))),"Yes","No"),"")</f>
        <v/>
      </c>
      <c r="AA118" s="130" t="str">
        <f t="shared" si="20"/>
        <v/>
      </c>
      <c r="AB118" s="131" t="str">
        <f t="array" ref="AB118">IF(AA118&lt;=$AA$2,MIN(IF($L$4:$L$503&lt;=AB117,99999999999,$L$4:$L$503)),"")</f>
        <v/>
      </c>
      <c r="AC118" s="130" t="str">
        <f>IF(ISNUMBER(AA118),IF(Dashboard!$H$6&lt;&gt;"Horizontal",AC117+dateDistance,AC117),"")</f>
        <v/>
      </c>
      <c r="AD118" s="130" t="str">
        <f>IF(ISNUMBER(AA118),IF(Dashboard!$H$6="Horizontal",AD117+dateDistance,AD117),"")</f>
        <v/>
      </c>
      <c r="AE118" s="132" t="str">
        <f>IF(ISNUMBER(P118), IF(Dashboard!$H$6="Horizontal",IF(S118="S",INDEX($AC$4:$AC$503,MATCH(P118,$AB$4:$AB$503,0),1)+boxDistance*(T118+IF(Y118="No",IF(ISODD(T118),IF(T118&gt;0,1,-1),0),0))*IF(Y118="No",IF(ISODD(T118),0.5,-0.5),1),timelineStartRow - boxDistance * V118),IF( S118="S",INDEX($AC$4:$AC$503,MATCH(P118,$AB$4:$AB$503,0),1),INDEX($AC$4:$AC$503,MATCH(P118,$AB$4:$AB$503,0),1)&amp;"-"&amp;INDEX($AC$4:$AC$503,MATCH(Q118,$AB$4:$AB$503,0),1))),"")</f>
        <v/>
      </c>
      <c r="AF118" s="132" t="str">
        <f>IF(ISNUMBER(P118), IF(Dashboard!$H$6&lt;&gt;"Horizontal",IF(S118="S",INDEX($AD$4:$AD$503,MATCH(P118,$AB$4:$AB$503,0),1)+boxDistance*(T118+IF(Y118="No",IF(ISODD(T118),IF(T118&gt;0,1,-1),0),0))*IF(Y118="No",IF(ISODD(T118),0.5,-0.5),1),timelineStartColumn-boxDistance * IF(AND(ISNUMBER(V118),V118&gt;1),V118*0.85,1)   ),IF( S118="S",INDEX($AD$4:$AD$503,MATCH(P118,$AB$4:$AB$503,0),1),INDEX($AD$4:$AD$503,MATCH(P118,$AB$4:$AB$503,0),1)&amp;"-"&amp;INDEX($AD$4:$AD$503,MATCH(Q118,$AB$4:$AB$503,0),1))),"")</f>
        <v/>
      </c>
      <c r="AG118" s="133" t="str">
        <f t="shared" si="28"/>
        <v/>
      </c>
      <c r="AH118" s="134" t="str">
        <f t="shared" si="21"/>
        <v/>
      </c>
      <c r="AI118" s="135" t="str">
        <f t="shared" si="22"/>
        <v/>
      </c>
      <c r="AJ118" s="135" t="str">
        <f t="shared" si="29"/>
        <v/>
      </c>
      <c r="AK118" s="126" t="str">
        <f t="shared" si="30"/>
        <v/>
      </c>
      <c r="AL118" s="126" t="str">
        <f ca="1">IFERROR(IF(AK118="","", MATCH(AK118,OFFSET(Icons!$B$5,1,AM118-3,20,1),0)+5),"")</f>
        <v/>
      </c>
      <c r="AM118" s="126" t="str">
        <f t="shared" si="31"/>
        <v/>
      </c>
      <c r="AN118" s="90"/>
    </row>
    <row r="119" spans="5:40" ht="15" customHeight="1" x14ac:dyDescent="0.25">
      <c r="E119" s="126">
        <v>116</v>
      </c>
      <c r="F119" s="126"/>
      <c r="G119" s="127"/>
      <c r="H119" s="127"/>
      <c r="I119" s="126"/>
      <c r="K119" s="137" t="str">
        <f t="shared" si="24"/>
        <v/>
      </c>
      <c r="L119" s="127" t="str">
        <f t="shared" si="18"/>
        <v/>
      </c>
      <c r="N119" s="128" t="str">
        <f t="shared" si="25"/>
        <v/>
      </c>
      <c r="O119" s="126" t="str">
        <f t="array" ref="O119">IFERROR(SMALL(IF(($G$4:$G$253=P119),ROW($G$4:$G$253)-ROW($G$3),"" ),N119),"")</f>
        <v/>
      </c>
      <c r="P119" s="127" t="str">
        <f t="array" ref="P119">IFERROR(SMALL($G$4:$G$253,E119),"")</f>
        <v/>
      </c>
      <c r="Q119" s="127" t="str">
        <f t="shared" si="26"/>
        <v/>
      </c>
      <c r="R119" s="126" t="str">
        <f t="shared" si="27"/>
        <v/>
      </c>
      <c r="S119" s="126" t="str">
        <f t="shared" si="19"/>
        <v/>
      </c>
      <c r="T119" s="128" t="str">
        <f>IF(OR(S119="R",S119=""),"",COUNTIFS($P$4:P119,P119,$S$4:S119,"S")*U119)</f>
        <v/>
      </c>
      <c r="U119" s="128" t="str">
        <f>IF(ISNUMBER(N119),IF($C$11=TRUE,IF(OR(ISODD(COUNTIF($N$4:N119,1)),Y119="Yes"),1,-1),1),"")</f>
        <v/>
      </c>
      <c r="V119" s="128" t="str">
        <f ca="1">IFERROR(IF(AND(S119="R",W119&lt;&gt;""),1,IF(S119="R",MAX(OFFSET(V118,0,0,-1*(ROW(W119)-3-MATCH(MAX($W$4:W118),$W$4:W118,0)),1))+1,"")),"")</f>
        <v/>
      </c>
      <c r="W119" s="129" t="str">
        <f>IFERROR(IF(AND(S119="R", P119&gt;MAX($X$3:X118)),P119,""),"")</f>
        <v/>
      </c>
      <c r="X119" s="129" t="str">
        <f>IFERROR(IF(AND(W119="",Q119&gt;=MAX($X$3:X118)),IF(S119="R",Q119,IF(AND(W119="",P119&lt;=MAX($X$3:X118)),MAX($X$3:X118),"")),IF(W119&lt;&gt;"", Q119,"")),"")</f>
        <v/>
      </c>
      <c r="Y119" s="126" t="str">
        <f>IF(S119="S",IF(OR(P119&lt;=MAX($X$3:X118),P119&gt;=IF(MIN(W$53:$W120)&lt;1,99999999,MIN(W$53:$W120))),"Yes","No"),"")</f>
        <v/>
      </c>
      <c r="AA119" s="130" t="str">
        <f t="shared" si="20"/>
        <v/>
      </c>
      <c r="AB119" s="131" t="str">
        <f t="array" ref="AB119">IF(AA119&lt;=$AA$2,MIN(IF($L$4:$L$503&lt;=AB118,99999999999,$L$4:$L$503)),"")</f>
        <v/>
      </c>
      <c r="AC119" s="130" t="str">
        <f>IF(ISNUMBER(AA119),IF(Dashboard!$H$6&lt;&gt;"Horizontal",AC118+dateDistance,AC118),"")</f>
        <v/>
      </c>
      <c r="AD119" s="130" t="str">
        <f>IF(ISNUMBER(AA119),IF(Dashboard!$H$6="Horizontal",AD118+dateDistance,AD118),"")</f>
        <v/>
      </c>
      <c r="AE119" s="132" t="str">
        <f>IF(ISNUMBER(P119), IF(Dashboard!$H$6="Horizontal",IF(S119="S",INDEX($AC$4:$AC$503,MATCH(P119,$AB$4:$AB$503,0),1)+boxDistance*(T119+IF(Y119="No",IF(ISODD(T119),IF(T119&gt;0,1,-1),0),0))*IF(Y119="No",IF(ISODD(T119),0.5,-0.5),1),timelineStartRow - boxDistance * V119),IF( S119="S",INDEX($AC$4:$AC$503,MATCH(P119,$AB$4:$AB$503,0),1),INDEX($AC$4:$AC$503,MATCH(P119,$AB$4:$AB$503,0),1)&amp;"-"&amp;INDEX($AC$4:$AC$503,MATCH(Q119,$AB$4:$AB$503,0),1))),"")</f>
        <v/>
      </c>
      <c r="AF119" s="132" t="str">
        <f>IF(ISNUMBER(P119), IF(Dashboard!$H$6&lt;&gt;"Horizontal",IF(S119="S",INDEX($AD$4:$AD$503,MATCH(P119,$AB$4:$AB$503,0),1)+boxDistance*(T119+IF(Y119="No",IF(ISODD(T119),IF(T119&gt;0,1,-1),0),0))*IF(Y119="No",IF(ISODD(T119),0.5,-0.5),1),timelineStartColumn-boxDistance * IF(AND(ISNUMBER(V119),V119&gt;1),V119*0.85,1)   ),IF( S119="S",INDEX($AD$4:$AD$503,MATCH(P119,$AB$4:$AB$503,0),1),INDEX($AD$4:$AD$503,MATCH(P119,$AB$4:$AB$503,0),1)&amp;"-"&amp;INDEX($AD$4:$AD$503,MATCH(Q119,$AB$4:$AB$503,0),1))),"")</f>
        <v/>
      </c>
      <c r="AG119" s="133" t="str">
        <f t="shared" si="28"/>
        <v/>
      </c>
      <c r="AH119" s="134" t="str">
        <f t="shared" si="21"/>
        <v/>
      </c>
      <c r="AI119" s="135" t="str">
        <f t="shared" si="22"/>
        <v/>
      </c>
      <c r="AJ119" s="135" t="str">
        <f t="shared" si="29"/>
        <v/>
      </c>
      <c r="AK119" s="126" t="str">
        <f t="shared" si="30"/>
        <v/>
      </c>
      <c r="AL119" s="126" t="str">
        <f ca="1">IFERROR(IF(AK119="","", MATCH(AK119,OFFSET(Icons!$B$5,1,AM119-3,20,1),0)+5),"")</f>
        <v/>
      </c>
      <c r="AM119" s="126" t="str">
        <f t="shared" si="31"/>
        <v/>
      </c>
      <c r="AN119" s="90"/>
    </row>
    <row r="120" spans="5:40" ht="15" customHeight="1" x14ac:dyDescent="0.25">
      <c r="E120" s="126">
        <v>117</v>
      </c>
      <c r="F120" s="126"/>
      <c r="G120" s="127"/>
      <c r="H120" s="127"/>
      <c r="I120" s="126"/>
      <c r="K120" s="137" t="str">
        <f t="shared" si="24"/>
        <v/>
      </c>
      <c r="L120" s="127" t="str">
        <f t="shared" si="18"/>
        <v/>
      </c>
      <c r="N120" s="128" t="str">
        <f t="shared" si="25"/>
        <v/>
      </c>
      <c r="O120" s="126" t="str">
        <f t="array" ref="O120">IFERROR(SMALL(IF(($G$4:$G$253=P120),ROW($G$4:$G$253)-ROW($G$3),"" ),N120),"")</f>
        <v/>
      </c>
      <c r="P120" s="127" t="str">
        <f t="array" ref="P120">IFERROR(SMALL($G$4:$G$253,E120),"")</f>
        <v/>
      </c>
      <c r="Q120" s="127" t="str">
        <f t="shared" si="26"/>
        <v/>
      </c>
      <c r="R120" s="126" t="str">
        <f t="shared" si="27"/>
        <v/>
      </c>
      <c r="S120" s="126" t="str">
        <f t="shared" si="19"/>
        <v/>
      </c>
      <c r="T120" s="128" t="str">
        <f>IF(OR(S120="R",S120=""),"",COUNTIFS($P$4:P120,P120,$S$4:S120,"S")*U120)</f>
        <v/>
      </c>
      <c r="U120" s="128" t="str">
        <f>IF(ISNUMBER(N120),IF($C$11=TRUE,IF(OR(ISODD(COUNTIF($N$4:N120,1)),Y120="Yes"),1,-1),1),"")</f>
        <v/>
      </c>
      <c r="V120" s="128" t="str">
        <f ca="1">IFERROR(IF(AND(S120="R",W120&lt;&gt;""),1,IF(S120="R",MAX(OFFSET(V119,0,0,-1*(ROW(W120)-3-MATCH(MAX($W$4:W119),$W$4:W119,0)),1))+1,"")),"")</f>
        <v/>
      </c>
      <c r="W120" s="129" t="str">
        <f>IFERROR(IF(AND(S120="R", P120&gt;MAX($X$3:X119)),P120,""),"")</f>
        <v/>
      </c>
      <c r="X120" s="129" t="str">
        <f>IFERROR(IF(AND(W120="",Q120&gt;=MAX($X$3:X119)),IF(S120="R",Q120,IF(AND(W120="",P120&lt;=MAX($X$3:X119)),MAX($X$3:X119),"")),IF(W120&lt;&gt;"", Q120,"")),"")</f>
        <v/>
      </c>
      <c r="Y120" s="126" t="str">
        <f>IF(S120="S",IF(OR(P120&lt;=MAX($X$3:X119),P120&gt;=IF(MIN(W$53:$W121)&lt;1,99999999,MIN(W$53:$W121))),"Yes","No"),"")</f>
        <v/>
      </c>
      <c r="AA120" s="130" t="str">
        <f t="shared" si="20"/>
        <v/>
      </c>
      <c r="AB120" s="131" t="str">
        <f t="array" ref="AB120">IF(AA120&lt;=$AA$2,MIN(IF($L$4:$L$503&lt;=AB119,99999999999,$L$4:$L$503)),"")</f>
        <v/>
      </c>
      <c r="AC120" s="130" t="str">
        <f>IF(ISNUMBER(AA120),IF(Dashboard!$H$6&lt;&gt;"Horizontal",AC119+dateDistance,AC119),"")</f>
        <v/>
      </c>
      <c r="AD120" s="130" t="str">
        <f>IF(ISNUMBER(AA120),IF(Dashboard!$H$6="Horizontal",AD119+dateDistance,AD119),"")</f>
        <v/>
      </c>
      <c r="AE120" s="132" t="str">
        <f>IF(ISNUMBER(P120), IF(Dashboard!$H$6="Horizontal",IF(S120="S",INDEX($AC$4:$AC$503,MATCH(P120,$AB$4:$AB$503,0),1)+boxDistance*(T120+IF(Y120="No",IF(ISODD(T120),IF(T120&gt;0,1,-1),0),0))*IF(Y120="No",IF(ISODD(T120),0.5,-0.5),1),timelineStartRow - boxDistance * V120),IF( S120="S",INDEX($AC$4:$AC$503,MATCH(P120,$AB$4:$AB$503,0),1),INDEX($AC$4:$AC$503,MATCH(P120,$AB$4:$AB$503,0),1)&amp;"-"&amp;INDEX($AC$4:$AC$503,MATCH(Q120,$AB$4:$AB$503,0),1))),"")</f>
        <v/>
      </c>
      <c r="AF120" s="132" t="str">
        <f>IF(ISNUMBER(P120), IF(Dashboard!$H$6&lt;&gt;"Horizontal",IF(S120="S",INDEX($AD$4:$AD$503,MATCH(P120,$AB$4:$AB$503,0),1)+boxDistance*(T120+IF(Y120="No",IF(ISODD(T120),IF(T120&gt;0,1,-1),0),0))*IF(Y120="No",IF(ISODD(T120),0.5,-0.5),1),timelineStartColumn-boxDistance * IF(AND(ISNUMBER(V120),V120&gt;1),V120*0.85,1)   ),IF( S120="S",INDEX($AD$4:$AD$503,MATCH(P120,$AB$4:$AB$503,0),1),INDEX($AD$4:$AD$503,MATCH(P120,$AB$4:$AB$503,0),1)&amp;"-"&amp;INDEX($AD$4:$AD$503,MATCH(Q120,$AB$4:$AB$503,0),1))),"")</f>
        <v/>
      </c>
      <c r="AG120" s="133" t="str">
        <f t="shared" si="28"/>
        <v/>
      </c>
      <c r="AH120" s="134" t="str">
        <f t="shared" si="21"/>
        <v/>
      </c>
      <c r="AI120" s="135" t="str">
        <f t="shared" si="22"/>
        <v/>
      </c>
      <c r="AJ120" s="135" t="str">
        <f t="shared" si="29"/>
        <v/>
      </c>
      <c r="AK120" s="126" t="str">
        <f t="shared" si="30"/>
        <v/>
      </c>
      <c r="AL120" s="126" t="str">
        <f ca="1">IFERROR(IF(AK120="","", MATCH(AK120,OFFSET(Icons!$B$5,1,AM120-3,20,1),0)+5),"")</f>
        <v/>
      </c>
      <c r="AM120" s="126" t="str">
        <f t="shared" si="31"/>
        <v/>
      </c>
      <c r="AN120" s="90"/>
    </row>
    <row r="121" spans="5:40" ht="15" customHeight="1" x14ac:dyDescent="0.25">
      <c r="E121" s="126">
        <v>118</v>
      </c>
      <c r="F121" s="126"/>
      <c r="G121" s="127"/>
      <c r="H121" s="127"/>
      <c r="I121" s="126"/>
      <c r="K121" s="137" t="str">
        <f t="shared" si="24"/>
        <v/>
      </c>
      <c r="L121" s="127" t="str">
        <f t="shared" si="18"/>
        <v/>
      </c>
      <c r="N121" s="128" t="str">
        <f t="shared" si="25"/>
        <v/>
      </c>
      <c r="O121" s="126" t="str">
        <f t="array" ref="O121">IFERROR(SMALL(IF(($G$4:$G$253=P121),ROW($G$4:$G$253)-ROW($G$3),"" ),N121),"")</f>
        <v/>
      </c>
      <c r="P121" s="127" t="str">
        <f t="array" ref="P121">IFERROR(SMALL($G$4:$G$253,E121),"")</f>
        <v/>
      </c>
      <c r="Q121" s="127" t="str">
        <f t="shared" si="26"/>
        <v/>
      </c>
      <c r="R121" s="126" t="str">
        <f t="shared" si="27"/>
        <v/>
      </c>
      <c r="S121" s="126" t="str">
        <f t="shared" si="19"/>
        <v/>
      </c>
      <c r="T121" s="128" t="str">
        <f>IF(OR(S121="R",S121=""),"",COUNTIFS($P$4:P121,P121,$S$4:S121,"S")*U121)</f>
        <v/>
      </c>
      <c r="U121" s="128" t="str">
        <f>IF(ISNUMBER(N121),IF($C$11=TRUE,IF(OR(ISODD(COUNTIF($N$4:N121,1)),Y121="Yes"),1,-1),1),"")</f>
        <v/>
      </c>
      <c r="V121" s="128" t="str">
        <f ca="1">IFERROR(IF(AND(S121="R",W121&lt;&gt;""),1,IF(S121="R",MAX(OFFSET(V120,0,0,-1*(ROW(W121)-3-MATCH(MAX($W$4:W120),$W$4:W120,0)),1))+1,"")),"")</f>
        <v/>
      </c>
      <c r="W121" s="129" t="str">
        <f>IFERROR(IF(AND(S121="R", P121&gt;MAX($X$3:X120)),P121,""),"")</f>
        <v/>
      </c>
      <c r="X121" s="129" t="str">
        <f>IFERROR(IF(AND(W121="",Q121&gt;=MAX($X$3:X120)),IF(S121="R",Q121,IF(AND(W121="",P121&lt;=MAX($X$3:X120)),MAX($X$3:X120),"")),IF(W121&lt;&gt;"", Q121,"")),"")</f>
        <v/>
      </c>
      <c r="Y121" s="126" t="str">
        <f>IF(S121="S",IF(OR(P121&lt;=MAX($X$3:X120),P121&gt;=IF(MIN(W$53:$W122)&lt;1,99999999,MIN(W$53:$W122))),"Yes","No"),"")</f>
        <v/>
      </c>
      <c r="AA121" s="130" t="str">
        <f t="shared" si="20"/>
        <v/>
      </c>
      <c r="AB121" s="131" t="str">
        <f t="array" ref="AB121">IF(AA121&lt;=$AA$2,MIN(IF($L$4:$L$503&lt;=AB120,99999999999,$L$4:$L$503)),"")</f>
        <v/>
      </c>
      <c r="AC121" s="130" t="str">
        <f>IF(ISNUMBER(AA121),IF(Dashboard!$H$6&lt;&gt;"Horizontal",AC120+dateDistance,AC120),"")</f>
        <v/>
      </c>
      <c r="AD121" s="130" t="str">
        <f>IF(ISNUMBER(AA121),IF(Dashboard!$H$6="Horizontal",AD120+dateDistance,AD120),"")</f>
        <v/>
      </c>
      <c r="AE121" s="132" t="str">
        <f>IF(ISNUMBER(P121), IF(Dashboard!$H$6="Horizontal",IF(S121="S",INDEX($AC$4:$AC$503,MATCH(P121,$AB$4:$AB$503,0),1)+boxDistance*(T121+IF(Y121="No",IF(ISODD(T121),IF(T121&gt;0,1,-1),0),0))*IF(Y121="No",IF(ISODD(T121),0.5,-0.5),1),timelineStartRow - boxDistance * V121),IF( S121="S",INDEX($AC$4:$AC$503,MATCH(P121,$AB$4:$AB$503,0),1),INDEX($AC$4:$AC$503,MATCH(P121,$AB$4:$AB$503,0),1)&amp;"-"&amp;INDEX($AC$4:$AC$503,MATCH(Q121,$AB$4:$AB$503,0),1))),"")</f>
        <v/>
      </c>
      <c r="AF121" s="132" t="str">
        <f>IF(ISNUMBER(P121), IF(Dashboard!$H$6&lt;&gt;"Horizontal",IF(S121="S",INDEX($AD$4:$AD$503,MATCH(P121,$AB$4:$AB$503,0),1)+boxDistance*(T121+IF(Y121="No",IF(ISODD(T121),IF(T121&gt;0,1,-1),0),0))*IF(Y121="No",IF(ISODD(T121),0.5,-0.5),1),timelineStartColumn-boxDistance * IF(AND(ISNUMBER(V121),V121&gt;1),V121*0.85,1)   ),IF( S121="S",INDEX($AD$4:$AD$503,MATCH(P121,$AB$4:$AB$503,0),1),INDEX($AD$4:$AD$503,MATCH(P121,$AB$4:$AB$503,0),1)&amp;"-"&amp;INDEX($AD$4:$AD$503,MATCH(Q121,$AB$4:$AB$503,0),1))),"")</f>
        <v/>
      </c>
      <c r="AG121" s="133" t="str">
        <f t="shared" si="28"/>
        <v/>
      </c>
      <c r="AH121" s="134" t="str">
        <f t="shared" si="21"/>
        <v/>
      </c>
      <c r="AI121" s="135" t="str">
        <f t="shared" si="22"/>
        <v/>
      </c>
      <c r="AJ121" s="135" t="str">
        <f t="shared" si="29"/>
        <v/>
      </c>
      <c r="AK121" s="126" t="str">
        <f t="shared" si="30"/>
        <v/>
      </c>
      <c r="AL121" s="126" t="str">
        <f ca="1">IFERROR(IF(AK121="","", MATCH(AK121,OFFSET(Icons!$B$5,1,AM121-3,20,1),0)+5),"")</f>
        <v/>
      </c>
      <c r="AM121" s="126" t="str">
        <f t="shared" si="31"/>
        <v/>
      </c>
      <c r="AN121" s="90"/>
    </row>
    <row r="122" spans="5:40" ht="15" customHeight="1" x14ac:dyDescent="0.25">
      <c r="E122" s="126">
        <v>119</v>
      </c>
      <c r="F122" s="126"/>
      <c r="G122" s="127"/>
      <c r="H122" s="127"/>
      <c r="I122" s="126"/>
      <c r="K122" s="137" t="str">
        <f t="shared" si="24"/>
        <v/>
      </c>
      <c r="L122" s="127" t="str">
        <f t="shared" si="18"/>
        <v/>
      </c>
      <c r="N122" s="128" t="str">
        <f t="shared" si="25"/>
        <v/>
      </c>
      <c r="O122" s="126" t="str">
        <f t="array" ref="O122">IFERROR(SMALL(IF(($G$4:$G$253=P122),ROW($G$4:$G$253)-ROW($G$3),"" ),N122),"")</f>
        <v/>
      </c>
      <c r="P122" s="127" t="str">
        <f t="array" ref="P122">IFERROR(SMALL($G$4:$G$253,E122),"")</f>
        <v/>
      </c>
      <c r="Q122" s="127" t="str">
        <f t="shared" si="26"/>
        <v/>
      </c>
      <c r="R122" s="126" t="str">
        <f t="shared" si="27"/>
        <v/>
      </c>
      <c r="S122" s="126" t="str">
        <f t="shared" si="19"/>
        <v/>
      </c>
      <c r="T122" s="128" t="str">
        <f>IF(OR(S122="R",S122=""),"",COUNTIFS($P$4:P122,P122,$S$4:S122,"S")*U122)</f>
        <v/>
      </c>
      <c r="U122" s="128" t="str">
        <f>IF(ISNUMBER(N122),IF($C$11=TRUE,IF(OR(ISODD(COUNTIF($N$4:N122,1)),Y122="Yes"),1,-1),1),"")</f>
        <v/>
      </c>
      <c r="V122" s="128" t="str">
        <f ca="1">IFERROR(IF(AND(S122="R",W122&lt;&gt;""),1,IF(S122="R",MAX(OFFSET(V121,0,0,-1*(ROW(W122)-3-MATCH(MAX($W$4:W121),$W$4:W121,0)),1))+1,"")),"")</f>
        <v/>
      </c>
      <c r="W122" s="129" t="str">
        <f>IFERROR(IF(AND(S122="R", P122&gt;MAX($X$3:X121)),P122,""),"")</f>
        <v/>
      </c>
      <c r="X122" s="129" t="str">
        <f>IFERROR(IF(AND(W122="",Q122&gt;=MAX($X$3:X121)),IF(S122="R",Q122,IF(AND(W122="",P122&lt;=MAX($X$3:X121)),MAX($X$3:X121),"")),IF(W122&lt;&gt;"", Q122,"")),"")</f>
        <v/>
      </c>
      <c r="Y122" s="126" t="str">
        <f>IF(S122="S",IF(OR(P122&lt;=MAX($X$3:X121),P122&gt;=IF(MIN(W$53:$W123)&lt;1,99999999,MIN(W$53:$W123))),"Yes","No"),"")</f>
        <v/>
      </c>
      <c r="AA122" s="130" t="str">
        <f t="shared" si="20"/>
        <v/>
      </c>
      <c r="AB122" s="131" t="str">
        <f t="array" ref="AB122">IF(AA122&lt;=$AA$2,MIN(IF($L$4:$L$503&lt;=AB121,99999999999,$L$4:$L$503)),"")</f>
        <v/>
      </c>
      <c r="AC122" s="130" t="str">
        <f>IF(ISNUMBER(AA122),IF(Dashboard!$H$6&lt;&gt;"Horizontal",AC121+dateDistance,AC121),"")</f>
        <v/>
      </c>
      <c r="AD122" s="130" t="str">
        <f>IF(ISNUMBER(AA122),IF(Dashboard!$H$6="Horizontal",AD121+dateDistance,AD121),"")</f>
        <v/>
      </c>
      <c r="AE122" s="132" t="str">
        <f>IF(ISNUMBER(P122), IF(Dashboard!$H$6="Horizontal",IF(S122="S",INDEX($AC$4:$AC$503,MATCH(P122,$AB$4:$AB$503,0),1)+boxDistance*(T122+IF(Y122="No",IF(ISODD(T122),IF(T122&gt;0,1,-1),0),0))*IF(Y122="No",IF(ISODD(T122),0.5,-0.5),1),timelineStartRow - boxDistance * V122),IF( S122="S",INDEX($AC$4:$AC$503,MATCH(P122,$AB$4:$AB$503,0),1),INDEX($AC$4:$AC$503,MATCH(P122,$AB$4:$AB$503,0),1)&amp;"-"&amp;INDEX($AC$4:$AC$503,MATCH(Q122,$AB$4:$AB$503,0),1))),"")</f>
        <v/>
      </c>
      <c r="AF122" s="132" t="str">
        <f>IF(ISNUMBER(P122), IF(Dashboard!$H$6&lt;&gt;"Horizontal",IF(S122="S",INDEX($AD$4:$AD$503,MATCH(P122,$AB$4:$AB$503,0),1)+boxDistance*(T122+IF(Y122="No",IF(ISODD(T122),IF(T122&gt;0,1,-1),0),0))*IF(Y122="No",IF(ISODD(T122),0.5,-0.5),1),timelineStartColumn-boxDistance * IF(AND(ISNUMBER(V122),V122&gt;1),V122*0.85,1)   ),IF( S122="S",INDEX($AD$4:$AD$503,MATCH(P122,$AB$4:$AB$503,0),1),INDEX($AD$4:$AD$503,MATCH(P122,$AB$4:$AB$503,0),1)&amp;"-"&amp;INDEX($AD$4:$AD$503,MATCH(Q122,$AB$4:$AB$503,0),1))),"")</f>
        <v/>
      </c>
      <c r="AG122" s="133" t="str">
        <f t="shared" si="28"/>
        <v/>
      </c>
      <c r="AH122" s="134" t="str">
        <f t="shared" si="21"/>
        <v/>
      </c>
      <c r="AI122" s="135" t="str">
        <f t="shared" si="22"/>
        <v/>
      </c>
      <c r="AJ122" s="135" t="str">
        <f t="shared" si="29"/>
        <v/>
      </c>
      <c r="AK122" s="126" t="str">
        <f t="shared" si="30"/>
        <v/>
      </c>
      <c r="AL122" s="126" t="str">
        <f ca="1">IFERROR(IF(AK122="","", MATCH(AK122,OFFSET(Icons!$B$5,1,AM122-3,20,1),0)+5),"")</f>
        <v/>
      </c>
      <c r="AM122" s="126" t="str">
        <f t="shared" si="31"/>
        <v/>
      </c>
      <c r="AN122" s="90"/>
    </row>
    <row r="123" spans="5:40" ht="15" customHeight="1" x14ac:dyDescent="0.25">
      <c r="E123" s="126">
        <v>120</v>
      </c>
      <c r="F123" s="126"/>
      <c r="G123" s="127"/>
      <c r="H123" s="127"/>
      <c r="I123" s="126"/>
      <c r="K123" s="137" t="str">
        <f t="shared" si="24"/>
        <v/>
      </c>
      <c r="L123" s="127" t="str">
        <f t="shared" si="18"/>
        <v/>
      </c>
      <c r="N123" s="128" t="str">
        <f t="shared" si="25"/>
        <v/>
      </c>
      <c r="O123" s="126" t="str">
        <f t="array" ref="O123">IFERROR(SMALL(IF(($G$4:$G$253=P123),ROW($G$4:$G$253)-ROW($G$3),"" ),N123),"")</f>
        <v/>
      </c>
      <c r="P123" s="127" t="str">
        <f t="array" ref="P123">IFERROR(SMALL($G$4:$G$253,E123),"")</f>
        <v/>
      </c>
      <c r="Q123" s="127" t="str">
        <f t="shared" si="26"/>
        <v/>
      </c>
      <c r="R123" s="126" t="str">
        <f t="shared" si="27"/>
        <v/>
      </c>
      <c r="S123" s="126" t="str">
        <f t="shared" si="19"/>
        <v/>
      </c>
      <c r="T123" s="128" t="str">
        <f>IF(OR(S123="R",S123=""),"",COUNTIFS($P$4:P123,P123,$S$4:S123,"S")*U123)</f>
        <v/>
      </c>
      <c r="U123" s="128" t="str">
        <f>IF(ISNUMBER(N123),IF($C$11=TRUE,IF(OR(ISODD(COUNTIF($N$4:N123,1)),Y123="Yes"),1,-1),1),"")</f>
        <v/>
      </c>
      <c r="V123" s="128" t="str">
        <f ca="1">IFERROR(IF(AND(S123="R",W123&lt;&gt;""),1,IF(S123="R",MAX(OFFSET(V122,0,0,-1*(ROW(W123)-3-MATCH(MAX($W$4:W122),$W$4:W122,0)),1))+1,"")),"")</f>
        <v/>
      </c>
      <c r="W123" s="129" t="str">
        <f>IFERROR(IF(AND(S123="R", P123&gt;MAX($X$3:X122)),P123,""),"")</f>
        <v/>
      </c>
      <c r="X123" s="129" t="str">
        <f>IFERROR(IF(AND(W123="",Q123&gt;=MAX($X$3:X122)),IF(S123="R",Q123,IF(AND(W123="",P123&lt;=MAX($X$3:X122)),MAX($X$3:X122),"")),IF(W123&lt;&gt;"", Q123,"")),"")</f>
        <v/>
      </c>
      <c r="Y123" s="126" t="str">
        <f>IF(S123="S",IF(OR(P123&lt;=MAX($X$3:X122),P123&gt;=IF(MIN(W$53:$W124)&lt;1,99999999,MIN(W$53:$W124))),"Yes","No"),"")</f>
        <v/>
      </c>
      <c r="AA123" s="130" t="str">
        <f t="shared" si="20"/>
        <v/>
      </c>
      <c r="AB123" s="131" t="str">
        <f t="array" ref="AB123">IF(AA123&lt;=$AA$2,MIN(IF($L$4:$L$503&lt;=AB122,99999999999,$L$4:$L$503)),"")</f>
        <v/>
      </c>
      <c r="AC123" s="130" t="str">
        <f>IF(ISNUMBER(AA123),IF(Dashboard!$H$6&lt;&gt;"Horizontal",AC122+dateDistance,AC122),"")</f>
        <v/>
      </c>
      <c r="AD123" s="130" t="str">
        <f>IF(ISNUMBER(AA123),IF(Dashboard!$H$6="Horizontal",AD122+dateDistance,AD122),"")</f>
        <v/>
      </c>
      <c r="AE123" s="132" t="str">
        <f>IF(ISNUMBER(P123), IF(Dashboard!$H$6="Horizontal",IF(S123="S",INDEX($AC$4:$AC$503,MATCH(P123,$AB$4:$AB$503,0),1)+boxDistance*(T123+IF(Y123="No",IF(ISODD(T123),IF(T123&gt;0,1,-1),0),0))*IF(Y123="No",IF(ISODD(T123),0.5,-0.5),1),timelineStartRow - boxDistance * V123),IF( S123="S",INDEX($AC$4:$AC$503,MATCH(P123,$AB$4:$AB$503,0),1),INDEX($AC$4:$AC$503,MATCH(P123,$AB$4:$AB$503,0),1)&amp;"-"&amp;INDEX($AC$4:$AC$503,MATCH(Q123,$AB$4:$AB$503,0),1))),"")</f>
        <v/>
      </c>
      <c r="AF123" s="132" t="str">
        <f>IF(ISNUMBER(P123), IF(Dashboard!$H$6&lt;&gt;"Horizontal",IF(S123="S",INDEX($AD$4:$AD$503,MATCH(P123,$AB$4:$AB$503,0),1)+boxDistance*(T123+IF(Y123="No",IF(ISODD(T123),IF(T123&gt;0,1,-1),0),0))*IF(Y123="No",IF(ISODD(T123),0.5,-0.5),1),timelineStartColumn-boxDistance * IF(AND(ISNUMBER(V123),V123&gt;1),V123*0.85,1)   ),IF( S123="S",INDEX($AD$4:$AD$503,MATCH(P123,$AB$4:$AB$503,0),1),INDEX($AD$4:$AD$503,MATCH(P123,$AB$4:$AB$503,0),1)&amp;"-"&amp;INDEX($AD$4:$AD$503,MATCH(Q123,$AB$4:$AB$503,0),1))),"")</f>
        <v/>
      </c>
      <c r="AG123" s="133" t="str">
        <f t="shared" si="28"/>
        <v/>
      </c>
      <c r="AH123" s="134" t="str">
        <f t="shared" si="21"/>
        <v/>
      </c>
      <c r="AI123" s="135" t="str">
        <f t="shared" si="22"/>
        <v/>
      </c>
      <c r="AJ123" s="135" t="str">
        <f t="shared" si="29"/>
        <v/>
      </c>
      <c r="AK123" s="126" t="str">
        <f t="shared" si="30"/>
        <v/>
      </c>
      <c r="AL123" s="126" t="str">
        <f ca="1">IFERROR(IF(AK123="","", MATCH(AK123,OFFSET(Icons!$B$5,1,AM123-3,20,1),0)+5),"")</f>
        <v/>
      </c>
      <c r="AM123" s="126" t="str">
        <f t="shared" si="31"/>
        <v/>
      </c>
      <c r="AN123" s="90"/>
    </row>
    <row r="124" spans="5:40" ht="15" customHeight="1" x14ac:dyDescent="0.25">
      <c r="E124" s="126">
        <v>121</v>
      </c>
      <c r="F124" s="126"/>
      <c r="G124" s="127"/>
      <c r="H124" s="127"/>
      <c r="I124" s="126"/>
      <c r="K124" s="137" t="str">
        <f t="shared" si="24"/>
        <v/>
      </c>
      <c r="L124" s="127" t="str">
        <f t="shared" si="18"/>
        <v/>
      </c>
      <c r="N124" s="128" t="str">
        <f t="shared" si="25"/>
        <v/>
      </c>
      <c r="O124" s="126" t="str">
        <f t="array" ref="O124">IFERROR(SMALL(IF(($G$4:$G$253=P124),ROW($G$4:$G$253)-ROW($G$3),"" ),N124),"")</f>
        <v/>
      </c>
      <c r="P124" s="127" t="str">
        <f t="array" ref="P124">IFERROR(SMALL($G$4:$G$253,E124),"")</f>
        <v/>
      </c>
      <c r="Q124" s="127" t="str">
        <f t="shared" si="26"/>
        <v/>
      </c>
      <c r="R124" s="126" t="str">
        <f t="shared" si="27"/>
        <v/>
      </c>
      <c r="S124" s="126" t="str">
        <f t="shared" si="19"/>
        <v/>
      </c>
      <c r="T124" s="128" t="str">
        <f>IF(OR(S124="R",S124=""),"",COUNTIFS($P$4:P124,P124,$S$4:S124,"S")*U124)</f>
        <v/>
      </c>
      <c r="U124" s="128" t="str">
        <f>IF(ISNUMBER(N124),IF($C$11=TRUE,IF(OR(ISODD(COUNTIF($N$4:N124,1)),Y124="Yes"),1,-1),1),"")</f>
        <v/>
      </c>
      <c r="V124" s="128" t="str">
        <f ca="1">IFERROR(IF(AND(S124="R",W124&lt;&gt;""),1,IF(S124="R",MAX(OFFSET(V123,0,0,-1*(ROW(W124)-3-MATCH(MAX($W$4:W123),$W$4:W123,0)),1))+1,"")),"")</f>
        <v/>
      </c>
      <c r="W124" s="129" t="str">
        <f>IFERROR(IF(AND(S124="R", P124&gt;MAX($X$3:X123)),P124,""),"")</f>
        <v/>
      </c>
      <c r="X124" s="129" t="str">
        <f>IFERROR(IF(AND(W124="",Q124&gt;=MAX($X$3:X123)),IF(S124="R",Q124,IF(AND(W124="",P124&lt;=MAX($X$3:X123)),MAX($X$3:X123),"")),IF(W124&lt;&gt;"", Q124,"")),"")</f>
        <v/>
      </c>
      <c r="Y124" s="126" t="str">
        <f>IF(S124="S",IF(OR(P124&lt;=MAX($X$3:X123),P124&gt;=IF(MIN(W$53:$W125)&lt;1,99999999,MIN(W$53:$W125))),"Yes","No"),"")</f>
        <v/>
      </c>
      <c r="AA124" s="130" t="str">
        <f t="shared" si="20"/>
        <v/>
      </c>
      <c r="AB124" s="131" t="str">
        <f t="array" ref="AB124">IF(AA124&lt;=$AA$2,MIN(IF($L$4:$L$503&lt;=AB123,99999999999,$L$4:$L$503)),"")</f>
        <v/>
      </c>
      <c r="AC124" s="130" t="str">
        <f>IF(ISNUMBER(AA124),IF(Dashboard!$H$6&lt;&gt;"Horizontal",AC123+dateDistance,AC123),"")</f>
        <v/>
      </c>
      <c r="AD124" s="130" t="str">
        <f>IF(ISNUMBER(AA124),IF(Dashboard!$H$6="Horizontal",AD123+dateDistance,AD123),"")</f>
        <v/>
      </c>
      <c r="AE124" s="132" t="str">
        <f>IF(ISNUMBER(P124), IF(Dashboard!$H$6="Horizontal",IF(S124="S",INDEX($AC$4:$AC$503,MATCH(P124,$AB$4:$AB$503,0),1)+boxDistance*(T124+IF(Y124="No",IF(ISODD(T124),IF(T124&gt;0,1,-1),0),0))*IF(Y124="No",IF(ISODD(T124),0.5,-0.5),1),timelineStartRow - boxDistance * V124),IF( S124="S",INDEX($AC$4:$AC$503,MATCH(P124,$AB$4:$AB$503,0),1),INDEX($AC$4:$AC$503,MATCH(P124,$AB$4:$AB$503,0),1)&amp;"-"&amp;INDEX($AC$4:$AC$503,MATCH(Q124,$AB$4:$AB$503,0),1))),"")</f>
        <v/>
      </c>
      <c r="AF124" s="132" t="str">
        <f>IF(ISNUMBER(P124), IF(Dashboard!$H$6&lt;&gt;"Horizontal",IF(S124="S",INDEX($AD$4:$AD$503,MATCH(P124,$AB$4:$AB$503,0),1)+boxDistance*(T124+IF(Y124="No",IF(ISODD(T124),IF(T124&gt;0,1,-1),0),0))*IF(Y124="No",IF(ISODD(T124),0.5,-0.5),1),timelineStartColumn-boxDistance * IF(AND(ISNUMBER(V124),V124&gt;1),V124*0.85,1)   ),IF( S124="S",INDEX($AD$4:$AD$503,MATCH(P124,$AB$4:$AB$503,0),1),INDEX($AD$4:$AD$503,MATCH(P124,$AB$4:$AB$503,0),1)&amp;"-"&amp;INDEX($AD$4:$AD$503,MATCH(Q124,$AB$4:$AB$503,0),1))),"")</f>
        <v/>
      </c>
      <c r="AG124" s="133" t="str">
        <f t="shared" si="28"/>
        <v/>
      </c>
      <c r="AH124" s="134" t="str">
        <f t="shared" si="21"/>
        <v/>
      </c>
      <c r="AI124" s="135" t="str">
        <f t="shared" si="22"/>
        <v/>
      </c>
      <c r="AJ124" s="135" t="str">
        <f t="shared" si="29"/>
        <v/>
      </c>
      <c r="AK124" s="126" t="str">
        <f t="shared" si="30"/>
        <v/>
      </c>
      <c r="AL124" s="126" t="str">
        <f ca="1">IFERROR(IF(AK124="","", MATCH(AK124,OFFSET(Icons!$B$5,1,AM124-3,20,1),0)+5),"")</f>
        <v/>
      </c>
      <c r="AM124" s="126" t="str">
        <f t="shared" si="31"/>
        <v/>
      </c>
      <c r="AN124" s="90"/>
    </row>
    <row r="125" spans="5:40" ht="15" customHeight="1" x14ac:dyDescent="0.25">
      <c r="E125" s="126">
        <v>122</v>
      </c>
      <c r="F125" s="126"/>
      <c r="G125" s="127"/>
      <c r="H125" s="127"/>
      <c r="I125" s="126"/>
      <c r="K125" s="137" t="str">
        <f t="shared" si="24"/>
        <v/>
      </c>
      <c r="L125" s="127" t="str">
        <f t="shared" si="18"/>
        <v/>
      </c>
      <c r="N125" s="128" t="str">
        <f t="shared" si="25"/>
        <v/>
      </c>
      <c r="O125" s="126" t="str">
        <f t="array" ref="O125">IFERROR(SMALL(IF(($G$4:$G$253=P125),ROW($G$4:$G$253)-ROW($G$3),"" ),N125),"")</f>
        <v/>
      </c>
      <c r="P125" s="127" t="str">
        <f t="array" ref="P125">IFERROR(SMALL($G$4:$G$253,E125),"")</f>
        <v/>
      </c>
      <c r="Q125" s="127" t="str">
        <f t="shared" si="26"/>
        <v/>
      </c>
      <c r="R125" s="126" t="str">
        <f t="shared" si="27"/>
        <v/>
      </c>
      <c r="S125" s="126" t="str">
        <f t="shared" si="19"/>
        <v/>
      </c>
      <c r="T125" s="128" t="str">
        <f>IF(OR(S125="R",S125=""),"",COUNTIFS($P$4:P125,P125,$S$4:S125,"S")*U125)</f>
        <v/>
      </c>
      <c r="U125" s="128" t="str">
        <f>IF(ISNUMBER(N125),IF($C$11=TRUE,IF(OR(ISODD(COUNTIF($N$4:N125,1)),Y125="Yes"),1,-1),1),"")</f>
        <v/>
      </c>
      <c r="V125" s="128" t="str">
        <f ca="1">IFERROR(IF(AND(S125="R",W125&lt;&gt;""),1,IF(S125="R",MAX(OFFSET(V124,0,0,-1*(ROW(W125)-3-MATCH(MAX($W$4:W124),$W$4:W124,0)),1))+1,"")),"")</f>
        <v/>
      </c>
      <c r="W125" s="129" t="str">
        <f>IFERROR(IF(AND(S125="R", P125&gt;MAX($X$3:X124)),P125,""),"")</f>
        <v/>
      </c>
      <c r="X125" s="129" t="str">
        <f>IFERROR(IF(AND(W125="",Q125&gt;=MAX($X$3:X124)),IF(S125="R",Q125,IF(AND(W125="",P125&lt;=MAX($X$3:X124)),MAX($X$3:X124),"")),IF(W125&lt;&gt;"", Q125,"")),"")</f>
        <v/>
      </c>
      <c r="Y125" s="126" t="str">
        <f>IF(S125="S",IF(OR(P125&lt;=MAX($X$3:X124),P125&gt;=IF(MIN(W$53:$W126)&lt;1,99999999,MIN(W$53:$W126))),"Yes","No"),"")</f>
        <v/>
      </c>
      <c r="AA125" s="130" t="str">
        <f t="shared" si="20"/>
        <v/>
      </c>
      <c r="AB125" s="131" t="str">
        <f t="array" ref="AB125">IF(AA125&lt;=$AA$2,MIN(IF($L$4:$L$503&lt;=AB124,99999999999,$L$4:$L$503)),"")</f>
        <v/>
      </c>
      <c r="AC125" s="130" t="str">
        <f>IF(ISNUMBER(AA125),IF(Dashboard!$H$6&lt;&gt;"Horizontal",AC124+dateDistance,AC124),"")</f>
        <v/>
      </c>
      <c r="AD125" s="130" t="str">
        <f>IF(ISNUMBER(AA125),IF(Dashboard!$H$6="Horizontal",AD124+dateDistance,AD124),"")</f>
        <v/>
      </c>
      <c r="AE125" s="132" t="str">
        <f>IF(ISNUMBER(P125), IF(Dashboard!$H$6="Horizontal",IF(S125="S",INDEX($AC$4:$AC$503,MATCH(P125,$AB$4:$AB$503,0),1)+boxDistance*(T125+IF(Y125="No",IF(ISODD(T125),IF(T125&gt;0,1,-1),0),0))*IF(Y125="No",IF(ISODD(T125),0.5,-0.5),1),timelineStartRow - boxDistance * V125),IF( S125="S",INDEX($AC$4:$AC$503,MATCH(P125,$AB$4:$AB$503,0),1),INDEX($AC$4:$AC$503,MATCH(P125,$AB$4:$AB$503,0),1)&amp;"-"&amp;INDEX($AC$4:$AC$503,MATCH(Q125,$AB$4:$AB$503,0),1))),"")</f>
        <v/>
      </c>
      <c r="AF125" s="132" t="str">
        <f>IF(ISNUMBER(P125), IF(Dashboard!$H$6&lt;&gt;"Horizontal",IF(S125="S",INDEX($AD$4:$AD$503,MATCH(P125,$AB$4:$AB$503,0),1)+boxDistance*(T125+IF(Y125="No",IF(ISODD(T125),IF(T125&gt;0,1,-1),0),0))*IF(Y125="No",IF(ISODD(T125),0.5,-0.5),1),timelineStartColumn-boxDistance * IF(AND(ISNUMBER(V125),V125&gt;1),V125*0.85,1)   ),IF( S125="S",INDEX($AD$4:$AD$503,MATCH(P125,$AB$4:$AB$503,0),1),INDEX($AD$4:$AD$503,MATCH(P125,$AB$4:$AB$503,0),1)&amp;"-"&amp;INDEX($AD$4:$AD$503,MATCH(Q125,$AB$4:$AB$503,0),1))),"")</f>
        <v/>
      </c>
      <c r="AG125" s="133" t="str">
        <f t="shared" si="28"/>
        <v/>
      </c>
      <c r="AH125" s="134" t="str">
        <f t="shared" si="21"/>
        <v/>
      </c>
      <c r="AI125" s="135" t="str">
        <f t="shared" si="22"/>
        <v/>
      </c>
      <c r="AJ125" s="135" t="str">
        <f t="shared" si="29"/>
        <v/>
      </c>
      <c r="AK125" s="126" t="str">
        <f t="shared" si="30"/>
        <v/>
      </c>
      <c r="AL125" s="126" t="str">
        <f ca="1">IFERROR(IF(AK125="","", MATCH(AK125,OFFSET(Icons!$B$5,1,AM125-3,20,1),0)+5),"")</f>
        <v/>
      </c>
      <c r="AM125" s="126" t="str">
        <f t="shared" si="31"/>
        <v/>
      </c>
      <c r="AN125" s="90"/>
    </row>
    <row r="126" spans="5:40" ht="15" customHeight="1" x14ac:dyDescent="0.25">
      <c r="E126" s="126">
        <v>123</v>
      </c>
      <c r="F126" s="126"/>
      <c r="G126" s="127"/>
      <c r="H126" s="127"/>
      <c r="I126" s="126"/>
      <c r="K126" s="137" t="str">
        <f t="shared" si="24"/>
        <v/>
      </c>
      <c r="L126" s="127" t="str">
        <f t="shared" si="18"/>
        <v/>
      </c>
      <c r="N126" s="128" t="str">
        <f t="shared" si="25"/>
        <v/>
      </c>
      <c r="O126" s="126" t="str">
        <f t="array" ref="O126">IFERROR(SMALL(IF(($G$4:$G$253=P126),ROW($G$4:$G$253)-ROW($G$3),"" ),N126),"")</f>
        <v/>
      </c>
      <c r="P126" s="127" t="str">
        <f t="array" ref="P126">IFERROR(SMALL($G$4:$G$253,E126),"")</f>
        <v/>
      </c>
      <c r="Q126" s="127" t="str">
        <f t="shared" si="26"/>
        <v/>
      </c>
      <c r="R126" s="126" t="str">
        <f t="shared" si="27"/>
        <v/>
      </c>
      <c r="S126" s="126" t="str">
        <f t="shared" si="19"/>
        <v/>
      </c>
      <c r="T126" s="128" t="str">
        <f>IF(OR(S126="R",S126=""),"",COUNTIFS($P$4:P126,P126,$S$4:S126,"S")*U126)</f>
        <v/>
      </c>
      <c r="U126" s="128" t="str">
        <f>IF(ISNUMBER(N126),IF($C$11=TRUE,IF(OR(ISODD(COUNTIF($N$4:N126,1)),Y126="Yes"),1,-1),1),"")</f>
        <v/>
      </c>
      <c r="V126" s="128" t="str">
        <f ca="1">IFERROR(IF(AND(S126="R",W126&lt;&gt;""),1,IF(S126="R",MAX(OFFSET(V125,0,0,-1*(ROW(W126)-3-MATCH(MAX($W$4:W125),$W$4:W125,0)),1))+1,"")),"")</f>
        <v/>
      </c>
      <c r="W126" s="129" t="str">
        <f>IFERROR(IF(AND(S126="R", P126&gt;MAX($X$3:X125)),P126,""),"")</f>
        <v/>
      </c>
      <c r="X126" s="129" t="str">
        <f>IFERROR(IF(AND(W126="",Q126&gt;=MAX($X$3:X125)),IF(S126="R",Q126,IF(AND(W126="",P126&lt;=MAX($X$3:X125)),MAX($X$3:X125),"")),IF(W126&lt;&gt;"", Q126,"")),"")</f>
        <v/>
      </c>
      <c r="Y126" s="126" t="str">
        <f>IF(S126="S",IF(OR(P126&lt;=MAX($X$3:X125),P126&gt;=IF(MIN(W$53:$W127)&lt;1,99999999,MIN(W$53:$W127))),"Yes","No"),"")</f>
        <v/>
      </c>
      <c r="AA126" s="130" t="str">
        <f t="shared" si="20"/>
        <v/>
      </c>
      <c r="AB126" s="131" t="str">
        <f t="array" ref="AB126">IF(AA126&lt;=$AA$2,MIN(IF($L$4:$L$503&lt;=AB125,99999999999,$L$4:$L$503)),"")</f>
        <v/>
      </c>
      <c r="AC126" s="130" t="str">
        <f>IF(ISNUMBER(AA126),IF(Dashboard!$H$6&lt;&gt;"Horizontal",AC125+dateDistance,AC125),"")</f>
        <v/>
      </c>
      <c r="AD126" s="130" t="str">
        <f>IF(ISNUMBER(AA126),IF(Dashboard!$H$6="Horizontal",AD125+dateDistance,AD125),"")</f>
        <v/>
      </c>
      <c r="AE126" s="132" t="str">
        <f>IF(ISNUMBER(P126), IF(Dashboard!$H$6="Horizontal",IF(S126="S",INDEX($AC$4:$AC$503,MATCH(P126,$AB$4:$AB$503,0),1)+boxDistance*(T126+IF(Y126="No",IF(ISODD(T126),IF(T126&gt;0,1,-1),0),0))*IF(Y126="No",IF(ISODD(T126),0.5,-0.5),1),timelineStartRow - boxDistance * V126),IF( S126="S",INDEX($AC$4:$AC$503,MATCH(P126,$AB$4:$AB$503,0),1),INDEX($AC$4:$AC$503,MATCH(P126,$AB$4:$AB$503,0),1)&amp;"-"&amp;INDEX($AC$4:$AC$503,MATCH(Q126,$AB$4:$AB$503,0),1))),"")</f>
        <v/>
      </c>
      <c r="AF126" s="132" t="str">
        <f>IF(ISNUMBER(P126), IF(Dashboard!$H$6&lt;&gt;"Horizontal",IF(S126="S",INDEX($AD$4:$AD$503,MATCH(P126,$AB$4:$AB$503,0),1)+boxDistance*(T126+IF(Y126="No",IF(ISODD(T126),IF(T126&gt;0,1,-1),0),0))*IF(Y126="No",IF(ISODD(T126),0.5,-0.5),1),timelineStartColumn-boxDistance * IF(AND(ISNUMBER(V126),V126&gt;1),V126*0.85,1)   ),IF( S126="S",INDEX($AD$4:$AD$503,MATCH(P126,$AB$4:$AB$503,0),1),INDEX($AD$4:$AD$503,MATCH(P126,$AB$4:$AB$503,0),1)&amp;"-"&amp;INDEX($AD$4:$AD$503,MATCH(Q126,$AB$4:$AB$503,0),1))),"")</f>
        <v/>
      </c>
      <c r="AG126" s="133" t="str">
        <f t="shared" si="28"/>
        <v/>
      </c>
      <c r="AH126" s="134" t="str">
        <f t="shared" si="21"/>
        <v/>
      </c>
      <c r="AI126" s="135" t="str">
        <f t="shared" si="22"/>
        <v/>
      </c>
      <c r="AJ126" s="135" t="str">
        <f t="shared" si="29"/>
        <v/>
      </c>
      <c r="AK126" s="126" t="str">
        <f t="shared" si="30"/>
        <v/>
      </c>
      <c r="AL126" s="126" t="str">
        <f ca="1">IFERROR(IF(AK126="","", MATCH(AK126,OFFSET(Icons!$B$5,1,AM126-3,20,1),0)+5),"")</f>
        <v/>
      </c>
      <c r="AM126" s="126" t="str">
        <f t="shared" si="31"/>
        <v/>
      </c>
      <c r="AN126" s="90"/>
    </row>
    <row r="127" spans="5:40" ht="15" customHeight="1" x14ac:dyDescent="0.25">
      <c r="E127" s="126">
        <v>124</v>
      </c>
      <c r="F127" s="126"/>
      <c r="G127" s="127"/>
      <c r="H127" s="127"/>
      <c r="I127" s="126"/>
      <c r="K127" s="137" t="str">
        <f t="shared" si="24"/>
        <v/>
      </c>
      <c r="L127" s="127" t="str">
        <f t="shared" si="18"/>
        <v/>
      </c>
      <c r="N127" s="128" t="str">
        <f t="shared" si="25"/>
        <v/>
      </c>
      <c r="O127" s="126" t="str">
        <f t="array" ref="O127">IFERROR(SMALL(IF(($G$4:$G$253=P127),ROW($G$4:$G$253)-ROW($G$3),"" ),N127),"")</f>
        <v/>
      </c>
      <c r="P127" s="127" t="str">
        <f t="array" ref="P127">IFERROR(SMALL($G$4:$G$253,E127),"")</f>
        <v/>
      </c>
      <c r="Q127" s="127" t="str">
        <f t="shared" si="26"/>
        <v/>
      </c>
      <c r="R127" s="126" t="str">
        <f t="shared" si="27"/>
        <v/>
      </c>
      <c r="S127" s="126" t="str">
        <f t="shared" si="19"/>
        <v/>
      </c>
      <c r="T127" s="128" t="str">
        <f>IF(OR(S127="R",S127=""),"",COUNTIFS($P$4:P127,P127,$S$4:S127,"S")*U127)</f>
        <v/>
      </c>
      <c r="U127" s="128" t="str">
        <f>IF(ISNUMBER(N127),IF($C$11=TRUE,IF(OR(ISODD(COUNTIF($N$4:N127,1)),Y127="Yes"),1,-1),1),"")</f>
        <v/>
      </c>
      <c r="V127" s="128" t="str">
        <f ca="1">IFERROR(IF(AND(S127="R",W127&lt;&gt;""),1,IF(S127="R",MAX(OFFSET(V126,0,0,-1*(ROW(W127)-3-MATCH(MAX($W$4:W126),$W$4:W126,0)),1))+1,"")),"")</f>
        <v/>
      </c>
      <c r="W127" s="129" t="str">
        <f>IFERROR(IF(AND(S127="R", P127&gt;MAX($X$3:X126)),P127,""),"")</f>
        <v/>
      </c>
      <c r="X127" s="129" t="str">
        <f>IFERROR(IF(AND(W127="",Q127&gt;=MAX($X$3:X126)),IF(S127="R",Q127,IF(AND(W127="",P127&lt;=MAX($X$3:X126)),MAX($X$3:X126),"")),IF(W127&lt;&gt;"", Q127,"")),"")</f>
        <v/>
      </c>
      <c r="Y127" s="126" t="str">
        <f>IF(S127="S",IF(OR(P127&lt;=MAX($X$3:X126),P127&gt;=IF(MIN(W$53:$W128)&lt;1,99999999,MIN(W$53:$W128))),"Yes","No"),"")</f>
        <v/>
      </c>
      <c r="AA127" s="130" t="str">
        <f t="shared" si="20"/>
        <v/>
      </c>
      <c r="AB127" s="131" t="str">
        <f t="array" ref="AB127">IF(AA127&lt;=$AA$2,MIN(IF($L$4:$L$503&lt;=AB126,99999999999,$L$4:$L$503)),"")</f>
        <v/>
      </c>
      <c r="AC127" s="130" t="str">
        <f>IF(ISNUMBER(AA127),IF(Dashboard!$H$6&lt;&gt;"Horizontal",AC126+dateDistance,AC126),"")</f>
        <v/>
      </c>
      <c r="AD127" s="130" t="str">
        <f>IF(ISNUMBER(AA127),IF(Dashboard!$H$6="Horizontal",AD126+dateDistance,AD126),"")</f>
        <v/>
      </c>
      <c r="AE127" s="132" t="str">
        <f>IF(ISNUMBER(P127), IF(Dashboard!$H$6="Horizontal",IF(S127="S",INDEX($AC$4:$AC$503,MATCH(P127,$AB$4:$AB$503,0),1)+boxDistance*(T127+IF(Y127="No",IF(ISODD(T127),IF(T127&gt;0,1,-1),0),0))*IF(Y127="No",IF(ISODD(T127),0.5,-0.5),1),timelineStartRow - boxDistance * V127),IF( S127="S",INDEX($AC$4:$AC$503,MATCH(P127,$AB$4:$AB$503,0),1),INDEX($AC$4:$AC$503,MATCH(P127,$AB$4:$AB$503,0),1)&amp;"-"&amp;INDEX($AC$4:$AC$503,MATCH(Q127,$AB$4:$AB$503,0),1))),"")</f>
        <v/>
      </c>
      <c r="AF127" s="132" t="str">
        <f>IF(ISNUMBER(P127), IF(Dashboard!$H$6&lt;&gt;"Horizontal",IF(S127="S",INDEX($AD$4:$AD$503,MATCH(P127,$AB$4:$AB$503,0),1)+boxDistance*(T127+IF(Y127="No",IF(ISODD(T127),IF(T127&gt;0,1,-1),0),0))*IF(Y127="No",IF(ISODD(T127),0.5,-0.5),1),timelineStartColumn-boxDistance * IF(AND(ISNUMBER(V127),V127&gt;1),V127*0.85,1)   ),IF( S127="S",INDEX($AD$4:$AD$503,MATCH(P127,$AB$4:$AB$503,0),1),INDEX($AD$4:$AD$503,MATCH(P127,$AB$4:$AB$503,0),1)&amp;"-"&amp;INDEX($AD$4:$AD$503,MATCH(Q127,$AB$4:$AB$503,0),1))),"")</f>
        <v/>
      </c>
      <c r="AG127" s="133" t="str">
        <f t="shared" si="28"/>
        <v/>
      </c>
      <c r="AH127" s="134" t="str">
        <f t="shared" si="21"/>
        <v/>
      </c>
      <c r="AI127" s="135" t="str">
        <f t="shared" si="22"/>
        <v/>
      </c>
      <c r="AJ127" s="135" t="str">
        <f t="shared" si="29"/>
        <v/>
      </c>
      <c r="AK127" s="126" t="str">
        <f t="shared" si="30"/>
        <v/>
      </c>
      <c r="AL127" s="126" t="str">
        <f ca="1">IFERROR(IF(AK127="","", MATCH(AK127,OFFSET(Icons!$B$5,1,AM127-3,20,1),0)+5),"")</f>
        <v/>
      </c>
      <c r="AM127" s="126" t="str">
        <f t="shared" si="31"/>
        <v/>
      </c>
      <c r="AN127" s="90"/>
    </row>
    <row r="128" spans="5:40" ht="15" customHeight="1" x14ac:dyDescent="0.25">
      <c r="E128" s="126">
        <v>125</v>
      </c>
      <c r="F128" s="126"/>
      <c r="G128" s="127"/>
      <c r="H128" s="127"/>
      <c r="I128" s="126"/>
      <c r="K128" s="137" t="str">
        <f t="shared" si="24"/>
        <v/>
      </c>
      <c r="L128" s="127" t="str">
        <f t="shared" si="18"/>
        <v/>
      </c>
      <c r="N128" s="128" t="str">
        <f t="shared" si="25"/>
        <v/>
      </c>
      <c r="O128" s="126" t="str">
        <f t="array" ref="O128">IFERROR(SMALL(IF(($G$4:$G$253=P128),ROW($G$4:$G$253)-ROW($G$3),"" ),N128),"")</f>
        <v/>
      </c>
      <c r="P128" s="127" t="str">
        <f t="array" ref="P128">IFERROR(SMALL($G$4:$G$253,E128),"")</f>
        <v/>
      </c>
      <c r="Q128" s="127" t="str">
        <f t="shared" si="26"/>
        <v/>
      </c>
      <c r="R128" s="126" t="str">
        <f t="shared" si="27"/>
        <v/>
      </c>
      <c r="S128" s="126" t="str">
        <f t="shared" si="19"/>
        <v/>
      </c>
      <c r="T128" s="128" t="str">
        <f>IF(OR(S128="R",S128=""),"",COUNTIFS($P$4:P128,P128,$S$4:S128,"S")*U128)</f>
        <v/>
      </c>
      <c r="U128" s="128" t="str">
        <f>IF(ISNUMBER(N128),IF($C$11=TRUE,IF(OR(ISODD(COUNTIF($N$4:N128,1)),Y128="Yes"),1,-1),1),"")</f>
        <v/>
      </c>
      <c r="V128" s="128" t="str">
        <f ca="1">IFERROR(IF(AND(S128="R",W128&lt;&gt;""),1,IF(S128="R",MAX(OFFSET(V127,0,0,-1*(ROW(W128)-3-MATCH(MAX($W$4:W127),$W$4:W127,0)),1))+1,"")),"")</f>
        <v/>
      </c>
      <c r="W128" s="129" t="str">
        <f>IFERROR(IF(AND(S128="R", P128&gt;MAX($X$3:X127)),P128,""),"")</f>
        <v/>
      </c>
      <c r="X128" s="129" t="str">
        <f>IFERROR(IF(AND(W128="",Q128&gt;=MAX($X$3:X127)),IF(S128="R",Q128,IF(AND(W128="",P128&lt;=MAX($X$3:X127)),MAX($X$3:X127),"")),IF(W128&lt;&gt;"", Q128,"")),"")</f>
        <v/>
      </c>
      <c r="Y128" s="126" t="str">
        <f>IF(S128="S",IF(OR(P128&lt;=MAX($X$3:X127),P128&gt;=IF(MIN(W$53:$W129)&lt;1,99999999,MIN(W$53:$W129))),"Yes","No"),"")</f>
        <v/>
      </c>
      <c r="AA128" s="130" t="str">
        <f t="shared" si="20"/>
        <v/>
      </c>
      <c r="AB128" s="131" t="str">
        <f t="array" ref="AB128">IF(AA128&lt;=$AA$2,MIN(IF($L$4:$L$503&lt;=AB127,99999999999,$L$4:$L$503)),"")</f>
        <v/>
      </c>
      <c r="AC128" s="130" t="str">
        <f>IF(ISNUMBER(AA128),IF(Dashboard!$H$6&lt;&gt;"Horizontal",AC127+dateDistance,AC127),"")</f>
        <v/>
      </c>
      <c r="AD128" s="130" t="str">
        <f>IF(ISNUMBER(AA128),IF(Dashboard!$H$6="Horizontal",AD127+dateDistance,AD127),"")</f>
        <v/>
      </c>
      <c r="AE128" s="132" t="str">
        <f>IF(ISNUMBER(P128), IF(Dashboard!$H$6="Horizontal",IF(S128="S",INDEX($AC$4:$AC$503,MATCH(P128,$AB$4:$AB$503,0),1)+boxDistance*(T128+IF(Y128="No",IF(ISODD(T128),IF(T128&gt;0,1,-1),0),0))*IF(Y128="No",IF(ISODD(T128),0.5,-0.5),1),timelineStartRow - boxDistance * V128),IF( S128="S",INDEX($AC$4:$AC$503,MATCH(P128,$AB$4:$AB$503,0),1),INDEX($AC$4:$AC$503,MATCH(P128,$AB$4:$AB$503,0),1)&amp;"-"&amp;INDEX($AC$4:$AC$503,MATCH(Q128,$AB$4:$AB$503,0),1))),"")</f>
        <v/>
      </c>
      <c r="AF128" s="132" t="str">
        <f>IF(ISNUMBER(P128), IF(Dashboard!$H$6&lt;&gt;"Horizontal",IF(S128="S",INDEX($AD$4:$AD$503,MATCH(P128,$AB$4:$AB$503,0),1)+boxDistance*(T128+IF(Y128="No",IF(ISODD(T128),IF(T128&gt;0,1,-1),0),0))*IF(Y128="No",IF(ISODD(T128),0.5,-0.5),1),timelineStartColumn-boxDistance * IF(AND(ISNUMBER(V128),V128&gt;1),V128*0.85,1)   ),IF( S128="S",INDEX($AD$4:$AD$503,MATCH(P128,$AB$4:$AB$503,0),1),INDEX($AD$4:$AD$503,MATCH(P128,$AB$4:$AB$503,0),1)&amp;"-"&amp;INDEX($AD$4:$AD$503,MATCH(Q128,$AB$4:$AB$503,0),1))),"")</f>
        <v/>
      </c>
      <c r="AG128" s="133" t="str">
        <f t="shared" si="28"/>
        <v/>
      </c>
      <c r="AH128" s="134" t="str">
        <f t="shared" si="21"/>
        <v/>
      </c>
      <c r="AI128" s="135" t="str">
        <f t="shared" si="22"/>
        <v/>
      </c>
      <c r="AJ128" s="135" t="str">
        <f t="shared" si="29"/>
        <v/>
      </c>
      <c r="AK128" s="126" t="str">
        <f t="shared" si="30"/>
        <v/>
      </c>
      <c r="AL128" s="126" t="str">
        <f ca="1">IFERROR(IF(AK128="","", MATCH(AK128,OFFSET(Icons!$B$5,1,AM128-3,20,1),0)+5),"")</f>
        <v/>
      </c>
      <c r="AM128" s="126" t="str">
        <f t="shared" si="31"/>
        <v/>
      </c>
      <c r="AN128" s="90"/>
    </row>
    <row r="129" spans="5:40" ht="15" customHeight="1" x14ac:dyDescent="0.25">
      <c r="E129" s="126">
        <v>126</v>
      </c>
      <c r="F129" s="126"/>
      <c r="G129" s="127"/>
      <c r="H129" s="127"/>
      <c r="I129" s="126"/>
      <c r="K129" s="137" t="str">
        <f t="shared" si="24"/>
        <v/>
      </c>
      <c r="L129" s="127" t="str">
        <f t="shared" si="18"/>
        <v/>
      </c>
      <c r="N129" s="128" t="str">
        <f t="shared" si="25"/>
        <v/>
      </c>
      <c r="O129" s="126" t="str">
        <f t="array" ref="O129">IFERROR(SMALL(IF(($G$4:$G$253=P129),ROW($G$4:$G$253)-ROW($G$3),"" ),N129),"")</f>
        <v/>
      </c>
      <c r="P129" s="127" t="str">
        <f t="array" ref="P129">IFERROR(SMALL($G$4:$G$253,E129),"")</f>
        <v/>
      </c>
      <c r="Q129" s="127" t="str">
        <f t="shared" si="26"/>
        <v/>
      </c>
      <c r="R129" s="126" t="str">
        <f t="shared" si="27"/>
        <v/>
      </c>
      <c r="S129" s="126" t="str">
        <f t="shared" si="19"/>
        <v/>
      </c>
      <c r="T129" s="128" t="str">
        <f>IF(OR(S129="R",S129=""),"",COUNTIFS($P$4:P129,P129,$S$4:S129,"S")*U129)</f>
        <v/>
      </c>
      <c r="U129" s="128" t="str">
        <f>IF(ISNUMBER(N129),IF($C$11=TRUE,IF(OR(ISODD(COUNTIF($N$4:N129,1)),Y129="Yes"),1,-1),1),"")</f>
        <v/>
      </c>
      <c r="V129" s="128" t="str">
        <f ca="1">IFERROR(IF(AND(S129="R",W129&lt;&gt;""),1,IF(S129="R",MAX(OFFSET(V128,0,0,-1*(ROW(W129)-3-MATCH(MAX($W$4:W128),$W$4:W128,0)),1))+1,"")),"")</f>
        <v/>
      </c>
      <c r="W129" s="129" t="str">
        <f>IFERROR(IF(AND(S129="R", P129&gt;MAX($X$3:X128)),P129,""),"")</f>
        <v/>
      </c>
      <c r="X129" s="129" t="str">
        <f>IFERROR(IF(AND(W129="",Q129&gt;=MAX($X$3:X128)),IF(S129="R",Q129,IF(AND(W129="",P129&lt;=MAX($X$3:X128)),MAX($X$3:X128),"")),IF(W129&lt;&gt;"", Q129,"")),"")</f>
        <v/>
      </c>
      <c r="Y129" s="126" t="str">
        <f>IF(S129="S",IF(OR(P129&lt;=MAX($X$3:X128),P129&gt;=IF(MIN(W$53:$W130)&lt;1,99999999,MIN(W$53:$W130))),"Yes","No"),"")</f>
        <v/>
      </c>
      <c r="AA129" s="130" t="str">
        <f t="shared" si="20"/>
        <v/>
      </c>
      <c r="AB129" s="131" t="str">
        <f t="array" ref="AB129">IF(AA129&lt;=$AA$2,MIN(IF($L$4:$L$503&lt;=AB128,99999999999,$L$4:$L$503)),"")</f>
        <v/>
      </c>
      <c r="AC129" s="130" t="str">
        <f>IF(ISNUMBER(AA129),IF(Dashboard!$H$6&lt;&gt;"Horizontal",AC128+dateDistance,AC128),"")</f>
        <v/>
      </c>
      <c r="AD129" s="130" t="str">
        <f>IF(ISNUMBER(AA129),IF(Dashboard!$H$6="Horizontal",AD128+dateDistance,AD128),"")</f>
        <v/>
      </c>
      <c r="AE129" s="132" t="str">
        <f>IF(ISNUMBER(P129), IF(Dashboard!$H$6="Horizontal",IF(S129="S",INDEX($AC$4:$AC$503,MATCH(P129,$AB$4:$AB$503,0),1)+boxDistance*(T129+IF(Y129="No",IF(ISODD(T129),IF(T129&gt;0,1,-1),0),0))*IF(Y129="No",IF(ISODD(T129),0.5,-0.5),1),timelineStartRow - boxDistance * V129),IF( S129="S",INDEX($AC$4:$AC$503,MATCH(P129,$AB$4:$AB$503,0),1),INDEX($AC$4:$AC$503,MATCH(P129,$AB$4:$AB$503,0),1)&amp;"-"&amp;INDEX($AC$4:$AC$503,MATCH(Q129,$AB$4:$AB$503,0),1))),"")</f>
        <v/>
      </c>
      <c r="AF129" s="132" t="str">
        <f>IF(ISNUMBER(P129), IF(Dashboard!$H$6&lt;&gt;"Horizontal",IF(S129="S",INDEX($AD$4:$AD$503,MATCH(P129,$AB$4:$AB$503,0),1)+boxDistance*(T129+IF(Y129="No",IF(ISODD(T129),IF(T129&gt;0,1,-1),0),0))*IF(Y129="No",IF(ISODD(T129),0.5,-0.5),1),timelineStartColumn-boxDistance * IF(AND(ISNUMBER(V129),V129&gt;1),V129*0.85,1)   ),IF( S129="S",INDEX($AD$4:$AD$503,MATCH(P129,$AB$4:$AB$503,0),1),INDEX($AD$4:$AD$503,MATCH(P129,$AB$4:$AB$503,0),1)&amp;"-"&amp;INDEX($AD$4:$AD$503,MATCH(Q129,$AB$4:$AB$503,0),1))),"")</f>
        <v/>
      </c>
      <c r="AG129" s="133" t="str">
        <f t="shared" si="28"/>
        <v/>
      </c>
      <c r="AH129" s="134" t="str">
        <f t="shared" si="21"/>
        <v/>
      </c>
      <c r="AI129" s="135" t="str">
        <f t="shared" si="22"/>
        <v/>
      </c>
      <c r="AJ129" s="135" t="str">
        <f t="shared" si="29"/>
        <v/>
      </c>
      <c r="AK129" s="126" t="str">
        <f t="shared" si="30"/>
        <v/>
      </c>
      <c r="AL129" s="126" t="str">
        <f ca="1">IFERROR(IF(AK129="","", MATCH(AK129,OFFSET(Icons!$B$5,1,AM129-3,20,1),0)+5),"")</f>
        <v/>
      </c>
      <c r="AM129" s="126" t="str">
        <f t="shared" si="31"/>
        <v/>
      </c>
      <c r="AN129" s="90"/>
    </row>
    <row r="130" spans="5:40" ht="15" customHeight="1" x14ac:dyDescent="0.25">
      <c r="E130" s="126">
        <v>127</v>
      </c>
      <c r="F130" s="126"/>
      <c r="G130" s="127"/>
      <c r="H130" s="127"/>
      <c r="I130" s="126"/>
      <c r="K130" s="137" t="str">
        <f t="shared" si="24"/>
        <v/>
      </c>
      <c r="L130" s="127" t="str">
        <f t="shared" si="18"/>
        <v/>
      </c>
      <c r="N130" s="128" t="str">
        <f t="shared" si="25"/>
        <v/>
      </c>
      <c r="O130" s="126" t="str">
        <f t="array" ref="O130">IFERROR(SMALL(IF(($G$4:$G$253=P130),ROW($G$4:$G$253)-ROW($G$3),"" ),N130),"")</f>
        <v/>
      </c>
      <c r="P130" s="127" t="str">
        <f t="array" ref="P130">IFERROR(SMALL($G$4:$G$253,E130),"")</f>
        <v/>
      </c>
      <c r="Q130" s="127" t="str">
        <f t="shared" si="26"/>
        <v/>
      </c>
      <c r="R130" s="126" t="str">
        <f t="shared" si="27"/>
        <v/>
      </c>
      <c r="S130" s="126" t="str">
        <f t="shared" si="19"/>
        <v/>
      </c>
      <c r="T130" s="128" t="str">
        <f>IF(OR(S130="R",S130=""),"",COUNTIFS($P$4:P130,P130,$S$4:S130,"S")*U130)</f>
        <v/>
      </c>
      <c r="U130" s="128" t="str">
        <f>IF(ISNUMBER(N130),IF($C$11=TRUE,IF(OR(ISODD(COUNTIF($N$4:N130,1)),Y130="Yes"),1,-1),1),"")</f>
        <v/>
      </c>
      <c r="V130" s="128" t="str">
        <f ca="1">IFERROR(IF(AND(S130="R",W130&lt;&gt;""),1,IF(S130="R",MAX(OFFSET(V129,0,0,-1*(ROW(W130)-3-MATCH(MAX($W$4:W129),$W$4:W129,0)),1))+1,"")),"")</f>
        <v/>
      </c>
      <c r="W130" s="129" t="str">
        <f>IFERROR(IF(AND(S130="R", P130&gt;MAX($X$3:X129)),P130,""),"")</f>
        <v/>
      </c>
      <c r="X130" s="129" t="str">
        <f>IFERROR(IF(AND(W130="",Q130&gt;=MAX($X$3:X129)),IF(S130="R",Q130,IF(AND(W130="",P130&lt;=MAX($X$3:X129)),MAX($X$3:X129),"")),IF(W130&lt;&gt;"", Q130,"")),"")</f>
        <v/>
      </c>
      <c r="Y130" s="126" t="str">
        <f>IF(S130="S",IF(OR(P130&lt;=MAX($X$3:X129),P130&gt;=IF(MIN(W$53:$W131)&lt;1,99999999,MIN(W$53:$W131))),"Yes","No"),"")</f>
        <v/>
      </c>
      <c r="AA130" s="130" t="str">
        <f t="shared" si="20"/>
        <v/>
      </c>
      <c r="AB130" s="131" t="str">
        <f t="array" ref="AB130">IF(AA130&lt;=$AA$2,MIN(IF($L$4:$L$503&lt;=AB129,99999999999,$L$4:$L$503)),"")</f>
        <v/>
      </c>
      <c r="AC130" s="130" t="str">
        <f>IF(ISNUMBER(AA130),IF(Dashboard!$H$6&lt;&gt;"Horizontal",AC129+dateDistance,AC129),"")</f>
        <v/>
      </c>
      <c r="AD130" s="130" t="str">
        <f>IF(ISNUMBER(AA130),IF(Dashboard!$H$6="Horizontal",AD129+dateDistance,AD129),"")</f>
        <v/>
      </c>
      <c r="AE130" s="132" t="str">
        <f>IF(ISNUMBER(P130), IF(Dashboard!$H$6="Horizontal",IF(S130="S",INDEX($AC$4:$AC$503,MATCH(P130,$AB$4:$AB$503,0),1)+boxDistance*(T130+IF(Y130="No",IF(ISODD(T130),IF(T130&gt;0,1,-1),0),0))*IF(Y130="No",IF(ISODD(T130),0.5,-0.5),1),timelineStartRow - boxDistance * V130),IF( S130="S",INDEX($AC$4:$AC$503,MATCH(P130,$AB$4:$AB$503,0),1),INDEX($AC$4:$AC$503,MATCH(P130,$AB$4:$AB$503,0),1)&amp;"-"&amp;INDEX($AC$4:$AC$503,MATCH(Q130,$AB$4:$AB$503,0),1))),"")</f>
        <v/>
      </c>
      <c r="AF130" s="132" t="str">
        <f>IF(ISNUMBER(P130), IF(Dashboard!$H$6&lt;&gt;"Horizontal",IF(S130="S",INDEX($AD$4:$AD$503,MATCH(P130,$AB$4:$AB$503,0),1)+boxDistance*(T130+IF(Y130="No",IF(ISODD(T130),IF(T130&gt;0,1,-1),0),0))*IF(Y130="No",IF(ISODD(T130),0.5,-0.5),1),timelineStartColumn-boxDistance * IF(AND(ISNUMBER(V130),V130&gt;1),V130*0.85,1)   ),IF( S130="S",INDEX($AD$4:$AD$503,MATCH(P130,$AB$4:$AB$503,0),1),INDEX($AD$4:$AD$503,MATCH(P130,$AB$4:$AB$503,0),1)&amp;"-"&amp;INDEX($AD$4:$AD$503,MATCH(Q130,$AB$4:$AB$503,0),1))),"")</f>
        <v/>
      </c>
      <c r="AG130" s="133" t="str">
        <f t="shared" si="28"/>
        <v/>
      </c>
      <c r="AH130" s="134" t="str">
        <f t="shared" si="21"/>
        <v/>
      </c>
      <c r="AI130" s="135" t="str">
        <f t="shared" si="22"/>
        <v/>
      </c>
      <c r="AJ130" s="135" t="str">
        <f t="shared" si="29"/>
        <v/>
      </c>
      <c r="AK130" s="126" t="str">
        <f t="shared" si="30"/>
        <v/>
      </c>
      <c r="AL130" s="126" t="str">
        <f ca="1">IFERROR(IF(AK130="","", MATCH(AK130,OFFSET(Icons!$B$5,1,AM130-3,20,1),0)+5),"")</f>
        <v/>
      </c>
      <c r="AM130" s="126" t="str">
        <f t="shared" si="31"/>
        <v/>
      </c>
      <c r="AN130" s="90"/>
    </row>
    <row r="131" spans="5:40" ht="15" customHeight="1" x14ac:dyDescent="0.25">
      <c r="E131" s="126">
        <v>128</v>
      </c>
      <c r="F131" s="126"/>
      <c r="G131" s="127"/>
      <c r="H131" s="127"/>
      <c r="I131" s="126"/>
      <c r="K131" s="137" t="str">
        <f t="shared" si="24"/>
        <v/>
      </c>
      <c r="L131" s="127" t="str">
        <f t="shared" si="18"/>
        <v/>
      </c>
      <c r="N131" s="128" t="str">
        <f t="shared" si="25"/>
        <v/>
      </c>
      <c r="O131" s="126" t="str">
        <f t="array" ref="O131">IFERROR(SMALL(IF(($G$4:$G$253=P131),ROW($G$4:$G$253)-ROW($G$3),"" ),N131),"")</f>
        <v/>
      </c>
      <c r="P131" s="127" t="str">
        <f t="array" ref="P131">IFERROR(SMALL($G$4:$G$253,E131),"")</f>
        <v/>
      </c>
      <c r="Q131" s="127" t="str">
        <f t="shared" si="26"/>
        <v/>
      </c>
      <c r="R131" s="126" t="str">
        <f t="shared" si="27"/>
        <v/>
      </c>
      <c r="S131" s="126" t="str">
        <f t="shared" si="19"/>
        <v/>
      </c>
      <c r="T131" s="128" t="str">
        <f>IF(OR(S131="R",S131=""),"",COUNTIFS($P$4:P131,P131,$S$4:S131,"S")*U131)</f>
        <v/>
      </c>
      <c r="U131" s="128" t="str">
        <f>IF(ISNUMBER(N131),IF($C$11=TRUE,IF(OR(ISODD(COUNTIF($N$4:N131,1)),Y131="Yes"),1,-1),1),"")</f>
        <v/>
      </c>
      <c r="V131" s="128" t="str">
        <f ca="1">IFERROR(IF(AND(S131="R",W131&lt;&gt;""),1,IF(S131="R",MAX(OFFSET(V130,0,0,-1*(ROW(W131)-3-MATCH(MAX($W$4:W130),$W$4:W130,0)),1))+1,"")),"")</f>
        <v/>
      </c>
      <c r="W131" s="129" t="str">
        <f>IFERROR(IF(AND(S131="R", P131&gt;MAX($X$3:X130)),P131,""),"")</f>
        <v/>
      </c>
      <c r="X131" s="129" t="str">
        <f>IFERROR(IF(AND(W131="",Q131&gt;=MAX($X$3:X130)),IF(S131="R",Q131,IF(AND(W131="",P131&lt;=MAX($X$3:X130)),MAX($X$3:X130),"")),IF(W131&lt;&gt;"", Q131,"")),"")</f>
        <v/>
      </c>
      <c r="Y131" s="126" t="str">
        <f>IF(S131="S",IF(OR(P131&lt;=MAX($X$3:X130),P131&gt;=IF(MIN(W$53:$W132)&lt;1,99999999,MIN(W$53:$W132))),"Yes","No"),"")</f>
        <v/>
      </c>
      <c r="AA131" s="130" t="str">
        <f t="shared" si="20"/>
        <v/>
      </c>
      <c r="AB131" s="131" t="str">
        <f t="array" ref="AB131">IF(AA131&lt;=$AA$2,MIN(IF($L$4:$L$503&lt;=AB130,99999999999,$L$4:$L$503)),"")</f>
        <v/>
      </c>
      <c r="AC131" s="130" t="str">
        <f>IF(ISNUMBER(AA131),IF(Dashboard!$H$6&lt;&gt;"Horizontal",AC130+dateDistance,AC130),"")</f>
        <v/>
      </c>
      <c r="AD131" s="130" t="str">
        <f>IF(ISNUMBER(AA131),IF(Dashboard!$H$6="Horizontal",AD130+dateDistance,AD130),"")</f>
        <v/>
      </c>
      <c r="AE131" s="132" t="str">
        <f>IF(ISNUMBER(P131), IF(Dashboard!$H$6="Horizontal",IF(S131="S",INDEX($AC$4:$AC$503,MATCH(P131,$AB$4:$AB$503,0),1)+boxDistance*(T131+IF(Y131="No",IF(ISODD(T131),IF(T131&gt;0,1,-1),0),0))*IF(Y131="No",IF(ISODD(T131),0.5,-0.5),1),timelineStartRow - boxDistance * V131),IF( S131="S",INDEX($AC$4:$AC$503,MATCH(P131,$AB$4:$AB$503,0),1),INDEX($AC$4:$AC$503,MATCH(P131,$AB$4:$AB$503,0),1)&amp;"-"&amp;INDEX($AC$4:$AC$503,MATCH(Q131,$AB$4:$AB$503,0),1))),"")</f>
        <v/>
      </c>
      <c r="AF131" s="132" t="str">
        <f>IF(ISNUMBER(P131), IF(Dashboard!$H$6&lt;&gt;"Horizontal",IF(S131="S",INDEX($AD$4:$AD$503,MATCH(P131,$AB$4:$AB$503,0),1)+boxDistance*(T131+IF(Y131="No",IF(ISODD(T131),IF(T131&gt;0,1,-1),0),0))*IF(Y131="No",IF(ISODD(T131),0.5,-0.5),1),timelineStartColumn-boxDistance * IF(AND(ISNUMBER(V131),V131&gt;1),V131*0.85,1)   ),IF( S131="S",INDEX($AD$4:$AD$503,MATCH(P131,$AB$4:$AB$503,0),1),INDEX($AD$4:$AD$503,MATCH(P131,$AB$4:$AB$503,0),1)&amp;"-"&amp;INDEX($AD$4:$AD$503,MATCH(Q131,$AB$4:$AB$503,0),1))),"")</f>
        <v/>
      </c>
      <c r="AG131" s="133" t="str">
        <f t="shared" si="28"/>
        <v/>
      </c>
      <c r="AH131" s="134" t="str">
        <f t="shared" si="21"/>
        <v/>
      </c>
      <c r="AI131" s="135" t="str">
        <f t="shared" si="22"/>
        <v/>
      </c>
      <c r="AJ131" s="135" t="str">
        <f t="shared" si="29"/>
        <v/>
      </c>
      <c r="AK131" s="126" t="str">
        <f t="shared" si="30"/>
        <v/>
      </c>
      <c r="AL131" s="126" t="str">
        <f ca="1">IFERROR(IF(AK131="","", MATCH(AK131,OFFSET(Icons!$B$5,1,AM131-3,20,1),0)+5),"")</f>
        <v/>
      </c>
      <c r="AM131" s="126" t="str">
        <f t="shared" si="31"/>
        <v/>
      </c>
      <c r="AN131" s="90"/>
    </row>
    <row r="132" spans="5:40" ht="15" customHeight="1" x14ac:dyDescent="0.25">
      <c r="E132" s="126">
        <v>129</v>
      </c>
      <c r="F132" s="126"/>
      <c r="G132" s="127"/>
      <c r="H132" s="127"/>
      <c r="I132" s="126"/>
      <c r="K132" s="137" t="str">
        <f t="shared" si="24"/>
        <v/>
      </c>
      <c r="L132" s="127" t="str">
        <f t="shared" ref="L132:L195" si="34">IFERROR(IF(K132&lt;=$G$2,SMALL($G$4:$G$253,K132),SMALL($H$4:$H$253,K132-$G$2)),"")</f>
        <v/>
      </c>
      <c r="N132" s="128" t="str">
        <f t="shared" si="25"/>
        <v/>
      </c>
      <c r="O132" s="126" t="str">
        <f t="array" ref="O132">IFERROR(SMALL(IF(($G$4:$G$253=P132),ROW($G$4:$G$253)-ROW($G$3),"" ),N132),"")</f>
        <v/>
      </c>
      <c r="P132" s="127" t="str">
        <f t="array" ref="P132">IFERROR(SMALL($G$4:$G$253,E132),"")</f>
        <v/>
      </c>
      <c r="Q132" s="127" t="str">
        <f t="shared" si="26"/>
        <v/>
      </c>
      <c r="R132" s="126" t="str">
        <f t="shared" si="27"/>
        <v/>
      </c>
      <c r="S132" s="126" t="str">
        <f t="shared" ref="S132:S195" si="35">IF(AND(Q132&lt;&gt;"",Q132&gt;P132),"R",IF(P132="","","S"))</f>
        <v/>
      </c>
      <c r="T132" s="128" t="str">
        <f>IF(OR(S132="R",S132=""),"",COUNTIFS($P$4:P132,P132,$S$4:S132,"S")*U132)</f>
        <v/>
      </c>
      <c r="U132" s="128" t="str">
        <f>IF(ISNUMBER(N132),IF($C$11=TRUE,IF(OR(ISODD(COUNTIF($N$4:N132,1)),Y132="Yes"),1,-1),1),"")</f>
        <v/>
      </c>
      <c r="V132" s="128" t="str">
        <f ca="1">IFERROR(IF(AND(S132="R",W132&lt;&gt;""),1,IF(S132="R",MAX(OFFSET(V131,0,0,-1*(ROW(W132)-3-MATCH(MAX($W$4:W131),$W$4:W131,0)),1))+1,"")),"")</f>
        <v/>
      </c>
      <c r="W132" s="129" t="str">
        <f>IFERROR(IF(AND(S132="R", P132&gt;MAX($X$3:X131)),P132,""),"")</f>
        <v/>
      </c>
      <c r="X132" s="129" t="str">
        <f>IFERROR(IF(AND(W132="",Q132&gt;=MAX($X$3:X131)),IF(S132="R",Q132,IF(AND(W132="",P132&lt;=MAX($X$3:X131)),MAX($X$3:X131),"")),IF(W132&lt;&gt;"", Q132,"")),"")</f>
        <v/>
      </c>
      <c r="Y132" s="126" t="str">
        <f>IF(S132="S",IF(OR(P132&lt;=MAX($X$3:X131),P132&gt;=IF(MIN(W$53:$W133)&lt;1,99999999,MIN(W$53:$W133))),"Yes","No"),"")</f>
        <v/>
      </c>
      <c r="AA132" s="130" t="str">
        <f t="shared" ref="AA132:AA195" si="36">IFERROR(IF(AA131+1&gt;$AA$2,"",AA131+1),"")</f>
        <v/>
      </c>
      <c r="AB132" s="131" t="str">
        <f t="array" ref="AB132">IF(AA132&lt;=$AA$2,MIN(IF($L$4:$L$503&lt;=AB131,99999999999,$L$4:$L$503)),"")</f>
        <v/>
      </c>
      <c r="AC132" s="130" t="str">
        <f>IF(ISNUMBER(AA132),IF(Dashboard!$H$6&lt;&gt;"Horizontal",AC131+dateDistance,AC131),"")</f>
        <v/>
      </c>
      <c r="AD132" s="130" t="str">
        <f>IF(ISNUMBER(AA132),IF(Dashboard!$H$6="Horizontal",AD131+dateDistance,AD131),"")</f>
        <v/>
      </c>
      <c r="AE132" s="132" t="str">
        <f>IF(ISNUMBER(P132), IF(Dashboard!$H$6="Horizontal",IF(S132="S",INDEX($AC$4:$AC$503,MATCH(P132,$AB$4:$AB$503,0),1)+boxDistance*(T132+IF(Y132="No",IF(ISODD(T132),IF(T132&gt;0,1,-1),0),0))*IF(Y132="No",IF(ISODD(T132),0.5,-0.5),1),timelineStartRow - boxDistance * V132),IF( S132="S",INDEX($AC$4:$AC$503,MATCH(P132,$AB$4:$AB$503,0),1),INDEX($AC$4:$AC$503,MATCH(P132,$AB$4:$AB$503,0),1)&amp;"-"&amp;INDEX($AC$4:$AC$503,MATCH(Q132,$AB$4:$AB$503,0),1))),"")</f>
        <v/>
      </c>
      <c r="AF132" s="132" t="str">
        <f>IF(ISNUMBER(P132), IF(Dashboard!$H$6&lt;&gt;"Horizontal",IF(S132="S",INDEX($AD$4:$AD$503,MATCH(P132,$AB$4:$AB$503,0),1)+boxDistance*(T132+IF(Y132="No",IF(ISODD(T132),IF(T132&gt;0,1,-1),0),0))*IF(Y132="No",IF(ISODD(T132),0.5,-0.5),1),timelineStartColumn-boxDistance * IF(AND(ISNUMBER(V132),V132&gt;1),V132*0.85,1)   ),IF( S132="S",INDEX($AD$4:$AD$503,MATCH(P132,$AB$4:$AB$503,0),1),INDEX($AD$4:$AD$503,MATCH(P132,$AB$4:$AB$503,0),1)&amp;"-"&amp;INDEX($AD$4:$AD$503,MATCH(Q132,$AB$4:$AB$503,0),1))),"")</f>
        <v/>
      </c>
      <c r="AG132" s="133" t="str">
        <f t="shared" si="28"/>
        <v/>
      </c>
      <c r="AH132" s="134" t="str">
        <f t="shared" ref="AH132:AH195" si="37">IF(direction&lt;&gt;"Vertical",IF(S132="R","",IF(AF132&lt;&gt;AF133,"x",IF(AND(AF132&lt;&gt;AF134,Y132="No"),"x",""))),IF(S132="R","",IF(AE132&lt;&gt;AE133,"x",IF(AND(AE132&lt;&gt;AE134,Y132="No"),"x",""))))</f>
        <v/>
      </c>
      <c r="AI132" s="135" t="str">
        <f t="shared" ref="AI132:AI195" si="38">IF(OR(AH132="x",S132="R"),MATCH(P132,$AB$4:$AB$503,0),"")</f>
        <v/>
      </c>
      <c r="AJ132" s="135" t="str">
        <f t="shared" si="29"/>
        <v/>
      </c>
      <c r="AK132" s="126" t="str">
        <f t="shared" si="30"/>
        <v/>
      </c>
      <c r="AL132" s="126" t="str">
        <f ca="1">IFERROR(IF(AK132="","", MATCH(AK132,OFFSET(Icons!$B$5,1,AM132-3,20,1),0)+5),"")</f>
        <v/>
      </c>
      <c r="AM132" s="126" t="str">
        <f t="shared" si="31"/>
        <v/>
      </c>
      <c r="AN132" s="90"/>
    </row>
    <row r="133" spans="5:40" ht="15" customHeight="1" x14ac:dyDescent="0.25">
      <c r="E133" s="126">
        <v>130</v>
      </c>
      <c r="F133" s="126"/>
      <c r="G133" s="127"/>
      <c r="H133" s="127"/>
      <c r="I133" s="126"/>
      <c r="K133" s="137" t="str">
        <f t="shared" ref="K133:K196" si="39">IFERROR(IF(K132+1&gt;$G$2+$H$2,"",K132+1),"")</f>
        <v/>
      </c>
      <c r="L133" s="127" t="str">
        <f t="shared" si="34"/>
        <v/>
      </c>
      <c r="N133" s="128" t="str">
        <f t="shared" ref="N133:N196" si="40">IF(P133&lt;&gt;"",IF(P133=P132,N132+1,1),"")</f>
        <v/>
      </c>
      <c r="O133" s="126" t="str">
        <f t="array" ref="O133">IFERROR(SMALL(IF(($G$4:$G$253=P133),ROW($G$4:$G$253)-ROW($G$3),"" ),N133),"")</f>
        <v/>
      </c>
      <c r="P133" s="127" t="str">
        <f t="array" ref="P133">IFERROR(SMALL($G$4:$G$253,E133),"")</f>
        <v/>
      </c>
      <c r="Q133" s="127" t="str">
        <f t="shared" ref="Q133:Q196" si="41">IFERROR(INDEX(H$4:H$253,$O133,1),"")</f>
        <v/>
      </c>
      <c r="R133" s="126" t="str">
        <f t="shared" ref="R133:R196" si="42">IFERROR(INDEX(I$4:I$53,$O133,1),"")</f>
        <v/>
      </c>
      <c r="S133" s="126" t="str">
        <f t="shared" si="35"/>
        <v/>
      </c>
      <c r="T133" s="128" t="str">
        <f>IF(OR(S133="R",S133=""),"",COUNTIFS($P$4:P133,P133,$S$4:S133,"S")*U133)</f>
        <v/>
      </c>
      <c r="U133" s="128" t="str">
        <f>IF(ISNUMBER(N133),IF($C$11=TRUE,IF(OR(ISODD(COUNTIF($N$4:N133,1)),Y133="Yes"),1,-1),1),"")</f>
        <v/>
      </c>
      <c r="V133" s="128" t="str">
        <f ca="1">IFERROR(IF(AND(S133="R",W133&lt;&gt;""),1,IF(S133="R",MAX(OFFSET(V132,0,0,-1*(ROW(W133)-3-MATCH(MAX($W$4:W132),$W$4:W132,0)),1))+1,"")),"")</f>
        <v/>
      </c>
      <c r="W133" s="129" t="str">
        <f>IFERROR(IF(AND(S133="R", P133&gt;MAX($X$3:X132)),P133,""),"")</f>
        <v/>
      </c>
      <c r="X133" s="129" t="str">
        <f>IFERROR(IF(AND(W133="",Q133&gt;=MAX($X$3:X132)),IF(S133="R",Q133,IF(AND(W133="",P133&lt;=MAX($X$3:X132)),MAX($X$3:X132),"")),IF(W133&lt;&gt;"", Q133,"")),"")</f>
        <v/>
      </c>
      <c r="Y133" s="126" t="str">
        <f>IF(S133="S",IF(OR(P133&lt;=MAX($X$3:X132),P133&gt;=IF(MIN(W$53:$W134)&lt;1,99999999,MIN(W$53:$W134))),"Yes","No"),"")</f>
        <v/>
      </c>
      <c r="AA133" s="130" t="str">
        <f t="shared" si="36"/>
        <v/>
      </c>
      <c r="AB133" s="131" t="str">
        <f t="array" ref="AB133">IF(AA133&lt;=$AA$2,MIN(IF($L$4:$L$503&lt;=AB132,99999999999,$L$4:$L$503)),"")</f>
        <v/>
      </c>
      <c r="AC133" s="130" t="str">
        <f>IF(ISNUMBER(AA133),IF(Dashboard!$H$6&lt;&gt;"Horizontal",AC132+dateDistance,AC132),"")</f>
        <v/>
      </c>
      <c r="AD133" s="130" t="str">
        <f>IF(ISNUMBER(AA133),IF(Dashboard!$H$6="Horizontal",AD132+dateDistance,AD132),"")</f>
        <v/>
      </c>
      <c r="AE133" s="132" t="str">
        <f>IF(ISNUMBER(P133), IF(Dashboard!$H$6="Horizontal",IF(S133="S",INDEX($AC$4:$AC$503,MATCH(P133,$AB$4:$AB$503,0),1)+boxDistance*(T133+IF(Y133="No",IF(ISODD(T133),IF(T133&gt;0,1,-1),0),0))*IF(Y133="No",IF(ISODD(T133),0.5,-0.5),1),timelineStartRow - boxDistance * V133),IF( S133="S",INDEX($AC$4:$AC$503,MATCH(P133,$AB$4:$AB$503,0),1),INDEX($AC$4:$AC$503,MATCH(P133,$AB$4:$AB$503,0),1)&amp;"-"&amp;INDEX($AC$4:$AC$503,MATCH(Q133,$AB$4:$AB$503,0),1))),"")</f>
        <v/>
      </c>
      <c r="AF133" s="132" t="str">
        <f>IF(ISNUMBER(P133), IF(Dashboard!$H$6&lt;&gt;"Horizontal",IF(S133="S",INDEX($AD$4:$AD$503,MATCH(P133,$AB$4:$AB$503,0),1)+boxDistance*(T133+IF(Y133="No",IF(ISODD(T133),IF(T133&gt;0,1,-1),0),0))*IF(Y133="No",IF(ISODD(T133),0.5,-0.5),1),timelineStartColumn-boxDistance * IF(AND(ISNUMBER(V133),V133&gt;1),V133*0.85,1)   ),IF( S133="S",INDEX($AD$4:$AD$503,MATCH(P133,$AB$4:$AB$503,0),1),INDEX($AD$4:$AD$503,MATCH(P133,$AB$4:$AB$503,0),1)&amp;"-"&amp;INDEX($AD$4:$AD$503,MATCH(Q133,$AB$4:$AB$503,0),1))),"")</f>
        <v/>
      </c>
      <c r="AG133" s="133" t="str">
        <f t="shared" ref="AG133:AG196" si="43">IFERROR(INDEX($F$4:$F$253,O133,1),"")</f>
        <v/>
      </c>
      <c r="AH133" s="134" t="str">
        <f t="shared" si="37"/>
        <v/>
      </c>
      <c r="AI133" s="135" t="str">
        <f t="shared" si="38"/>
        <v/>
      </c>
      <c r="AJ133" s="135" t="str">
        <f t="shared" ref="AJ133:AJ196" si="44">IF(S133="R",MATCH(Q133,$AB$4:$AB$503,0),"")</f>
        <v/>
      </c>
      <c r="AK133" s="126" t="str">
        <f t="shared" ref="AK133:AK196" si="45">IFERROR(INDEX($I$4:$I$253,O133,1),"")</f>
        <v/>
      </c>
      <c r="AL133" s="126" t="str">
        <f ca="1">IFERROR(IF(AK133="","", MATCH(AK133,OFFSET(Icons!$B$5,1,AM133-3,20,1),0)+5),"")</f>
        <v/>
      </c>
      <c r="AM133" s="126" t="str">
        <f t="shared" ref="AM133:AM196" si="46">IFERROR(IF(AK133="","",INDEX($AW$4:$AW$103,MATCH(AK133,$AX$4:$AX$103,0),1)),"")</f>
        <v/>
      </c>
      <c r="AN133" s="90"/>
    </row>
    <row r="134" spans="5:40" ht="15" customHeight="1" x14ac:dyDescent="0.25">
      <c r="E134" s="126">
        <v>131</v>
      </c>
      <c r="F134" s="126"/>
      <c r="G134" s="127"/>
      <c r="H134" s="127"/>
      <c r="I134" s="126"/>
      <c r="K134" s="137" t="str">
        <f t="shared" si="39"/>
        <v/>
      </c>
      <c r="L134" s="127" t="str">
        <f t="shared" si="34"/>
        <v/>
      </c>
      <c r="N134" s="128" t="str">
        <f t="shared" si="40"/>
        <v/>
      </c>
      <c r="O134" s="126" t="str">
        <f t="array" ref="O134">IFERROR(SMALL(IF(($G$4:$G$253=P134),ROW($G$4:$G$253)-ROW($G$3),"" ),N134),"")</f>
        <v/>
      </c>
      <c r="P134" s="127" t="str">
        <f t="array" ref="P134">IFERROR(SMALL($G$4:$G$253,E134),"")</f>
        <v/>
      </c>
      <c r="Q134" s="127" t="str">
        <f t="shared" si="41"/>
        <v/>
      </c>
      <c r="R134" s="126" t="str">
        <f t="shared" si="42"/>
        <v/>
      </c>
      <c r="S134" s="126" t="str">
        <f t="shared" si="35"/>
        <v/>
      </c>
      <c r="T134" s="128" t="str">
        <f>IF(OR(S134="R",S134=""),"",COUNTIFS($P$4:P134,P134,$S$4:S134,"S")*U134)</f>
        <v/>
      </c>
      <c r="U134" s="128" t="str">
        <f>IF(ISNUMBER(N134),IF($C$11=TRUE,IF(OR(ISODD(COUNTIF($N$4:N134,1)),Y134="Yes"),1,-1),1),"")</f>
        <v/>
      </c>
      <c r="V134" s="128" t="str">
        <f ca="1">IFERROR(IF(AND(S134="R",W134&lt;&gt;""),1,IF(S134="R",MAX(OFFSET(V133,0,0,-1*(ROW(W134)-3-MATCH(MAX($W$4:W133),$W$4:W133,0)),1))+1,"")),"")</f>
        <v/>
      </c>
      <c r="W134" s="129" t="str">
        <f>IFERROR(IF(AND(S134="R", P134&gt;MAX($X$3:X133)),P134,""),"")</f>
        <v/>
      </c>
      <c r="X134" s="129" t="str">
        <f>IFERROR(IF(AND(W134="",Q134&gt;=MAX($X$3:X133)),IF(S134="R",Q134,IF(AND(W134="",P134&lt;=MAX($X$3:X133)),MAX($X$3:X133),"")),IF(W134&lt;&gt;"", Q134,"")),"")</f>
        <v/>
      </c>
      <c r="Y134" s="126" t="str">
        <f>IF(S134="S",IF(OR(P134&lt;=MAX($X$3:X133),P134&gt;=IF(MIN(W$53:$W135)&lt;1,99999999,MIN(W$53:$W135))),"Yes","No"),"")</f>
        <v/>
      </c>
      <c r="AA134" s="130" t="str">
        <f t="shared" si="36"/>
        <v/>
      </c>
      <c r="AB134" s="131" t="str">
        <f t="array" ref="AB134">IF(AA134&lt;=$AA$2,MIN(IF($L$4:$L$503&lt;=AB133,99999999999,$L$4:$L$503)),"")</f>
        <v/>
      </c>
      <c r="AC134" s="130" t="str">
        <f>IF(ISNUMBER(AA134),IF(Dashboard!$H$6&lt;&gt;"Horizontal",AC133+dateDistance,AC133),"")</f>
        <v/>
      </c>
      <c r="AD134" s="130" t="str">
        <f>IF(ISNUMBER(AA134),IF(Dashboard!$H$6="Horizontal",AD133+dateDistance,AD133),"")</f>
        <v/>
      </c>
      <c r="AE134" s="132" t="str">
        <f>IF(ISNUMBER(P134), IF(Dashboard!$H$6="Horizontal",IF(S134="S",INDEX($AC$4:$AC$503,MATCH(P134,$AB$4:$AB$503,0),1)+boxDistance*(T134+IF(Y134="No",IF(ISODD(T134),IF(T134&gt;0,1,-1),0),0))*IF(Y134="No",IF(ISODD(T134),0.5,-0.5),1),timelineStartRow - boxDistance * V134),IF( S134="S",INDEX($AC$4:$AC$503,MATCH(P134,$AB$4:$AB$503,0),1),INDEX($AC$4:$AC$503,MATCH(P134,$AB$4:$AB$503,0),1)&amp;"-"&amp;INDEX($AC$4:$AC$503,MATCH(Q134,$AB$4:$AB$503,0),1))),"")</f>
        <v/>
      </c>
      <c r="AF134" s="132" t="str">
        <f>IF(ISNUMBER(P134), IF(Dashboard!$H$6&lt;&gt;"Horizontal",IF(S134="S",INDEX($AD$4:$AD$503,MATCH(P134,$AB$4:$AB$503,0),1)+boxDistance*(T134+IF(Y134="No",IF(ISODD(T134),IF(T134&gt;0,1,-1),0),0))*IF(Y134="No",IF(ISODD(T134),0.5,-0.5),1),timelineStartColumn-boxDistance * IF(AND(ISNUMBER(V134),V134&gt;1),V134*0.85,1)   ),IF( S134="S",INDEX($AD$4:$AD$503,MATCH(P134,$AB$4:$AB$503,0),1),INDEX($AD$4:$AD$503,MATCH(P134,$AB$4:$AB$503,0),1)&amp;"-"&amp;INDEX($AD$4:$AD$503,MATCH(Q134,$AB$4:$AB$503,0),1))),"")</f>
        <v/>
      </c>
      <c r="AG134" s="133" t="str">
        <f t="shared" si="43"/>
        <v/>
      </c>
      <c r="AH134" s="134" t="str">
        <f t="shared" si="37"/>
        <v/>
      </c>
      <c r="AI134" s="135" t="str">
        <f t="shared" si="38"/>
        <v/>
      </c>
      <c r="AJ134" s="135" t="str">
        <f t="shared" si="44"/>
        <v/>
      </c>
      <c r="AK134" s="126" t="str">
        <f t="shared" si="45"/>
        <v/>
      </c>
      <c r="AL134" s="126" t="str">
        <f ca="1">IFERROR(IF(AK134="","", MATCH(AK134,OFFSET(Icons!$B$5,1,AM134-3,20,1),0)+5),"")</f>
        <v/>
      </c>
      <c r="AM134" s="126" t="str">
        <f t="shared" si="46"/>
        <v/>
      </c>
      <c r="AN134" s="90"/>
    </row>
    <row r="135" spans="5:40" ht="15" customHeight="1" x14ac:dyDescent="0.25">
      <c r="E135" s="126">
        <v>132</v>
      </c>
      <c r="F135" s="126"/>
      <c r="G135" s="127"/>
      <c r="H135" s="127"/>
      <c r="I135" s="126"/>
      <c r="K135" s="137" t="str">
        <f t="shared" si="39"/>
        <v/>
      </c>
      <c r="L135" s="127" t="str">
        <f t="shared" si="34"/>
        <v/>
      </c>
      <c r="N135" s="128" t="str">
        <f t="shared" si="40"/>
        <v/>
      </c>
      <c r="O135" s="126" t="str">
        <f t="array" ref="O135">IFERROR(SMALL(IF(($G$4:$G$253=P135),ROW($G$4:$G$253)-ROW($G$3),"" ),N135),"")</f>
        <v/>
      </c>
      <c r="P135" s="127" t="str">
        <f t="array" ref="P135">IFERROR(SMALL($G$4:$G$253,E135),"")</f>
        <v/>
      </c>
      <c r="Q135" s="127" t="str">
        <f t="shared" si="41"/>
        <v/>
      </c>
      <c r="R135" s="126" t="str">
        <f t="shared" si="42"/>
        <v/>
      </c>
      <c r="S135" s="126" t="str">
        <f t="shared" si="35"/>
        <v/>
      </c>
      <c r="T135" s="128" t="str">
        <f>IF(OR(S135="R",S135=""),"",COUNTIFS($P$4:P135,P135,$S$4:S135,"S")*U135)</f>
        <v/>
      </c>
      <c r="U135" s="128" t="str">
        <f>IF(ISNUMBER(N135),IF($C$11=TRUE,IF(OR(ISODD(COUNTIF($N$4:N135,1)),Y135="Yes"),1,-1),1),"")</f>
        <v/>
      </c>
      <c r="V135" s="128" t="str">
        <f ca="1">IFERROR(IF(AND(S135="R",W135&lt;&gt;""),1,IF(S135="R",MAX(OFFSET(V134,0,0,-1*(ROW(W135)-3-MATCH(MAX($W$4:W134),$W$4:W134,0)),1))+1,"")),"")</f>
        <v/>
      </c>
      <c r="W135" s="129" t="str">
        <f>IFERROR(IF(AND(S135="R", P135&gt;MAX($X$3:X134)),P135,""),"")</f>
        <v/>
      </c>
      <c r="X135" s="129" t="str">
        <f>IFERROR(IF(AND(W135="",Q135&gt;=MAX($X$3:X134)),IF(S135="R",Q135,IF(AND(W135="",P135&lt;=MAX($X$3:X134)),MAX($X$3:X134),"")),IF(W135&lt;&gt;"", Q135,"")),"")</f>
        <v/>
      </c>
      <c r="Y135" s="126" t="str">
        <f>IF(S135="S",IF(OR(P135&lt;=MAX($X$3:X134),P135&gt;=IF(MIN(W$53:$W136)&lt;1,99999999,MIN(W$53:$W136))),"Yes","No"),"")</f>
        <v/>
      </c>
      <c r="AA135" s="130" t="str">
        <f t="shared" si="36"/>
        <v/>
      </c>
      <c r="AB135" s="131" t="str">
        <f t="array" ref="AB135">IF(AA135&lt;=$AA$2,MIN(IF($L$4:$L$503&lt;=AB134,99999999999,$L$4:$L$503)),"")</f>
        <v/>
      </c>
      <c r="AC135" s="130" t="str">
        <f>IF(ISNUMBER(AA135),IF(Dashboard!$H$6&lt;&gt;"Horizontal",AC134+dateDistance,AC134),"")</f>
        <v/>
      </c>
      <c r="AD135" s="130" t="str">
        <f>IF(ISNUMBER(AA135),IF(Dashboard!$H$6="Horizontal",AD134+dateDistance,AD134),"")</f>
        <v/>
      </c>
      <c r="AE135" s="132" t="str">
        <f>IF(ISNUMBER(P135), IF(Dashboard!$H$6="Horizontal",IF(S135="S",INDEX($AC$4:$AC$503,MATCH(P135,$AB$4:$AB$503,0),1)+boxDistance*(T135+IF(Y135="No",IF(ISODD(T135),IF(T135&gt;0,1,-1),0),0))*IF(Y135="No",IF(ISODD(T135),0.5,-0.5),1),timelineStartRow - boxDistance * V135),IF( S135="S",INDEX($AC$4:$AC$503,MATCH(P135,$AB$4:$AB$503,0),1),INDEX($AC$4:$AC$503,MATCH(P135,$AB$4:$AB$503,0),1)&amp;"-"&amp;INDEX($AC$4:$AC$503,MATCH(Q135,$AB$4:$AB$503,0),1))),"")</f>
        <v/>
      </c>
      <c r="AF135" s="132" t="str">
        <f>IF(ISNUMBER(P135), IF(Dashboard!$H$6&lt;&gt;"Horizontal",IF(S135="S",INDEX($AD$4:$AD$503,MATCH(P135,$AB$4:$AB$503,0),1)+boxDistance*(T135+IF(Y135="No",IF(ISODD(T135),IF(T135&gt;0,1,-1),0),0))*IF(Y135="No",IF(ISODD(T135),0.5,-0.5),1),timelineStartColumn-boxDistance * IF(AND(ISNUMBER(V135),V135&gt;1),V135*0.85,1)   ),IF( S135="S",INDEX($AD$4:$AD$503,MATCH(P135,$AB$4:$AB$503,0),1),INDEX($AD$4:$AD$503,MATCH(P135,$AB$4:$AB$503,0),1)&amp;"-"&amp;INDEX($AD$4:$AD$503,MATCH(Q135,$AB$4:$AB$503,0),1))),"")</f>
        <v/>
      </c>
      <c r="AG135" s="133" t="str">
        <f t="shared" si="43"/>
        <v/>
      </c>
      <c r="AH135" s="134" t="str">
        <f t="shared" si="37"/>
        <v/>
      </c>
      <c r="AI135" s="135" t="str">
        <f t="shared" si="38"/>
        <v/>
      </c>
      <c r="AJ135" s="135" t="str">
        <f t="shared" si="44"/>
        <v/>
      </c>
      <c r="AK135" s="126" t="str">
        <f t="shared" si="45"/>
        <v/>
      </c>
      <c r="AL135" s="126" t="str">
        <f ca="1">IFERROR(IF(AK135="","", MATCH(AK135,OFFSET(Icons!$B$5,1,AM135-3,20,1),0)+5),"")</f>
        <v/>
      </c>
      <c r="AM135" s="126" t="str">
        <f t="shared" si="46"/>
        <v/>
      </c>
      <c r="AN135" s="90"/>
    </row>
    <row r="136" spans="5:40" ht="15" customHeight="1" x14ac:dyDescent="0.25">
      <c r="E136" s="126">
        <v>133</v>
      </c>
      <c r="F136" s="126"/>
      <c r="G136" s="127"/>
      <c r="H136" s="127"/>
      <c r="I136" s="126"/>
      <c r="K136" s="137" t="str">
        <f t="shared" si="39"/>
        <v/>
      </c>
      <c r="L136" s="127" t="str">
        <f t="shared" si="34"/>
        <v/>
      </c>
      <c r="N136" s="128" t="str">
        <f t="shared" si="40"/>
        <v/>
      </c>
      <c r="O136" s="126" t="str">
        <f t="array" ref="O136">IFERROR(SMALL(IF(($G$4:$G$253=P136),ROW($G$4:$G$253)-ROW($G$3),"" ),N136),"")</f>
        <v/>
      </c>
      <c r="P136" s="127" t="str">
        <f t="array" ref="P136">IFERROR(SMALL($G$4:$G$253,E136),"")</f>
        <v/>
      </c>
      <c r="Q136" s="127" t="str">
        <f t="shared" si="41"/>
        <v/>
      </c>
      <c r="R136" s="126" t="str">
        <f t="shared" si="42"/>
        <v/>
      </c>
      <c r="S136" s="126" t="str">
        <f t="shared" si="35"/>
        <v/>
      </c>
      <c r="T136" s="128" t="str">
        <f>IF(OR(S136="R",S136=""),"",COUNTIFS($P$4:P136,P136,$S$4:S136,"S")*U136)</f>
        <v/>
      </c>
      <c r="U136" s="128" t="str">
        <f>IF(ISNUMBER(N136),IF($C$11=TRUE,IF(OR(ISODD(COUNTIF($N$4:N136,1)),Y136="Yes"),1,-1),1),"")</f>
        <v/>
      </c>
      <c r="V136" s="128" t="str">
        <f ca="1">IFERROR(IF(AND(S136="R",W136&lt;&gt;""),1,IF(S136="R",MAX(OFFSET(V135,0,0,-1*(ROW(W136)-3-MATCH(MAX($W$4:W135),$W$4:W135,0)),1))+1,"")),"")</f>
        <v/>
      </c>
      <c r="W136" s="129" t="str">
        <f>IFERROR(IF(AND(S136="R", P136&gt;MAX($X$3:X135)),P136,""),"")</f>
        <v/>
      </c>
      <c r="X136" s="129" t="str">
        <f>IFERROR(IF(AND(W136="",Q136&gt;=MAX($X$3:X135)),IF(S136="R",Q136,IF(AND(W136="",P136&lt;=MAX($X$3:X135)),MAX($X$3:X135),"")),IF(W136&lt;&gt;"", Q136,"")),"")</f>
        <v/>
      </c>
      <c r="Y136" s="126" t="str">
        <f>IF(S136="S",IF(OR(P136&lt;=MAX($X$3:X135),P136&gt;=IF(MIN(W$53:$W137)&lt;1,99999999,MIN(W$53:$W137))),"Yes","No"),"")</f>
        <v/>
      </c>
      <c r="AA136" s="130" t="str">
        <f t="shared" si="36"/>
        <v/>
      </c>
      <c r="AB136" s="131" t="str">
        <f t="array" ref="AB136">IF(AA136&lt;=$AA$2,MIN(IF($L$4:$L$503&lt;=AB135,99999999999,$L$4:$L$503)),"")</f>
        <v/>
      </c>
      <c r="AC136" s="130" t="str">
        <f>IF(ISNUMBER(AA136),IF(Dashboard!$H$6&lt;&gt;"Horizontal",AC135+dateDistance,AC135),"")</f>
        <v/>
      </c>
      <c r="AD136" s="130" t="str">
        <f>IF(ISNUMBER(AA136),IF(Dashboard!$H$6="Horizontal",AD135+dateDistance,AD135),"")</f>
        <v/>
      </c>
      <c r="AE136" s="132" t="str">
        <f>IF(ISNUMBER(P136), IF(Dashboard!$H$6="Horizontal",IF(S136="S",INDEX($AC$4:$AC$503,MATCH(P136,$AB$4:$AB$503,0),1)+boxDistance*(T136+IF(Y136="No",IF(ISODD(T136),IF(T136&gt;0,1,-1),0),0))*IF(Y136="No",IF(ISODD(T136),0.5,-0.5),1),timelineStartRow - boxDistance * V136),IF( S136="S",INDEX($AC$4:$AC$503,MATCH(P136,$AB$4:$AB$503,0),1),INDEX($AC$4:$AC$503,MATCH(P136,$AB$4:$AB$503,0),1)&amp;"-"&amp;INDEX($AC$4:$AC$503,MATCH(Q136,$AB$4:$AB$503,0),1))),"")</f>
        <v/>
      </c>
      <c r="AF136" s="132" t="str">
        <f>IF(ISNUMBER(P136), IF(Dashboard!$H$6&lt;&gt;"Horizontal",IF(S136="S",INDEX($AD$4:$AD$503,MATCH(P136,$AB$4:$AB$503,0),1)+boxDistance*(T136+IF(Y136="No",IF(ISODD(T136),IF(T136&gt;0,1,-1),0),0))*IF(Y136="No",IF(ISODD(T136),0.5,-0.5),1),timelineStartColumn-boxDistance * IF(AND(ISNUMBER(V136),V136&gt;1),V136*0.85,1)   ),IF( S136="S",INDEX($AD$4:$AD$503,MATCH(P136,$AB$4:$AB$503,0),1),INDEX($AD$4:$AD$503,MATCH(P136,$AB$4:$AB$503,0),1)&amp;"-"&amp;INDEX($AD$4:$AD$503,MATCH(Q136,$AB$4:$AB$503,0),1))),"")</f>
        <v/>
      </c>
      <c r="AG136" s="133" t="str">
        <f t="shared" si="43"/>
        <v/>
      </c>
      <c r="AH136" s="134" t="str">
        <f t="shared" si="37"/>
        <v/>
      </c>
      <c r="AI136" s="135" t="str">
        <f t="shared" si="38"/>
        <v/>
      </c>
      <c r="AJ136" s="135" t="str">
        <f t="shared" si="44"/>
        <v/>
      </c>
      <c r="AK136" s="126" t="str">
        <f t="shared" si="45"/>
        <v/>
      </c>
      <c r="AL136" s="126" t="str">
        <f ca="1">IFERROR(IF(AK136="","", MATCH(AK136,OFFSET(Icons!$B$5,1,AM136-3,20,1),0)+5),"")</f>
        <v/>
      </c>
      <c r="AM136" s="126" t="str">
        <f t="shared" si="46"/>
        <v/>
      </c>
      <c r="AN136" s="90"/>
    </row>
    <row r="137" spans="5:40" ht="15" customHeight="1" x14ac:dyDescent="0.25">
      <c r="E137" s="126">
        <v>134</v>
      </c>
      <c r="F137" s="126"/>
      <c r="G137" s="127"/>
      <c r="H137" s="127"/>
      <c r="I137" s="126"/>
      <c r="K137" s="137" t="str">
        <f t="shared" si="39"/>
        <v/>
      </c>
      <c r="L137" s="127" t="str">
        <f t="shared" si="34"/>
        <v/>
      </c>
      <c r="N137" s="128" t="str">
        <f t="shared" si="40"/>
        <v/>
      </c>
      <c r="O137" s="126" t="str">
        <f t="array" ref="O137">IFERROR(SMALL(IF(($G$4:$G$253=P137),ROW($G$4:$G$253)-ROW($G$3),"" ),N137),"")</f>
        <v/>
      </c>
      <c r="P137" s="127" t="str">
        <f t="array" ref="P137">IFERROR(SMALL($G$4:$G$253,E137),"")</f>
        <v/>
      </c>
      <c r="Q137" s="127" t="str">
        <f t="shared" si="41"/>
        <v/>
      </c>
      <c r="R137" s="126" t="str">
        <f t="shared" si="42"/>
        <v/>
      </c>
      <c r="S137" s="126" t="str">
        <f t="shared" si="35"/>
        <v/>
      </c>
      <c r="T137" s="128" t="str">
        <f>IF(OR(S137="R",S137=""),"",COUNTIFS($P$4:P137,P137,$S$4:S137,"S")*U137)</f>
        <v/>
      </c>
      <c r="U137" s="128" t="str">
        <f>IF(ISNUMBER(N137),IF($C$11=TRUE,IF(OR(ISODD(COUNTIF($N$4:N137,1)),Y137="Yes"),1,-1),1),"")</f>
        <v/>
      </c>
      <c r="V137" s="128" t="str">
        <f ca="1">IFERROR(IF(AND(S137="R",W137&lt;&gt;""),1,IF(S137="R",MAX(OFFSET(V136,0,0,-1*(ROW(W137)-3-MATCH(MAX($W$4:W136),$W$4:W136,0)),1))+1,"")),"")</f>
        <v/>
      </c>
      <c r="W137" s="129" t="str">
        <f>IFERROR(IF(AND(S137="R", P137&gt;MAX($X$3:X136)),P137,""),"")</f>
        <v/>
      </c>
      <c r="X137" s="129" t="str">
        <f>IFERROR(IF(AND(W137="",Q137&gt;=MAX($X$3:X136)),IF(S137="R",Q137,IF(AND(W137="",P137&lt;=MAX($X$3:X136)),MAX($X$3:X136),"")),IF(W137&lt;&gt;"", Q137,"")),"")</f>
        <v/>
      </c>
      <c r="Y137" s="126" t="str">
        <f>IF(S137="S",IF(OR(P137&lt;=MAX($X$3:X136),P137&gt;=IF(MIN(W$53:$W138)&lt;1,99999999,MIN(W$53:$W138))),"Yes","No"),"")</f>
        <v/>
      </c>
      <c r="AA137" s="130" t="str">
        <f t="shared" si="36"/>
        <v/>
      </c>
      <c r="AB137" s="131" t="str">
        <f t="array" ref="AB137">IF(AA137&lt;=$AA$2,MIN(IF($L$4:$L$503&lt;=AB136,99999999999,$L$4:$L$503)),"")</f>
        <v/>
      </c>
      <c r="AC137" s="130" t="str">
        <f>IF(ISNUMBER(AA137),IF(Dashboard!$H$6&lt;&gt;"Horizontal",AC136+dateDistance,AC136),"")</f>
        <v/>
      </c>
      <c r="AD137" s="130" t="str">
        <f>IF(ISNUMBER(AA137),IF(Dashboard!$H$6="Horizontal",AD136+dateDistance,AD136),"")</f>
        <v/>
      </c>
      <c r="AE137" s="132" t="str">
        <f>IF(ISNUMBER(P137), IF(Dashboard!$H$6="Horizontal",IF(S137="S",INDEX($AC$4:$AC$503,MATCH(P137,$AB$4:$AB$503,0),1)+boxDistance*(T137+IF(Y137="No",IF(ISODD(T137),IF(T137&gt;0,1,-1),0),0))*IF(Y137="No",IF(ISODD(T137),0.5,-0.5),1),timelineStartRow - boxDistance * V137),IF( S137="S",INDEX($AC$4:$AC$503,MATCH(P137,$AB$4:$AB$503,0),1),INDEX($AC$4:$AC$503,MATCH(P137,$AB$4:$AB$503,0),1)&amp;"-"&amp;INDEX($AC$4:$AC$503,MATCH(Q137,$AB$4:$AB$503,0),1))),"")</f>
        <v/>
      </c>
      <c r="AF137" s="132" t="str">
        <f>IF(ISNUMBER(P137), IF(Dashboard!$H$6&lt;&gt;"Horizontal",IF(S137="S",INDEX($AD$4:$AD$503,MATCH(P137,$AB$4:$AB$503,0),1)+boxDistance*(T137+IF(Y137="No",IF(ISODD(T137),IF(T137&gt;0,1,-1),0),0))*IF(Y137="No",IF(ISODD(T137),0.5,-0.5),1),timelineStartColumn-boxDistance * IF(AND(ISNUMBER(V137),V137&gt;1),V137*0.85,1)   ),IF( S137="S",INDEX($AD$4:$AD$503,MATCH(P137,$AB$4:$AB$503,0),1),INDEX($AD$4:$AD$503,MATCH(P137,$AB$4:$AB$503,0),1)&amp;"-"&amp;INDEX($AD$4:$AD$503,MATCH(Q137,$AB$4:$AB$503,0),1))),"")</f>
        <v/>
      </c>
      <c r="AG137" s="133" t="str">
        <f t="shared" si="43"/>
        <v/>
      </c>
      <c r="AH137" s="134" t="str">
        <f t="shared" si="37"/>
        <v/>
      </c>
      <c r="AI137" s="135" t="str">
        <f t="shared" si="38"/>
        <v/>
      </c>
      <c r="AJ137" s="135" t="str">
        <f t="shared" si="44"/>
        <v/>
      </c>
      <c r="AK137" s="126" t="str">
        <f t="shared" si="45"/>
        <v/>
      </c>
      <c r="AL137" s="126" t="str">
        <f ca="1">IFERROR(IF(AK137="","", MATCH(AK137,OFFSET(Icons!$B$5,1,AM137-3,20,1),0)+5),"")</f>
        <v/>
      </c>
      <c r="AM137" s="126" t="str">
        <f t="shared" si="46"/>
        <v/>
      </c>
      <c r="AN137" s="90"/>
    </row>
    <row r="138" spans="5:40" ht="15" customHeight="1" x14ac:dyDescent="0.25">
      <c r="E138" s="126">
        <v>135</v>
      </c>
      <c r="F138" s="126"/>
      <c r="G138" s="127"/>
      <c r="H138" s="127"/>
      <c r="I138" s="126"/>
      <c r="K138" s="137" t="str">
        <f t="shared" si="39"/>
        <v/>
      </c>
      <c r="L138" s="127" t="str">
        <f t="shared" si="34"/>
        <v/>
      </c>
      <c r="N138" s="128" t="str">
        <f t="shared" si="40"/>
        <v/>
      </c>
      <c r="O138" s="126" t="str">
        <f t="array" ref="O138">IFERROR(SMALL(IF(($G$4:$G$253=P138),ROW($G$4:$G$253)-ROW($G$3),"" ),N138),"")</f>
        <v/>
      </c>
      <c r="P138" s="127" t="str">
        <f t="array" ref="P138">IFERROR(SMALL($G$4:$G$253,E138),"")</f>
        <v/>
      </c>
      <c r="Q138" s="127" t="str">
        <f t="shared" si="41"/>
        <v/>
      </c>
      <c r="R138" s="126" t="str">
        <f t="shared" si="42"/>
        <v/>
      </c>
      <c r="S138" s="126" t="str">
        <f t="shared" si="35"/>
        <v/>
      </c>
      <c r="T138" s="128" t="str">
        <f>IF(OR(S138="R",S138=""),"",COUNTIFS($P$4:P138,P138,$S$4:S138,"S")*U138)</f>
        <v/>
      </c>
      <c r="U138" s="128" t="str">
        <f>IF(ISNUMBER(N138),IF($C$11=TRUE,IF(OR(ISODD(COUNTIF($N$4:N138,1)),Y138="Yes"),1,-1),1),"")</f>
        <v/>
      </c>
      <c r="V138" s="128" t="str">
        <f ca="1">IFERROR(IF(AND(S138="R",W138&lt;&gt;""),1,IF(S138="R",MAX(OFFSET(V137,0,0,-1*(ROW(W138)-3-MATCH(MAX($W$4:W137),$W$4:W137,0)),1))+1,"")),"")</f>
        <v/>
      </c>
      <c r="W138" s="129" t="str">
        <f>IFERROR(IF(AND(S138="R", P138&gt;MAX($X$3:X137)),P138,""),"")</f>
        <v/>
      </c>
      <c r="X138" s="129" t="str">
        <f>IFERROR(IF(AND(W138="",Q138&gt;=MAX($X$3:X137)),IF(S138="R",Q138,IF(AND(W138="",P138&lt;=MAX($X$3:X137)),MAX($X$3:X137),"")),IF(W138&lt;&gt;"", Q138,"")),"")</f>
        <v/>
      </c>
      <c r="Y138" s="126" t="str">
        <f>IF(S138="S",IF(OR(P138&lt;=MAX($X$3:X137),P138&gt;=IF(MIN(W$53:$W139)&lt;1,99999999,MIN(W$53:$W139))),"Yes","No"),"")</f>
        <v/>
      </c>
      <c r="AA138" s="130" t="str">
        <f t="shared" si="36"/>
        <v/>
      </c>
      <c r="AB138" s="131" t="str">
        <f t="array" ref="AB138">IF(AA138&lt;=$AA$2,MIN(IF($L$4:$L$503&lt;=AB137,99999999999,$L$4:$L$503)),"")</f>
        <v/>
      </c>
      <c r="AC138" s="130" t="str">
        <f>IF(ISNUMBER(AA138),IF(Dashboard!$H$6&lt;&gt;"Horizontal",AC137+dateDistance,AC137),"")</f>
        <v/>
      </c>
      <c r="AD138" s="130" t="str">
        <f>IF(ISNUMBER(AA138),IF(Dashboard!$H$6="Horizontal",AD137+dateDistance,AD137),"")</f>
        <v/>
      </c>
      <c r="AE138" s="132" t="str">
        <f>IF(ISNUMBER(P138), IF(Dashboard!$H$6="Horizontal",IF(S138="S",INDEX($AC$4:$AC$503,MATCH(P138,$AB$4:$AB$503,0),1)+boxDistance*(T138+IF(Y138="No",IF(ISODD(T138),IF(T138&gt;0,1,-1),0),0))*IF(Y138="No",IF(ISODD(T138),0.5,-0.5),1),timelineStartRow - boxDistance * V138),IF( S138="S",INDEX($AC$4:$AC$503,MATCH(P138,$AB$4:$AB$503,0),1),INDEX($AC$4:$AC$503,MATCH(P138,$AB$4:$AB$503,0),1)&amp;"-"&amp;INDEX($AC$4:$AC$503,MATCH(Q138,$AB$4:$AB$503,0),1))),"")</f>
        <v/>
      </c>
      <c r="AF138" s="132" t="str">
        <f>IF(ISNUMBER(P138), IF(Dashboard!$H$6&lt;&gt;"Horizontal",IF(S138="S",INDEX($AD$4:$AD$503,MATCH(P138,$AB$4:$AB$503,0),1)+boxDistance*(T138+IF(Y138="No",IF(ISODD(T138),IF(T138&gt;0,1,-1),0),0))*IF(Y138="No",IF(ISODD(T138),0.5,-0.5),1),timelineStartColumn-boxDistance * IF(AND(ISNUMBER(V138),V138&gt;1),V138*0.85,1)   ),IF( S138="S",INDEX($AD$4:$AD$503,MATCH(P138,$AB$4:$AB$503,0),1),INDEX($AD$4:$AD$503,MATCH(P138,$AB$4:$AB$503,0),1)&amp;"-"&amp;INDEX($AD$4:$AD$503,MATCH(Q138,$AB$4:$AB$503,0),1))),"")</f>
        <v/>
      </c>
      <c r="AG138" s="133" t="str">
        <f t="shared" si="43"/>
        <v/>
      </c>
      <c r="AH138" s="134" t="str">
        <f t="shared" si="37"/>
        <v/>
      </c>
      <c r="AI138" s="135" t="str">
        <f t="shared" si="38"/>
        <v/>
      </c>
      <c r="AJ138" s="135" t="str">
        <f t="shared" si="44"/>
        <v/>
      </c>
      <c r="AK138" s="126" t="str">
        <f t="shared" si="45"/>
        <v/>
      </c>
      <c r="AL138" s="126" t="str">
        <f ca="1">IFERROR(IF(AK138="","", MATCH(AK138,OFFSET(Icons!$B$5,1,AM138-3,20,1),0)+5),"")</f>
        <v/>
      </c>
      <c r="AM138" s="126" t="str">
        <f t="shared" si="46"/>
        <v/>
      </c>
      <c r="AN138" s="90"/>
    </row>
    <row r="139" spans="5:40" ht="15" customHeight="1" x14ac:dyDescent="0.25">
      <c r="E139" s="126">
        <v>136</v>
      </c>
      <c r="F139" s="126"/>
      <c r="G139" s="127"/>
      <c r="H139" s="127"/>
      <c r="I139" s="126"/>
      <c r="K139" s="137" t="str">
        <f t="shared" si="39"/>
        <v/>
      </c>
      <c r="L139" s="127" t="str">
        <f t="shared" si="34"/>
        <v/>
      </c>
      <c r="N139" s="128" t="str">
        <f t="shared" si="40"/>
        <v/>
      </c>
      <c r="O139" s="126" t="str">
        <f t="array" ref="O139">IFERROR(SMALL(IF(($G$4:$G$253=P139),ROW($G$4:$G$253)-ROW($G$3),"" ),N139),"")</f>
        <v/>
      </c>
      <c r="P139" s="127" t="str">
        <f t="array" ref="P139">IFERROR(SMALL($G$4:$G$253,E139),"")</f>
        <v/>
      </c>
      <c r="Q139" s="127" t="str">
        <f t="shared" si="41"/>
        <v/>
      </c>
      <c r="R139" s="126" t="str">
        <f t="shared" si="42"/>
        <v/>
      </c>
      <c r="S139" s="126" t="str">
        <f t="shared" si="35"/>
        <v/>
      </c>
      <c r="T139" s="128" t="str">
        <f>IF(OR(S139="R",S139=""),"",COUNTIFS($P$4:P139,P139,$S$4:S139,"S")*U139)</f>
        <v/>
      </c>
      <c r="U139" s="128" t="str">
        <f>IF(ISNUMBER(N139),IF($C$11=TRUE,IF(OR(ISODD(COUNTIF($N$4:N139,1)),Y139="Yes"),1,-1),1),"")</f>
        <v/>
      </c>
      <c r="V139" s="128" t="str">
        <f ca="1">IFERROR(IF(AND(S139="R",W139&lt;&gt;""),1,IF(S139="R",MAX(OFFSET(V138,0,0,-1*(ROW(W139)-3-MATCH(MAX($W$4:W138),$W$4:W138,0)),1))+1,"")),"")</f>
        <v/>
      </c>
      <c r="W139" s="129" t="str">
        <f>IFERROR(IF(AND(S139="R", P139&gt;MAX($X$3:X138)),P139,""),"")</f>
        <v/>
      </c>
      <c r="X139" s="129" t="str">
        <f>IFERROR(IF(AND(W139="",Q139&gt;=MAX($X$3:X138)),IF(S139="R",Q139,IF(AND(W139="",P139&lt;=MAX($X$3:X138)),MAX($X$3:X138),"")),IF(W139&lt;&gt;"", Q139,"")),"")</f>
        <v/>
      </c>
      <c r="Y139" s="126" t="str">
        <f>IF(S139="S",IF(OR(P139&lt;=MAX($X$3:X138),P139&gt;=IF(MIN(W$53:$W140)&lt;1,99999999,MIN(W$53:$W140))),"Yes","No"),"")</f>
        <v/>
      </c>
      <c r="AA139" s="130" t="str">
        <f t="shared" si="36"/>
        <v/>
      </c>
      <c r="AB139" s="131" t="str">
        <f t="array" ref="AB139">IF(AA139&lt;=$AA$2,MIN(IF($L$4:$L$503&lt;=AB138,99999999999,$L$4:$L$503)),"")</f>
        <v/>
      </c>
      <c r="AC139" s="130" t="str">
        <f>IF(ISNUMBER(AA139),IF(Dashboard!$H$6&lt;&gt;"Horizontal",AC138+dateDistance,AC138),"")</f>
        <v/>
      </c>
      <c r="AD139" s="130" t="str">
        <f>IF(ISNUMBER(AA139),IF(Dashboard!$H$6="Horizontal",AD138+dateDistance,AD138),"")</f>
        <v/>
      </c>
      <c r="AE139" s="132" t="str">
        <f>IF(ISNUMBER(P139), IF(Dashboard!$H$6="Horizontal",IF(S139="S",INDEX($AC$4:$AC$503,MATCH(P139,$AB$4:$AB$503,0),1)+boxDistance*(T139+IF(Y139="No",IF(ISODD(T139),IF(T139&gt;0,1,-1),0),0))*IF(Y139="No",IF(ISODD(T139),0.5,-0.5),1),timelineStartRow - boxDistance * V139),IF( S139="S",INDEX($AC$4:$AC$503,MATCH(P139,$AB$4:$AB$503,0),1),INDEX($AC$4:$AC$503,MATCH(P139,$AB$4:$AB$503,0),1)&amp;"-"&amp;INDEX($AC$4:$AC$503,MATCH(Q139,$AB$4:$AB$503,0),1))),"")</f>
        <v/>
      </c>
      <c r="AF139" s="132" t="str">
        <f>IF(ISNUMBER(P139), IF(Dashboard!$H$6&lt;&gt;"Horizontal",IF(S139="S",INDEX($AD$4:$AD$503,MATCH(P139,$AB$4:$AB$503,0),1)+boxDistance*(T139+IF(Y139="No",IF(ISODD(T139),IF(T139&gt;0,1,-1),0),0))*IF(Y139="No",IF(ISODD(T139),0.5,-0.5),1),timelineStartColumn-boxDistance * IF(AND(ISNUMBER(V139),V139&gt;1),V139*0.85,1)   ),IF( S139="S",INDEX($AD$4:$AD$503,MATCH(P139,$AB$4:$AB$503,0),1),INDEX($AD$4:$AD$503,MATCH(P139,$AB$4:$AB$503,0),1)&amp;"-"&amp;INDEX($AD$4:$AD$503,MATCH(Q139,$AB$4:$AB$503,0),1))),"")</f>
        <v/>
      </c>
      <c r="AG139" s="133" t="str">
        <f t="shared" si="43"/>
        <v/>
      </c>
      <c r="AH139" s="134" t="str">
        <f t="shared" si="37"/>
        <v/>
      </c>
      <c r="AI139" s="135" t="str">
        <f t="shared" si="38"/>
        <v/>
      </c>
      <c r="AJ139" s="135" t="str">
        <f t="shared" si="44"/>
        <v/>
      </c>
      <c r="AK139" s="126" t="str">
        <f t="shared" si="45"/>
        <v/>
      </c>
      <c r="AL139" s="126" t="str">
        <f ca="1">IFERROR(IF(AK139="","", MATCH(AK139,OFFSET(Icons!$B$5,1,AM139-3,20,1),0)+5),"")</f>
        <v/>
      </c>
      <c r="AM139" s="126" t="str">
        <f t="shared" si="46"/>
        <v/>
      </c>
      <c r="AN139" s="90"/>
    </row>
    <row r="140" spans="5:40" ht="15" customHeight="1" x14ac:dyDescent="0.25">
      <c r="E140" s="126">
        <v>137</v>
      </c>
      <c r="F140" s="126"/>
      <c r="G140" s="127"/>
      <c r="H140" s="127"/>
      <c r="I140" s="126"/>
      <c r="K140" s="137" t="str">
        <f t="shared" si="39"/>
        <v/>
      </c>
      <c r="L140" s="127" t="str">
        <f t="shared" si="34"/>
        <v/>
      </c>
      <c r="N140" s="128" t="str">
        <f t="shared" si="40"/>
        <v/>
      </c>
      <c r="O140" s="126" t="str">
        <f t="array" ref="O140">IFERROR(SMALL(IF(($G$4:$G$253=P140),ROW($G$4:$G$253)-ROW($G$3),"" ),N140),"")</f>
        <v/>
      </c>
      <c r="P140" s="127" t="str">
        <f t="array" ref="P140">IFERROR(SMALL($G$4:$G$253,E140),"")</f>
        <v/>
      </c>
      <c r="Q140" s="127" t="str">
        <f t="shared" si="41"/>
        <v/>
      </c>
      <c r="R140" s="126" t="str">
        <f t="shared" si="42"/>
        <v/>
      </c>
      <c r="S140" s="126" t="str">
        <f t="shared" si="35"/>
        <v/>
      </c>
      <c r="T140" s="128" t="str">
        <f>IF(OR(S140="R",S140=""),"",COUNTIFS($P$4:P140,P140,$S$4:S140,"S")*U140)</f>
        <v/>
      </c>
      <c r="U140" s="128" t="str">
        <f>IF(ISNUMBER(N140),IF($C$11=TRUE,IF(OR(ISODD(COUNTIF($N$4:N140,1)),Y140="Yes"),1,-1),1),"")</f>
        <v/>
      </c>
      <c r="V140" s="128" t="str">
        <f ca="1">IFERROR(IF(AND(S140="R",W140&lt;&gt;""),1,IF(S140="R",MAX(OFFSET(V139,0,0,-1*(ROW(W140)-3-MATCH(MAX($W$4:W139),$W$4:W139,0)),1))+1,"")),"")</f>
        <v/>
      </c>
      <c r="W140" s="129" t="str">
        <f>IFERROR(IF(AND(S140="R", P140&gt;MAX($X$3:X139)),P140,""),"")</f>
        <v/>
      </c>
      <c r="X140" s="129" t="str">
        <f>IFERROR(IF(AND(W140="",Q140&gt;=MAX($X$3:X139)),IF(S140="R",Q140,IF(AND(W140="",P140&lt;=MAX($X$3:X139)),MAX($X$3:X139),"")),IF(W140&lt;&gt;"", Q140,"")),"")</f>
        <v/>
      </c>
      <c r="Y140" s="126" t="str">
        <f>IF(S140="S",IF(OR(P140&lt;=MAX($X$3:X139),P140&gt;=IF(MIN(W$53:$W141)&lt;1,99999999,MIN(W$53:$W141))),"Yes","No"),"")</f>
        <v/>
      </c>
      <c r="AA140" s="130" t="str">
        <f t="shared" si="36"/>
        <v/>
      </c>
      <c r="AB140" s="131" t="str">
        <f t="array" ref="AB140">IF(AA140&lt;=$AA$2,MIN(IF($L$4:$L$503&lt;=AB139,99999999999,$L$4:$L$503)),"")</f>
        <v/>
      </c>
      <c r="AC140" s="130" t="str">
        <f>IF(ISNUMBER(AA140),IF(Dashboard!$H$6&lt;&gt;"Horizontal",AC139+dateDistance,AC139),"")</f>
        <v/>
      </c>
      <c r="AD140" s="130" t="str">
        <f>IF(ISNUMBER(AA140),IF(Dashboard!$H$6="Horizontal",AD139+dateDistance,AD139),"")</f>
        <v/>
      </c>
      <c r="AE140" s="132" t="str">
        <f>IF(ISNUMBER(P140), IF(Dashboard!$H$6="Horizontal",IF(S140="S",INDEX($AC$4:$AC$503,MATCH(P140,$AB$4:$AB$503,0),1)+boxDistance*(T140+IF(Y140="No",IF(ISODD(T140),IF(T140&gt;0,1,-1),0),0))*IF(Y140="No",IF(ISODD(T140),0.5,-0.5),1),timelineStartRow - boxDistance * V140),IF( S140="S",INDEX($AC$4:$AC$503,MATCH(P140,$AB$4:$AB$503,0),1),INDEX($AC$4:$AC$503,MATCH(P140,$AB$4:$AB$503,0),1)&amp;"-"&amp;INDEX($AC$4:$AC$503,MATCH(Q140,$AB$4:$AB$503,0),1))),"")</f>
        <v/>
      </c>
      <c r="AF140" s="132" t="str">
        <f>IF(ISNUMBER(P140), IF(Dashboard!$H$6&lt;&gt;"Horizontal",IF(S140="S",INDEX($AD$4:$AD$503,MATCH(P140,$AB$4:$AB$503,0),1)+boxDistance*(T140+IF(Y140="No",IF(ISODD(T140),IF(T140&gt;0,1,-1),0),0))*IF(Y140="No",IF(ISODD(T140),0.5,-0.5),1),timelineStartColumn-boxDistance * IF(AND(ISNUMBER(V140),V140&gt;1),V140*0.85,1)   ),IF( S140="S",INDEX($AD$4:$AD$503,MATCH(P140,$AB$4:$AB$503,0),1),INDEX($AD$4:$AD$503,MATCH(P140,$AB$4:$AB$503,0),1)&amp;"-"&amp;INDEX($AD$4:$AD$503,MATCH(Q140,$AB$4:$AB$503,0),1))),"")</f>
        <v/>
      </c>
      <c r="AG140" s="133" t="str">
        <f t="shared" si="43"/>
        <v/>
      </c>
      <c r="AH140" s="134" t="str">
        <f t="shared" si="37"/>
        <v/>
      </c>
      <c r="AI140" s="135" t="str">
        <f t="shared" si="38"/>
        <v/>
      </c>
      <c r="AJ140" s="135" t="str">
        <f t="shared" si="44"/>
        <v/>
      </c>
      <c r="AK140" s="126" t="str">
        <f t="shared" si="45"/>
        <v/>
      </c>
      <c r="AL140" s="126" t="str">
        <f ca="1">IFERROR(IF(AK140="","", MATCH(AK140,OFFSET(Icons!$B$5,1,AM140-3,20,1),0)+5),"")</f>
        <v/>
      </c>
      <c r="AM140" s="126" t="str">
        <f t="shared" si="46"/>
        <v/>
      </c>
      <c r="AN140" s="90"/>
    </row>
    <row r="141" spans="5:40" ht="15" customHeight="1" x14ac:dyDescent="0.25">
      <c r="E141" s="126">
        <v>138</v>
      </c>
      <c r="F141" s="126"/>
      <c r="G141" s="127"/>
      <c r="H141" s="127"/>
      <c r="I141" s="126"/>
      <c r="K141" s="137" t="str">
        <f t="shared" si="39"/>
        <v/>
      </c>
      <c r="L141" s="127" t="str">
        <f t="shared" si="34"/>
        <v/>
      </c>
      <c r="N141" s="128" t="str">
        <f t="shared" si="40"/>
        <v/>
      </c>
      <c r="O141" s="126" t="str">
        <f t="array" ref="O141">IFERROR(SMALL(IF(($G$4:$G$253=P141),ROW($G$4:$G$253)-ROW($G$3),"" ),N141),"")</f>
        <v/>
      </c>
      <c r="P141" s="127" t="str">
        <f t="array" ref="P141">IFERROR(SMALL($G$4:$G$253,E141),"")</f>
        <v/>
      </c>
      <c r="Q141" s="127" t="str">
        <f t="shared" si="41"/>
        <v/>
      </c>
      <c r="R141" s="126" t="str">
        <f t="shared" si="42"/>
        <v/>
      </c>
      <c r="S141" s="126" t="str">
        <f t="shared" si="35"/>
        <v/>
      </c>
      <c r="T141" s="128" t="str">
        <f>IF(OR(S141="R",S141=""),"",COUNTIFS($P$4:P141,P141,$S$4:S141,"S")*U141)</f>
        <v/>
      </c>
      <c r="U141" s="128" t="str">
        <f>IF(ISNUMBER(N141),IF($C$11=TRUE,IF(OR(ISODD(COUNTIF($N$4:N141,1)),Y141="Yes"),1,-1),1),"")</f>
        <v/>
      </c>
      <c r="V141" s="128" t="str">
        <f ca="1">IFERROR(IF(AND(S141="R",W141&lt;&gt;""),1,IF(S141="R",MAX(OFFSET(V140,0,0,-1*(ROW(W141)-3-MATCH(MAX($W$4:W140),$W$4:W140,0)),1))+1,"")),"")</f>
        <v/>
      </c>
      <c r="W141" s="129" t="str">
        <f>IFERROR(IF(AND(S141="R", P141&gt;MAX($X$3:X140)),P141,""),"")</f>
        <v/>
      </c>
      <c r="X141" s="129" t="str">
        <f>IFERROR(IF(AND(W141="",Q141&gt;=MAX($X$3:X140)),IF(S141="R",Q141,IF(AND(W141="",P141&lt;=MAX($X$3:X140)),MAX($X$3:X140),"")),IF(W141&lt;&gt;"", Q141,"")),"")</f>
        <v/>
      </c>
      <c r="Y141" s="126" t="str">
        <f>IF(S141="S",IF(OR(P141&lt;=MAX($X$3:X140),P141&gt;=IF(MIN(W$53:$W142)&lt;1,99999999,MIN(W$53:$W142))),"Yes","No"),"")</f>
        <v/>
      </c>
      <c r="AA141" s="130" t="str">
        <f t="shared" si="36"/>
        <v/>
      </c>
      <c r="AB141" s="131" t="str">
        <f t="array" ref="AB141">IF(AA141&lt;=$AA$2,MIN(IF($L$4:$L$503&lt;=AB140,99999999999,$L$4:$L$503)),"")</f>
        <v/>
      </c>
      <c r="AC141" s="130" t="str">
        <f>IF(ISNUMBER(AA141),IF(Dashboard!$H$6&lt;&gt;"Horizontal",AC140+dateDistance,AC140),"")</f>
        <v/>
      </c>
      <c r="AD141" s="130" t="str">
        <f>IF(ISNUMBER(AA141),IF(Dashboard!$H$6="Horizontal",AD140+dateDistance,AD140),"")</f>
        <v/>
      </c>
      <c r="AE141" s="132" t="str">
        <f>IF(ISNUMBER(P141), IF(Dashboard!$H$6="Horizontal",IF(S141="S",INDEX($AC$4:$AC$503,MATCH(P141,$AB$4:$AB$503,0),1)+boxDistance*(T141+IF(Y141="No",IF(ISODD(T141),IF(T141&gt;0,1,-1),0),0))*IF(Y141="No",IF(ISODD(T141),0.5,-0.5),1),timelineStartRow - boxDistance * V141),IF( S141="S",INDEX($AC$4:$AC$503,MATCH(P141,$AB$4:$AB$503,0),1),INDEX($AC$4:$AC$503,MATCH(P141,$AB$4:$AB$503,0),1)&amp;"-"&amp;INDEX($AC$4:$AC$503,MATCH(Q141,$AB$4:$AB$503,0),1))),"")</f>
        <v/>
      </c>
      <c r="AF141" s="132" t="str">
        <f>IF(ISNUMBER(P141), IF(Dashboard!$H$6&lt;&gt;"Horizontal",IF(S141="S",INDEX($AD$4:$AD$503,MATCH(P141,$AB$4:$AB$503,0),1)+boxDistance*(T141+IF(Y141="No",IF(ISODD(T141),IF(T141&gt;0,1,-1),0),0))*IF(Y141="No",IF(ISODD(T141),0.5,-0.5),1),timelineStartColumn-boxDistance * IF(AND(ISNUMBER(V141),V141&gt;1),V141*0.85,1)   ),IF( S141="S",INDEX($AD$4:$AD$503,MATCH(P141,$AB$4:$AB$503,0),1),INDEX($AD$4:$AD$503,MATCH(P141,$AB$4:$AB$503,0),1)&amp;"-"&amp;INDEX($AD$4:$AD$503,MATCH(Q141,$AB$4:$AB$503,0),1))),"")</f>
        <v/>
      </c>
      <c r="AG141" s="133" t="str">
        <f t="shared" si="43"/>
        <v/>
      </c>
      <c r="AH141" s="134" t="str">
        <f t="shared" si="37"/>
        <v/>
      </c>
      <c r="AI141" s="135" t="str">
        <f t="shared" si="38"/>
        <v/>
      </c>
      <c r="AJ141" s="135" t="str">
        <f t="shared" si="44"/>
        <v/>
      </c>
      <c r="AK141" s="126" t="str">
        <f t="shared" si="45"/>
        <v/>
      </c>
      <c r="AL141" s="126" t="str">
        <f ca="1">IFERROR(IF(AK141="","", MATCH(AK141,OFFSET(Icons!$B$5,1,AM141-3,20,1),0)+5),"")</f>
        <v/>
      </c>
      <c r="AM141" s="126" t="str">
        <f t="shared" si="46"/>
        <v/>
      </c>
      <c r="AN141" s="90"/>
    </row>
    <row r="142" spans="5:40" ht="15" customHeight="1" x14ac:dyDescent="0.25">
      <c r="E142" s="126">
        <v>139</v>
      </c>
      <c r="F142" s="126"/>
      <c r="G142" s="127"/>
      <c r="H142" s="127"/>
      <c r="I142" s="126"/>
      <c r="K142" s="137" t="str">
        <f t="shared" si="39"/>
        <v/>
      </c>
      <c r="L142" s="127" t="str">
        <f t="shared" si="34"/>
        <v/>
      </c>
      <c r="N142" s="128" t="str">
        <f t="shared" si="40"/>
        <v/>
      </c>
      <c r="O142" s="126" t="str">
        <f t="array" ref="O142">IFERROR(SMALL(IF(($G$4:$G$253=P142),ROW($G$4:$G$253)-ROW($G$3),"" ),N142),"")</f>
        <v/>
      </c>
      <c r="P142" s="127" t="str">
        <f t="array" ref="P142">IFERROR(SMALL($G$4:$G$253,E142),"")</f>
        <v/>
      </c>
      <c r="Q142" s="127" t="str">
        <f t="shared" si="41"/>
        <v/>
      </c>
      <c r="R142" s="126" t="str">
        <f t="shared" si="42"/>
        <v/>
      </c>
      <c r="S142" s="126" t="str">
        <f t="shared" si="35"/>
        <v/>
      </c>
      <c r="T142" s="128" t="str">
        <f>IF(OR(S142="R",S142=""),"",COUNTIFS($P$4:P142,P142,$S$4:S142,"S")*U142)</f>
        <v/>
      </c>
      <c r="U142" s="128" t="str">
        <f>IF(ISNUMBER(N142),IF($C$11=TRUE,IF(OR(ISODD(COUNTIF($N$4:N142,1)),Y142="Yes"),1,-1),1),"")</f>
        <v/>
      </c>
      <c r="V142" s="128" t="str">
        <f ca="1">IFERROR(IF(AND(S142="R",W142&lt;&gt;""),1,IF(S142="R",MAX(OFFSET(V141,0,0,-1*(ROW(W142)-3-MATCH(MAX($W$4:W141),$W$4:W141,0)),1))+1,"")),"")</f>
        <v/>
      </c>
      <c r="W142" s="129" t="str">
        <f>IFERROR(IF(AND(S142="R", P142&gt;MAX($X$3:X141)),P142,""),"")</f>
        <v/>
      </c>
      <c r="X142" s="129" t="str">
        <f>IFERROR(IF(AND(W142="",Q142&gt;=MAX($X$3:X141)),IF(S142="R",Q142,IF(AND(W142="",P142&lt;=MAX($X$3:X141)),MAX($X$3:X141),"")),IF(W142&lt;&gt;"", Q142,"")),"")</f>
        <v/>
      </c>
      <c r="Y142" s="126" t="str">
        <f>IF(S142="S",IF(OR(P142&lt;=MAX($X$3:X141),P142&gt;=IF(MIN(W$53:$W143)&lt;1,99999999,MIN(W$53:$W143))),"Yes","No"),"")</f>
        <v/>
      </c>
      <c r="AA142" s="130" t="str">
        <f t="shared" si="36"/>
        <v/>
      </c>
      <c r="AB142" s="131" t="str">
        <f t="array" ref="AB142">IF(AA142&lt;=$AA$2,MIN(IF($L$4:$L$503&lt;=AB141,99999999999,$L$4:$L$503)),"")</f>
        <v/>
      </c>
      <c r="AC142" s="130" t="str">
        <f>IF(ISNUMBER(AA142),IF(Dashboard!$H$6&lt;&gt;"Horizontal",AC141+dateDistance,AC141),"")</f>
        <v/>
      </c>
      <c r="AD142" s="130" t="str">
        <f>IF(ISNUMBER(AA142),IF(Dashboard!$H$6="Horizontal",AD141+dateDistance,AD141),"")</f>
        <v/>
      </c>
      <c r="AE142" s="132" t="str">
        <f>IF(ISNUMBER(P142), IF(Dashboard!$H$6="Horizontal",IF(S142="S",INDEX($AC$4:$AC$503,MATCH(P142,$AB$4:$AB$503,0),1)+boxDistance*(T142+IF(Y142="No",IF(ISODD(T142),IF(T142&gt;0,1,-1),0),0))*IF(Y142="No",IF(ISODD(T142),0.5,-0.5),1),timelineStartRow - boxDistance * V142),IF( S142="S",INDEX($AC$4:$AC$503,MATCH(P142,$AB$4:$AB$503,0),1),INDEX($AC$4:$AC$503,MATCH(P142,$AB$4:$AB$503,0),1)&amp;"-"&amp;INDEX($AC$4:$AC$503,MATCH(Q142,$AB$4:$AB$503,0),1))),"")</f>
        <v/>
      </c>
      <c r="AF142" s="132" t="str">
        <f>IF(ISNUMBER(P142), IF(Dashboard!$H$6&lt;&gt;"Horizontal",IF(S142="S",INDEX($AD$4:$AD$503,MATCH(P142,$AB$4:$AB$503,0),1)+boxDistance*(T142+IF(Y142="No",IF(ISODD(T142),IF(T142&gt;0,1,-1),0),0))*IF(Y142="No",IF(ISODD(T142),0.5,-0.5),1),timelineStartColumn-boxDistance * IF(AND(ISNUMBER(V142),V142&gt;1),V142*0.85,1)   ),IF( S142="S",INDEX($AD$4:$AD$503,MATCH(P142,$AB$4:$AB$503,0),1),INDEX($AD$4:$AD$503,MATCH(P142,$AB$4:$AB$503,0),1)&amp;"-"&amp;INDEX($AD$4:$AD$503,MATCH(Q142,$AB$4:$AB$503,0),1))),"")</f>
        <v/>
      </c>
      <c r="AG142" s="133" t="str">
        <f t="shared" si="43"/>
        <v/>
      </c>
      <c r="AH142" s="134" t="str">
        <f t="shared" si="37"/>
        <v/>
      </c>
      <c r="AI142" s="135" t="str">
        <f t="shared" si="38"/>
        <v/>
      </c>
      <c r="AJ142" s="135" t="str">
        <f t="shared" si="44"/>
        <v/>
      </c>
      <c r="AK142" s="126" t="str">
        <f t="shared" si="45"/>
        <v/>
      </c>
      <c r="AL142" s="126" t="str">
        <f ca="1">IFERROR(IF(AK142="","", MATCH(AK142,OFFSET(Icons!$B$5,1,AM142-3,20,1),0)+5),"")</f>
        <v/>
      </c>
      <c r="AM142" s="126" t="str">
        <f t="shared" si="46"/>
        <v/>
      </c>
      <c r="AN142" s="90"/>
    </row>
    <row r="143" spans="5:40" ht="15" customHeight="1" x14ac:dyDescent="0.25">
      <c r="E143" s="126">
        <v>140</v>
      </c>
      <c r="F143" s="126"/>
      <c r="G143" s="127"/>
      <c r="H143" s="127"/>
      <c r="I143" s="126"/>
      <c r="K143" s="137" t="str">
        <f t="shared" si="39"/>
        <v/>
      </c>
      <c r="L143" s="127" t="str">
        <f t="shared" si="34"/>
        <v/>
      </c>
      <c r="N143" s="128" t="str">
        <f t="shared" si="40"/>
        <v/>
      </c>
      <c r="O143" s="126" t="str">
        <f t="array" ref="O143">IFERROR(SMALL(IF(($G$4:$G$253=P143),ROW($G$4:$G$253)-ROW($G$3),"" ),N143),"")</f>
        <v/>
      </c>
      <c r="P143" s="127" t="str">
        <f t="array" ref="P143">IFERROR(SMALL($G$4:$G$253,E143),"")</f>
        <v/>
      </c>
      <c r="Q143" s="127" t="str">
        <f t="shared" si="41"/>
        <v/>
      </c>
      <c r="R143" s="126" t="str">
        <f t="shared" si="42"/>
        <v/>
      </c>
      <c r="S143" s="126" t="str">
        <f t="shared" si="35"/>
        <v/>
      </c>
      <c r="T143" s="128" t="str">
        <f>IF(OR(S143="R",S143=""),"",COUNTIFS($P$4:P143,P143,$S$4:S143,"S")*U143)</f>
        <v/>
      </c>
      <c r="U143" s="128" t="str">
        <f>IF(ISNUMBER(N143),IF($C$11=TRUE,IF(OR(ISODD(COUNTIF($N$4:N143,1)),Y143="Yes"),1,-1),1),"")</f>
        <v/>
      </c>
      <c r="V143" s="128" t="str">
        <f ca="1">IFERROR(IF(AND(S143="R",W143&lt;&gt;""),1,IF(S143="R",MAX(OFFSET(V142,0,0,-1*(ROW(W143)-3-MATCH(MAX($W$4:W142),$W$4:W142,0)),1))+1,"")),"")</f>
        <v/>
      </c>
      <c r="W143" s="129" t="str">
        <f>IFERROR(IF(AND(S143="R", P143&gt;MAX($X$3:X142)),P143,""),"")</f>
        <v/>
      </c>
      <c r="X143" s="129" t="str">
        <f>IFERROR(IF(AND(W143="",Q143&gt;=MAX($X$3:X142)),IF(S143="R",Q143,IF(AND(W143="",P143&lt;=MAX($X$3:X142)),MAX($X$3:X142),"")),IF(W143&lt;&gt;"", Q143,"")),"")</f>
        <v/>
      </c>
      <c r="Y143" s="126" t="str">
        <f>IF(S143="S",IF(OR(P143&lt;=MAX($X$3:X142),P143&gt;=IF(MIN(W$53:$W144)&lt;1,99999999,MIN(W$53:$W144))),"Yes","No"),"")</f>
        <v/>
      </c>
      <c r="AA143" s="130" t="str">
        <f t="shared" si="36"/>
        <v/>
      </c>
      <c r="AB143" s="131" t="str">
        <f t="array" ref="AB143">IF(AA143&lt;=$AA$2,MIN(IF($L$4:$L$503&lt;=AB142,99999999999,$L$4:$L$503)),"")</f>
        <v/>
      </c>
      <c r="AC143" s="130" t="str">
        <f>IF(ISNUMBER(AA143),IF(Dashboard!$H$6&lt;&gt;"Horizontal",AC142+dateDistance,AC142),"")</f>
        <v/>
      </c>
      <c r="AD143" s="130" t="str">
        <f>IF(ISNUMBER(AA143),IF(Dashboard!$H$6="Horizontal",AD142+dateDistance,AD142),"")</f>
        <v/>
      </c>
      <c r="AE143" s="132" t="str">
        <f>IF(ISNUMBER(P143), IF(Dashboard!$H$6="Horizontal",IF(S143="S",INDEX($AC$4:$AC$503,MATCH(P143,$AB$4:$AB$503,0),1)+boxDistance*(T143+IF(Y143="No",IF(ISODD(T143),IF(T143&gt;0,1,-1),0),0))*IF(Y143="No",IF(ISODD(T143),0.5,-0.5),1),timelineStartRow - boxDistance * V143),IF( S143="S",INDEX($AC$4:$AC$503,MATCH(P143,$AB$4:$AB$503,0),1),INDEX($AC$4:$AC$503,MATCH(P143,$AB$4:$AB$503,0),1)&amp;"-"&amp;INDEX($AC$4:$AC$503,MATCH(Q143,$AB$4:$AB$503,0),1))),"")</f>
        <v/>
      </c>
      <c r="AF143" s="132" t="str">
        <f>IF(ISNUMBER(P143), IF(Dashboard!$H$6&lt;&gt;"Horizontal",IF(S143="S",INDEX($AD$4:$AD$503,MATCH(P143,$AB$4:$AB$503,0),1)+boxDistance*(T143+IF(Y143="No",IF(ISODD(T143),IF(T143&gt;0,1,-1),0),0))*IF(Y143="No",IF(ISODD(T143),0.5,-0.5),1),timelineStartColumn-boxDistance * IF(AND(ISNUMBER(V143),V143&gt;1),V143*0.85,1)   ),IF( S143="S",INDEX($AD$4:$AD$503,MATCH(P143,$AB$4:$AB$503,0),1),INDEX($AD$4:$AD$503,MATCH(P143,$AB$4:$AB$503,0),1)&amp;"-"&amp;INDEX($AD$4:$AD$503,MATCH(Q143,$AB$4:$AB$503,0),1))),"")</f>
        <v/>
      </c>
      <c r="AG143" s="133" t="str">
        <f t="shared" si="43"/>
        <v/>
      </c>
      <c r="AH143" s="134" t="str">
        <f t="shared" si="37"/>
        <v/>
      </c>
      <c r="AI143" s="135" t="str">
        <f t="shared" si="38"/>
        <v/>
      </c>
      <c r="AJ143" s="135" t="str">
        <f t="shared" si="44"/>
        <v/>
      </c>
      <c r="AK143" s="126" t="str">
        <f t="shared" si="45"/>
        <v/>
      </c>
      <c r="AL143" s="126" t="str">
        <f ca="1">IFERROR(IF(AK143="","", MATCH(AK143,OFFSET(Icons!$B$5,1,AM143-3,20,1),0)+5),"")</f>
        <v/>
      </c>
      <c r="AM143" s="126" t="str">
        <f t="shared" si="46"/>
        <v/>
      </c>
      <c r="AN143" s="90"/>
    </row>
    <row r="144" spans="5:40" ht="15" customHeight="1" x14ac:dyDescent="0.25">
      <c r="E144" s="126">
        <v>141</v>
      </c>
      <c r="F144" s="126"/>
      <c r="G144" s="127"/>
      <c r="H144" s="127"/>
      <c r="I144" s="126"/>
      <c r="K144" s="137" t="str">
        <f t="shared" si="39"/>
        <v/>
      </c>
      <c r="L144" s="127" t="str">
        <f t="shared" si="34"/>
        <v/>
      </c>
      <c r="N144" s="128" t="str">
        <f t="shared" si="40"/>
        <v/>
      </c>
      <c r="O144" s="126" t="str">
        <f t="array" ref="O144">IFERROR(SMALL(IF(($G$4:$G$253=P144),ROW($G$4:$G$253)-ROW($G$3),"" ),N144),"")</f>
        <v/>
      </c>
      <c r="P144" s="127" t="str">
        <f t="array" ref="P144">IFERROR(SMALL($G$4:$G$253,E144),"")</f>
        <v/>
      </c>
      <c r="Q144" s="127" t="str">
        <f t="shared" si="41"/>
        <v/>
      </c>
      <c r="R144" s="126" t="str">
        <f t="shared" si="42"/>
        <v/>
      </c>
      <c r="S144" s="126" t="str">
        <f t="shared" si="35"/>
        <v/>
      </c>
      <c r="T144" s="128" t="str">
        <f>IF(OR(S144="R",S144=""),"",COUNTIFS($P$4:P144,P144,$S$4:S144,"S")*U144)</f>
        <v/>
      </c>
      <c r="U144" s="128" t="str">
        <f>IF(ISNUMBER(N144),IF($C$11=TRUE,IF(OR(ISODD(COUNTIF($N$4:N144,1)),Y144="Yes"),1,-1),1),"")</f>
        <v/>
      </c>
      <c r="V144" s="128" t="str">
        <f ca="1">IFERROR(IF(AND(S144="R",W144&lt;&gt;""),1,IF(S144="R",MAX(OFFSET(V143,0,0,-1*(ROW(W144)-3-MATCH(MAX($W$4:W143),$W$4:W143,0)),1))+1,"")),"")</f>
        <v/>
      </c>
      <c r="W144" s="129" t="str">
        <f>IFERROR(IF(AND(S144="R", P144&gt;MAX($X$3:X143)),P144,""),"")</f>
        <v/>
      </c>
      <c r="X144" s="129" t="str">
        <f>IFERROR(IF(AND(W144="",Q144&gt;=MAX($X$3:X143)),IF(S144="R",Q144,IF(AND(W144="",P144&lt;=MAX($X$3:X143)),MAX($X$3:X143),"")),IF(W144&lt;&gt;"", Q144,"")),"")</f>
        <v/>
      </c>
      <c r="Y144" s="126" t="str">
        <f>IF(S144="S",IF(OR(P144&lt;=MAX($X$3:X143),P144&gt;=IF(MIN(W$53:$W145)&lt;1,99999999,MIN(W$53:$W145))),"Yes","No"),"")</f>
        <v/>
      </c>
      <c r="AA144" s="130" t="str">
        <f t="shared" si="36"/>
        <v/>
      </c>
      <c r="AB144" s="131" t="str">
        <f t="array" ref="AB144">IF(AA144&lt;=$AA$2,MIN(IF($L$4:$L$503&lt;=AB143,99999999999,$L$4:$L$503)),"")</f>
        <v/>
      </c>
      <c r="AC144" s="130" t="str">
        <f>IF(ISNUMBER(AA144),IF(Dashboard!$H$6&lt;&gt;"Horizontal",AC143+dateDistance,AC143),"")</f>
        <v/>
      </c>
      <c r="AD144" s="130" t="str">
        <f>IF(ISNUMBER(AA144),IF(Dashboard!$H$6="Horizontal",AD143+dateDistance,AD143),"")</f>
        <v/>
      </c>
      <c r="AE144" s="132" t="str">
        <f>IF(ISNUMBER(P144), IF(Dashboard!$H$6="Horizontal",IF(S144="S",INDEX($AC$4:$AC$503,MATCH(P144,$AB$4:$AB$503,0),1)+boxDistance*(T144+IF(Y144="No",IF(ISODD(T144),IF(T144&gt;0,1,-1),0),0))*IF(Y144="No",IF(ISODD(T144),0.5,-0.5),1),timelineStartRow - boxDistance * V144),IF( S144="S",INDEX($AC$4:$AC$503,MATCH(P144,$AB$4:$AB$503,0),1),INDEX($AC$4:$AC$503,MATCH(P144,$AB$4:$AB$503,0),1)&amp;"-"&amp;INDEX($AC$4:$AC$503,MATCH(Q144,$AB$4:$AB$503,0),1))),"")</f>
        <v/>
      </c>
      <c r="AF144" s="132" t="str">
        <f>IF(ISNUMBER(P144), IF(Dashboard!$H$6&lt;&gt;"Horizontal",IF(S144="S",INDEX($AD$4:$AD$503,MATCH(P144,$AB$4:$AB$503,0),1)+boxDistance*(T144+IF(Y144="No",IF(ISODD(T144),IF(T144&gt;0,1,-1),0),0))*IF(Y144="No",IF(ISODD(T144),0.5,-0.5),1),timelineStartColumn-boxDistance * IF(AND(ISNUMBER(V144),V144&gt;1),V144*0.85,1)   ),IF( S144="S",INDEX($AD$4:$AD$503,MATCH(P144,$AB$4:$AB$503,0),1),INDEX($AD$4:$AD$503,MATCH(P144,$AB$4:$AB$503,0),1)&amp;"-"&amp;INDEX($AD$4:$AD$503,MATCH(Q144,$AB$4:$AB$503,0),1))),"")</f>
        <v/>
      </c>
      <c r="AG144" s="133" t="str">
        <f t="shared" si="43"/>
        <v/>
      </c>
      <c r="AH144" s="134" t="str">
        <f t="shared" si="37"/>
        <v/>
      </c>
      <c r="AI144" s="135" t="str">
        <f t="shared" si="38"/>
        <v/>
      </c>
      <c r="AJ144" s="135" t="str">
        <f t="shared" si="44"/>
        <v/>
      </c>
      <c r="AK144" s="126" t="str">
        <f t="shared" si="45"/>
        <v/>
      </c>
      <c r="AL144" s="126" t="str">
        <f ca="1">IFERROR(IF(AK144="","", MATCH(AK144,OFFSET(Icons!$B$5,1,AM144-3,20,1),0)+5),"")</f>
        <v/>
      </c>
      <c r="AM144" s="126" t="str">
        <f t="shared" si="46"/>
        <v/>
      </c>
      <c r="AN144" s="90"/>
    </row>
    <row r="145" spans="5:40" ht="15" customHeight="1" x14ac:dyDescent="0.25">
      <c r="E145" s="126">
        <v>142</v>
      </c>
      <c r="F145" s="126"/>
      <c r="G145" s="127"/>
      <c r="H145" s="127"/>
      <c r="I145" s="126"/>
      <c r="K145" s="137" t="str">
        <f t="shared" si="39"/>
        <v/>
      </c>
      <c r="L145" s="127" t="str">
        <f t="shared" si="34"/>
        <v/>
      </c>
      <c r="N145" s="128" t="str">
        <f t="shared" si="40"/>
        <v/>
      </c>
      <c r="O145" s="126" t="str">
        <f t="array" ref="O145">IFERROR(SMALL(IF(($G$4:$G$253=P145),ROW($G$4:$G$253)-ROW($G$3),"" ),N145),"")</f>
        <v/>
      </c>
      <c r="P145" s="127" t="str">
        <f t="array" ref="P145">IFERROR(SMALL($G$4:$G$253,E145),"")</f>
        <v/>
      </c>
      <c r="Q145" s="127" t="str">
        <f t="shared" si="41"/>
        <v/>
      </c>
      <c r="R145" s="126" t="str">
        <f t="shared" si="42"/>
        <v/>
      </c>
      <c r="S145" s="126" t="str">
        <f t="shared" si="35"/>
        <v/>
      </c>
      <c r="T145" s="128" t="str">
        <f>IF(OR(S145="R",S145=""),"",COUNTIFS($P$4:P145,P145,$S$4:S145,"S")*U145)</f>
        <v/>
      </c>
      <c r="U145" s="128" t="str">
        <f>IF(ISNUMBER(N145),IF($C$11=TRUE,IF(OR(ISODD(COUNTIF($N$4:N145,1)),Y145="Yes"),1,-1),1),"")</f>
        <v/>
      </c>
      <c r="V145" s="128" t="str">
        <f ca="1">IFERROR(IF(AND(S145="R",W145&lt;&gt;""),1,IF(S145="R",MAX(OFFSET(V144,0,0,-1*(ROW(W145)-3-MATCH(MAX($W$4:W144),$W$4:W144,0)),1))+1,"")),"")</f>
        <v/>
      </c>
      <c r="W145" s="129" t="str">
        <f>IFERROR(IF(AND(S145="R", P145&gt;MAX($X$3:X144)),P145,""),"")</f>
        <v/>
      </c>
      <c r="X145" s="129" t="str">
        <f>IFERROR(IF(AND(W145="",Q145&gt;=MAX($X$3:X144)),IF(S145="R",Q145,IF(AND(W145="",P145&lt;=MAX($X$3:X144)),MAX($X$3:X144),"")),IF(W145&lt;&gt;"", Q145,"")),"")</f>
        <v/>
      </c>
      <c r="Y145" s="126" t="str">
        <f>IF(S145="S",IF(OR(P145&lt;=MAX($X$3:X144),P145&gt;=IF(MIN(W$53:$W146)&lt;1,99999999,MIN(W$53:$W146))),"Yes","No"),"")</f>
        <v/>
      </c>
      <c r="AA145" s="130" t="str">
        <f t="shared" si="36"/>
        <v/>
      </c>
      <c r="AB145" s="131" t="str">
        <f t="array" ref="AB145">IF(AA145&lt;=$AA$2,MIN(IF($L$4:$L$503&lt;=AB144,99999999999,$L$4:$L$503)),"")</f>
        <v/>
      </c>
      <c r="AC145" s="130" t="str">
        <f>IF(ISNUMBER(AA145),IF(Dashboard!$H$6&lt;&gt;"Horizontal",AC144+dateDistance,AC144),"")</f>
        <v/>
      </c>
      <c r="AD145" s="130" t="str">
        <f>IF(ISNUMBER(AA145),IF(Dashboard!$H$6="Horizontal",AD144+dateDistance,AD144),"")</f>
        <v/>
      </c>
      <c r="AE145" s="132" t="str">
        <f>IF(ISNUMBER(P145), IF(Dashboard!$H$6="Horizontal",IF(S145="S",INDEX($AC$4:$AC$503,MATCH(P145,$AB$4:$AB$503,0),1)+boxDistance*(T145+IF(Y145="No",IF(ISODD(T145),IF(T145&gt;0,1,-1),0),0))*IF(Y145="No",IF(ISODD(T145),0.5,-0.5),1),timelineStartRow - boxDistance * V145),IF( S145="S",INDEX($AC$4:$AC$503,MATCH(P145,$AB$4:$AB$503,0),1),INDEX($AC$4:$AC$503,MATCH(P145,$AB$4:$AB$503,0),1)&amp;"-"&amp;INDEX($AC$4:$AC$503,MATCH(Q145,$AB$4:$AB$503,0),1))),"")</f>
        <v/>
      </c>
      <c r="AF145" s="132" t="str">
        <f>IF(ISNUMBER(P145), IF(Dashboard!$H$6&lt;&gt;"Horizontal",IF(S145="S",INDEX($AD$4:$AD$503,MATCH(P145,$AB$4:$AB$503,0),1)+boxDistance*(T145+IF(Y145="No",IF(ISODD(T145),IF(T145&gt;0,1,-1),0),0))*IF(Y145="No",IF(ISODD(T145),0.5,-0.5),1),timelineStartColumn-boxDistance * IF(AND(ISNUMBER(V145),V145&gt;1),V145*0.85,1)   ),IF( S145="S",INDEX($AD$4:$AD$503,MATCH(P145,$AB$4:$AB$503,0),1),INDEX($AD$4:$AD$503,MATCH(P145,$AB$4:$AB$503,0),1)&amp;"-"&amp;INDEX($AD$4:$AD$503,MATCH(Q145,$AB$4:$AB$503,0),1))),"")</f>
        <v/>
      </c>
      <c r="AG145" s="133" t="str">
        <f t="shared" si="43"/>
        <v/>
      </c>
      <c r="AH145" s="134" t="str">
        <f t="shared" si="37"/>
        <v/>
      </c>
      <c r="AI145" s="135" t="str">
        <f t="shared" si="38"/>
        <v/>
      </c>
      <c r="AJ145" s="135" t="str">
        <f t="shared" si="44"/>
        <v/>
      </c>
      <c r="AK145" s="126" t="str">
        <f t="shared" si="45"/>
        <v/>
      </c>
      <c r="AL145" s="126" t="str">
        <f ca="1">IFERROR(IF(AK145="","", MATCH(AK145,OFFSET(Icons!$B$5,1,AM145-3,20,1),0)+5),"")</f>
        <v/>
      </c>
      <c r="AM145" s="126" t="str">
        <f t="shared" si="46"/>
        <v/>
      </c>
      <c r="AN145" s="90"/>
    </row>
    <row r="146" spans="5:40" ht="15" customHeight="1" x14ac:dyDescent="0.25">
      <c r="E146" s="126">
        <v>143</v>
      </c>
      <c r="F146" s="126"/>
      <c r="G146" s="127"/>
      <c r="H146" s="127"/>
      <c r="I146" s="126"/>
      <c r="K146" s="137" t="str">
        <f t="shared" si="39"/>
        <v/>
      </c>
      <c r="L146" s="127" t="str">
        <f t="shared" si="34"/>
        <v/>
      </c>
      <c r="N146" s="128" t="str">
        <f t="shared" si="40"/>
        <v/>
      </c>
      <c r="O146" s="126" t="str">
        <f t="array" ref="O146">IFERROR(SMALL(IF(($G$4:$G$253=P146),ROW($G$4:$G$253)-ROW($G$3),"" ),N146),"")</f>
        <v/>
      </c>
      <c r="P146" s="127" t="str">
        <f t="array" ref="P146">IFERROR(SMALL($G$4:$G$253,E146),"")</f>
        <v/>
      </c>
      <c r="Q146" s="127" t="str">
        <f t="shared" si="41"/>
        <v/>
      </c>
      <c r="R146" s="126" t="str">
        <f t="shared" si="42"/>
        <v/>
      </c>
      <c r="S146" s="126" t="str">
        <f t="shared" si="35"/>
        <v/>
      </c>
      <c r="T146" s="128" t="str">
        <f>IF(OR(S146="R",S146=""),"",COUNTIFS($P$4:P146,P146,$S$4:S146,"S")*U146)</f>
        <v/>
      </c>
      <c r="U146" s="128" t="str">
        <f>IF(ISNUMBER(N146),IF($C$11=TRUE,IF(OR(ISODD(COUNTIF($N$4:N146,1)),Y146="Yes"),1,-1),1),"")</f>
        <v/>
      </c>
      <c r="V146" s="128" t="str">
        <f ca="1">IFERROR(IF(AND(S146="R",W146&lt;&gt;""),1,IF(S146="R",MAX(OFFSET(V145,0,0,-1*(ROW(W146)-3-MATCH(MAX($W$4:W145),$W$4:W145,0)),1))+1,"")),"")</f>
        <v/>
      </c>
      <c r="W146" s="129" t="str">
        <f>IFERROR(IF(AND(S146="R", P146&gt;MAX($X$3:X145)),P146,""),"")</f>
        <v/>
      </c>
      <c r="X146" s="129" t="str">
        <f>IFERROR(IF(AND(W146="",Q146&gt;=MAX($X$3:X145)),IF(S146="R",Q146,IF(AND(W146="",P146&lt;=MAX($X$3:X145)),MAX($X$3:X145),"")),IF(W146&lt;&gt;"", Q146,"")),"")</f>
        <v/>
      </c>
      <c r="Y146" s="126" t="str">
        <f>IF(S146="S",IF(OR(P146&lt;=MAX($X$3:X145),P146&gt;=IF(MIN(W$53:$W147)&lt;1,99999999,MIN(W$53:$W147))),"Yes","No"),"")</f>
        <v/>
      </c>
      <c r="AA146" s="130" t="str">
        <f t="shared" si="36"/>
        <v/>
      </c>
      <c r="AB146" s="131" t="str">
        <f t="array" ref="AB146">IF(AA146&lt;=$AA$2,MIN(IF($L$4:$L$503&lt;=AB145,99999999999,$L$4:$L$503)),"")</f>
        <v/>
      </c>
      <c r="AC146" s="130" t="str">
        <f>IF(ISNUMBER(AA146),IF(Dashboard!$H$6&lt;&gt;"Horizontal",AC145+dateDistance,AC145),"")</f>
        <v/>
      </c>
      <c r="AD146" s="130" t="str">
        <f>IF(ISNUMBER(AA146),IF(Dashboard!$H$6="Horizontal",AD145+dateDistance,AD145),"")</f>
        <v/>
      </c>
      <c r="AE146" s="132" t="str">
        <f>IF(ISNUMBER(P146), IF(Dashboard!$H$6="Horizontal",IF(S146="S",INDEX($AC$4:$AC$503,MATCH(P146,$AB$4:$AB$503,0),1)+boxDistance*(T146+IF(Y146="No",IF(ISODD(T146),IF(T146&gt;0,1,-1),0),0))*IF(Y146="No",IF(ISODD(T146),0.5,-0.5),1),timelineStartRow - boxDistance * V146),IF( S146="S",INDEX($AC$4:$AC$503,MATCH(P146,$AB$4:$AB$503,0),1),INDEX($AC$4:$AC$503,MATCH(P146,$AB$4:$AB$503,0),1)&amp;"-"&amp;INDEX($AC$4:$AC$503,MATCH(Q146,$AB$4:$AB$503,0),1))),"")</f>
        <v/>
      </c>
      <c r="AF146" s="132" t="str">
        <f>IF(ISNUMBER(P146), IF(Dashboard!$H$6&lt;&gt;"Horizontal",IF(S146="S",INDEX($AD$4:$AD$503,MATCH(P146,$AB$4:$AB$503,0),1)+boxDistance*(T146+IF(Y146="No",IF(ISODD(T146),IF(T146&gt;0,1,-1),0),0))*IF(Y146="No",IF(ISODD(T146),0.5,-0.5),1),timelineStartColumn-boxDistance * IF(AND(ISNUMBER(V146),V146&gt;1),V146*0.85,1)   ),IF( S146="S",INDEX($AD$4:$AD$503,MATCH(P146,$AB$4:$AB$503,0),1),INDEX($AD$4:$AD$503,MATCH(P146,$AB$4:$AB$503,0),1)&amp;"-"&amp;INDEX($AD$4:$AD$503,MATCH(Q146,$AB$4:$AB$503,0),1))),"")</f>
        <v/>
      </c>
      <c r="AG146" s="133" t="str">
        <f t="shared" si="43"/>
        <v/>
      </c>
      <c r="AH146" s="134" t="str">
        <f t="shared" si="37"/>
        <v/>
      </c>
      <c r="AI146" s="135" t="str">
        <f t="shared" si="38"/>
        <v/>
      </c>
      <c r="AJ146" s="135" t="str">
        <f t="shared" si="44"/>
        <v/>
      </c>
      <c r="AK146" s="126" t="str">
        <f t="shared" si="45"/>
        <v/>
      </c>
      <c r="AL146" s="126" t="str">
        <f ca="1">IFERROR(IF(AK146="","", MATCH(AK146,OFFSET(Icons!$B$5,1,AM146-3,20,1),0)+5),"")</f>
        <v/>
      </c>
      <c r="AM146" s="126" t="str">
        <f t="shared" si="46"/>
        <v/>
      </c>
      <c r="AN146" s="90"/>
    </row>
    <row r="147" spans="5:40" ht="15" customHeight="1" x14ac:dyDescent="0.25">
      <c r="E147" s="126">
        <v>144</v>
      </c>
      <c r="F147" s="126"/>
      <c r="G147" s="127"/>
      <c r="H147" s="127"/>
      <c r="I147" s="126"/>
      <c r="K147" s="137" t="str">
        <f t="shared" si="39"/>
        <v/>
      </c>
      <c r="L147" s="127" t="str">
        <f t="shared" si="34"/>
        <v/>
      </c>
      <c r="N147" s="128" t="str">
        <f t="shared" si="40"/>
        <v/>
      </c>
      <c r="O147" s="126" t="str">
        <f t="array" ref="O147">IFERROR(SMALL(IF(($G$4:$G$253=P147),ROW($G$4:$G$253)-ROW($G$3),"" ),N147),"")</f>
        <v/>
      </c>
      <c r="P147" s="127" t="str">
        <f t="array" ref="P147">IFERROR(SMALL($G$4:$G$253,E147),"")</f>
        <v/>
      </c>
      <c r="Q147" s="127" t="str">
        <f t="shared" si="41"/>
        <v/>
      </c>
      <c r="R147" s="126" t="str">
        <f t="shared" si="42"/>
        <v/>
      </c>
      <c r="S147" s="126" t="str">
        <f t="shared" si="35"/>
        <v/>
      </c>
      <c r="T147" s="128" t="str">
        <f>IF(OR(S147="R",S147=""),"",COUNTIFS($P$4:P147,P147,$S$4:S147,"S")*U147)</f>
        <v/>
      </c>
      <c r="U147" s="128" t="str">
        <f>IF(ISNUMBER(N147),IF($C$11=TRUE,IF(OR(ISODD(COUNTIF($N$4:N147,1)),Y147="Yes"),1,-1),1),"")</f>
        <v/>
      </c>
      <c r="V147" s="128" t="str">
        <f ca="1">IFERROR(IF(AND(S147="R",W147&lt;&gt;""),1,IF(S147="R",MAX(OFFSET(V146,0,0,-1*(ROW(W147)-3-MATCH(MAX($W$4:W146),$W$4:W146,0)),1))+1,"")),"")</f>
        <v/>
      </c>
      <c r="W147" s="129" t="str">
        <f>IFERROR(IF(AND(S147="R", P147&gt;MAX($X$3:X146)),P147,""),"")</f>
        <v/>
      </c>
      <c r="X147" s="129" t="str">
        <f>IFERROR(IF(AND(W147="",Q147&gt;=MAX($X$3:X146)),IF(S147="R",Q147,IF(AND(W147="",P147&lt;=MAX($X$3:X146)),MAX($X$3:X146),"")),IF(W147&lt;&gt;"", Q147,"")),"")</f>
        <v/>
      </c>
      <c r="Y147" s="126" t="str">
        <f>IF(S147="S",IF(OR(P147&lt;=MAX($X$3:X146),P147&gt;=IF(MIN(W$53:$W148)&lt;1,99999999,MIN(W$53:$W148))),"Yes","No"),"")</f>
        <v/>
      </c>
      <c r="AA147" s="130" t="str">
        <f t="shared" si="36"/>
        <v/>
      </c>
      <c r="AB147" s="131" t="str">
        <f t="array" ref="AB147">IF(AA147&lt;=$AA$2,MIN(IF($L$4:$L$503&lt;=AB146,99999999999,$L$4:$L$503)),"")</f>
        <v/>
      </c>
      <c r="AC147" s="130" t="str">
        <f>IF(ISNUMBER(AA147),IF(Dashboard!$H$6&lt;&gt;"Horizontal",AC146+dateDistance,AC146),"")</f>
        <v/>
      </c>
      <c r="AD147" s="130" t="str">
        <f>IF(ISNUMBER(AA147),IF(Dashboard!$H$6="Horizontal",AD146+dateDistance,AD146),"")</f>
        <v/>
      </c>
      <c r="AE147" s="132" t="str">
        <f>IF(ISNUMBER(P147), IF(Dashboard!$H$6="Horizontal",IF(S147="S",INDEX($AC$4:$AC$503,MATCH(P147,$AB$4:$AB$503,0),1)+boxDistance*(T147+IF(Y147="No",IF(ISODD(T147),IF(T147&gt;0,1,-1),0),0))*IF(Y147="No",IF(ISODD(T147),0.5,-0.5),1),timelineStartRow - boxDistance * V147),IF( S147="S",INDEX($AC$4:$AC$503,MATCH(P147,$AB$4:$AB$503,0),1),INDEX($AC$4:$AC$503,MATCH(P147,$AB$4:$AB$503,0),1)&amp;"-"&amp;INDEX($AC$4:$AC$503,MATCH(Q147,$AB$4:$AB$503,0),1))),"")</f>
        <v/>
      </c>
      <c r="AF147" s="132" t="str">
        <f>IF(ISNUMBER(P147), IF(Dashboard!$H$6&lt;&gt;"Horizontal",IF(S147="S",INDEX($AD$4:$AD$503,MATCH(P147,$AB$4:$AB$503,0),1)+boxDistance*(T147+IF(Y147="No",IF(ISODD(T147),IF(T147&gt;0,1,-1),0),0))*IF(Y147="No",IF(ISODD(T147),0.5,-0.5),1),timelineStartColumn-boxDistance * IF(AND(ISNUMBER(V147),V147&gt;1),V147*0.85,1)   ),IF( S147="S",INDEX($AD$4:$AD$503,MATCH(P147,$AB$4:$AB$503,0),1),INDEX($AD$4:$AD$503,MATCH(P147,$AB$4:$AB$503,0),1)&amp;"-"&amp;INDEX($AD$4:$AD$503,MATCH(Q147,$AB$4:$AB$503,0),1))),"")</f>
        <v/>
      </c>
      <c r="AG147" s="133" t="str">
        <f t="shared" si="43"/>
        <v/>
      </c>
      <c r="AH147" s="134" t="str">
        <f t="shared" si="37"/>
        <v/>
      </c>
      <c r="AI147" s="135" t="str">
        <f t="shared" si="38"/>
        <v/>
      </c>
      <c r="AJ147" s="135" t="str">
        <f t="shared" si="44"/>
        <v/>
      </c>
      <c r="AK147" s="126" t="str">
        <f t="shared" si="45"/>
        <v/>
      </c>
      <c r="AL147" s="126" t="str">
        <f ca="1">IFERROR(IF(AK147="","", MATCH(AK147,OFFSET(Icons!$B$5,1,AM147-3,20,1),0)+5),"")</f>
        <v/>
      </c>
      <c r="AM147" s="126" t="str">
        <f t="shared" si="46"/>
        <v/>
      </c>
      <c r="AN147" s="90"/>
    </row>
    <row r="148" spans="5:40" ht="15" customHeight="1" x14ac:dyDescent="0.25">
      <c r="E148" s="126">
        <v>145</v>
      </c>
      <c r="F148" s="126"/>
      <c r="G148" s="127"/>
      <c r="H148" s="127"/>
      <c r="I148" s="126"/>
      <c r="K148" s="137" t="str">
        <f t="shared" si="39"/>
        <v/>
      </c>
      <c r="L148" s="127" t="str">
        <f t="shared" si="34"/>
        <v/>
      </c>
      <c r="N148" s="128" t="str">
        <f t="shared" si="40"/>
        <v/>
      </c>
      <c r="O148" s="126" t="str">
        <f t="array" ref="O148">IFERROR(SMALL(IF(($G$4:$G$253=P148),ROW($G$4:$G$253)-ROW($G$3),"" ),N148),"")</f>
        <v/>
      </c>
      <c r="P148" s="127" t="str">
        <f t="array" ref="P148">IFERROR(SMALL($G$4:$G$253,E148),"")</f>
        <v/>
      </c>
      <c r="Q148" s="127" t="str">
        <f t="shared" si="41"/>
        <v/>
      </c>
      <c r="R148" s="126" t="str">
        <f t="shared" si="42"/>
        <v/>
      </c>
      <c r="S148" s="126" t="str">
        <f t="shared" si="35"/>
        <v/>
      </c>
      <c r="T148" s="128" t="str">
        <f>IF(OR(S148="R",S148=""),"",COUNTIFS($P$4:P148,P148,$S$4:S148,"S")*U148)</f>
        <v/>
      </c>
      <c r="U148" s="128" t="str">
        <f>IF(ISNUMBER(N148),IF($C$11=TRUE,IF(OR(ISODD(COUNTIF($N$4:N148,1)),Y148="Yes"),1,-1),1),"")</f>
        <v/>
      </c>
      <c r="V148" s="128" t="str">
        <f ca="1">IFERROR(IF(AND(S148="R",W148&lt;&gt;""),1,IF(S148="R",MAX(OFFSET(V147,0,0,-1*(ROW(W148)-3-MATCH(MAX($W$4:W147),$W$4:W147,0)),1))+1,"")),"")</f>
        <v/>
      </c>
      <c r="W148" s="129" t="str">
        <f>IFERROR(IF(AND(S148="R", P148&gt;MAX($X$3:X147)),P148,""),"")</f>
        <v/>
      </c>
      <c r="X148" s="129" t="str">
        <f>IFERROR(IF(AND(W148="",Q148&gt;=MAX($X$3:X147)),IF(S148="R",Q148,IF(AND(W148="",P148&lt;=MAX($X$3:X147)),MAX($X$3:X147),"")),IF(W148&lt;&gt;"", Q148,"")),"")</f>
        <v/>
      </c>
      <c r="Y148" s="126" t="str">
        <f>IF(S148="S",IF(OR(P148&lt;=MAX($X$3:X147),P148&gt;=IF(MIN(W$53:$W149)&lt;1,99999999,MIN(W$53:$W149))),"Yes","No"),"")</f>
        <v/>
      </c>
      <c r="AA148" s="130" t="str">
        <f t="shared" si="36"/>
        <v/>
      </c>
      <c r="AB148" s="131" t="str">
        <f t="array" ref="AB148">IF(AA148&lt;=$AA$2,MIN(IF($L$4:$L$503&lt;=AB147,99999999999,$L$4:$L$503)),"")</f>
        <v/>
      </c>
      <c r="AC148" s="130" t="str">
        <f>IF(ISNUMBER(AA148),IF(Dashboard!$H$6&lt;&gt;"Horizontal",AC147+dateDistance,AC147),"")</f>
        <v/>
      </c>
      <c r="AD148" s="130" t="str">
        <f>IF(ISNUMBER(AA148),IF(Dashboard!$H$6="Horizontal",AD147+dateDistance,AD147),"")</f>
        <v/>
      </c>
      <c r="AE148" s="132" t="str">
        <f>IF(ISNUMBER(P148), IF(Dashboard!$H$6="Horizontal",IF(S148="S",INDEX($AC$4:$AC$503,MATCH(P148,$AB$4:$AB$503,0),1)+boxDistance*(T148+IF(Y148="No",IF(ISODD(T148),IF(T148&gt;0,1,-1),0),0))*IF(Y148="No",IF(ISODD(T148),0.5,-0.5),1),timelineStartRow - boxDistance * V148),IF( S148="S",INDEX($AC$4:$AC$503,MATCH(P148,$AB$4:$AB$503,0),1),INDEX($AC$4:$AC$503,MATCH(P148,$AB$4:$AB$503,0),1)&amp;"-"&amp;INDEX($AC$4:$AC$503,MATCH(Q148,$AB$4:$AB$503,0),1))),"")</f>
        <v/>
      </c>
      <c r="AF148" s="132" t="str">
        <f>IF(ISNUMBER(P148), IF(Dashboard!$H$6&lt;&gt;"Horizontal",IF(S148="S",INDEX($AD$4:$AD$503,MATCH(P148,$AB$4:$AB$503,0),1)+boxDistance*(T148+IF(Y148="No",IF(ISODD(T148),IF(T148&gt;0,1,-1),0),0))*IF(Y148="No",IF(ISODD(T148),0.5,-0.5),1),timelineStartColumn-boxDistance * IF(AND(ISNUMBER(V148),V148&gt;1),V148*0.85,1)   ),IF( S148="S",INDEX($AD$4:$AD$503,MATCH(P148,$AB$4:$AB$503,0),1),INDEX($AD$4:$AD$503,MATCH(P148,$AB$4:$AB$503,0),1)&amp;"-"&amp;INDEX($AD$4:$AD$503,MATCH(Q148,$AB$4:$AB$503,0),1))),"")</f>
        <v/>
      </c>
      <c r="AG148" s="133" t="str">
        <f t="shared" si="43"/>
        <v/>
      </c>
      <c r="AH148" s="134" t="str">
        <f t="shared" si="37"/>
        <v/>
      </c>
      <c r="AI148" s="135" t="str">
        <f t="shared" si="38"/>
        <v/>
      </c>
      <c r="AJ148" s="135" t="str">
        <f t="shared" si="44"/>
        <v/>
      </c>
      <c r="AK148" s="126" t="str">
        <f t="shared" si="45"/>
        <v/>
      </c>
      <c r="AL148" s="126" t="str">
        <f ca="1">IFERROR(IF(AK148="","", MATCH(AK148,OFFSET(Icons!$B$5,1,AM148-3,20,1),0)+5),"")</f>
        <v/>
      </c>
      <c r="AM148" s="126" t="str">
        <f t="shared" si="46"/>
        <v/>
      </c>
      <c r="AN148" s="90"/>
    </row>
    <row r="149" spans="5:40" ht="15" customHeight="1" x14ac:dyDescent="0.25">
      <c r="E149" s="126">
        <v>146</v>
      </c>
      <c r="F149" s="126"/>
      <c r="G149" s="127"/>
      <c r="H149" s="127"/>
      <c r="I149" s="126"/>
      <c r="K149" s="137" t="str">
        <f t="shared" si="39"/>
        <v/>
      </c>
      <c r="L149" s="127" t="str">
        <f t="shared" si="34"/>
        <v/>
      </c>
      <c r="N149" s="128" t="str">
        <f t="shared" si="40"/>
        <v/>
      </c>
      <c r="O149" s="126" t="str">
        <f t="array" ref="O149">IFERROR(SMALL(IF(($G$4:$G$253=P149),ROW($G$4:$G$253)-ROW($G$3),"" ),N149),"")</f>
        <v/>
      </c>
      <c r="P149" s="127" t="str">
        <f t="array" ref="P149">IFERROR(SMALL($G$4:$G$253,E149),"")</f>
        <v/>
      </c>
      <c r="Q149" s="127" t="str">
        <f t="shared" si="41"/>
        <v/>
      </c>
      <c r="R149" s="126" t="str">
        <f t="shared" si="42"/>
        <v/>
      </c>
      <c r="S149" s="126" t="str">
        <f t="shared" si="35"/>
        <v/>
      </c>
      <c r="T149" s="128" t="str">
        <f>IF(OR(S149="R",S149=""),"",COUNTIFS($P$4:P149,P149,$S$4:S149,"S")*U149)</f>
        <v/>
      </c>
      <c r="U149" s="128" t="str">
        <f>IF(ISNUMBER(N149),IF($C$11=TRUE,IF(OR(ISODD(COUNTIF($N$4:N149,1)),Y149="Yes"),1,-1),1),"")</f>
        <v/>
      </c>
      <c r="V149" s="128" t="str">
        <f ca="1">IFERROR(IF(AND(S149="R",W149&lt;&gt;""),1,IF(S149="R",MAX(OFFSET(V148,0,0,-1*(ROW(W149)-3-MATCH(MAX($W$4:W148),$W$4:W148,0)),1))+1,"")),"")</f>
        <v/>
      </c>
      <c r="W149" s="129" t="str">
        <f>IFERROR(IF(AND(S149="R", P149&gt;MAX($X$3:X148)),P149,""),"")</f>
        <v/>
      </c>
      <c r="X149" s="129" t="str">
        <f>IFERROR(IF(AND(W149="",Q149&gt;=MAX($X$3:X148)),IF(S149="R",Q149,IF(AND(W149="",P149&lt;=MAX($X$3:X148)),MAX($X$3:X148),"")),IF(W149&lt;&gt;"", Q149,"")),"")</f>
        <v/>
      </c>
      <c r="Y149" s="126" t="str">
        <f>IF(S149="S",IF(OR(P149&lt;=MAX($X$3:X148),P149&gt;=IF(MIN(W$53:$W150)&lt;1,99999999,MIN(W$53:$W150))),"Yes","No"),"")</f>
        <v/>
      </c>
      <c r="AA149" s="130" t="str">
        <f t="shared" si="36"/>
        <v/>
      </c>
      <c r="AB149" s="131" t="str">
        <f t="array" ref="AB149">IF(AA149&lt;=$AA$2,MIN(IF($L$4:$L$503&lt;=AB148,99999999999,$L$4:$L$503)),"")</f>
        <v/>
      </c>
      <c r="AC149" s="130" t="str">
        <f>IF(ISNUMBER(AA149),IF(Dashboard!$H$6&lt;&gt;"Horizontal",AC148+dateDistance,AC148),"")</f>
        <v/>
      </c>
      <c r="AD149" s="130" t="str">
        <f>IF(ISNUMBER(AA149),IF(Dashboard!$H$6="Horizontal",AD148+dateDistance,AD148),"")</f>
        <v/>
      </c>
      <c r="AE149" s="132" t="str">
        <f>IF(ISNUMBER(P149), IF(Dashboard!$H$6="Horizontal",IF(S149="S",INDEX($AC$4:$AC$503,MATCH(P149,$AB$4:$AB$503,0),1)+boxDistance*(T149+IF(Y149="No",IF(ISODD(T149),IF(T149&gt;0,1,-1),0),0))*IF(Y149="No",IF(ISODD(T149),0.5,-0.5),1),timelineStartRow - boxDistance * V149),IF( S149="S",INDEX($AC$4:$AC$503,MATCH(P149,$AB$4:$AB$503,0),1),INDEX($AC$4:$AC$503,MATCH(P149,$AB$4:$AB$503,0),1)&amp;"-"&amp;INDEX($AC$4:$AC$503,MATCH(Q149,$AB$4:$AB$503,0),1))),"")</f>
        <v/>
      </c>
      <c r="AF149" s="132" t="str">
        <f>IF(ISNUMBER(P149), IF(Dashboard!$H$6&lt;&gt;"Horizontal",IF(S149="S",INDEX($AD$4:$AD$503,MATCH(P149,$AB$4:$AB$503,0),1)+boxDistance*(T149+IF(Y149="No",IF(ISODD(T149),IF(T149&gt;0,1,-1),0),0))*IF(Y149="No",IF(ISODD(T149),0.5,-0.5),1),timelineStartColumn-boxDistance * IF(AND(ISNUMBER(V149),V149&gt;1),V149*0.85,1)   ),IF( S149="S",INDEX($AD$4:$AD$503,MATCH(P149,$AB$4:$AB$503,0),1),INDEX($AD$4:$AD$503,MATCH(P149,$AB$4:$AB$503,0),1)&amp;"-"&amp;INDEX($AD$4:$AD$503,MATCH(Q149,$AB$4:$AB$503,0),1))),"")</f>
        <v/>
      </c>
      <c r="AG149" s="133" t="str">
        <f t="shared" si="43"/>
        <v/>
      </c>
      <c r="AH149" s="134" t="str">
        <f t="shared" si="37"/>
        <v/>
      </c>
      <c r="AI149" s="135" t="str">
        <f t="shared" si="38"/>
        <v/>
      </c>
      <c r="AJ149" s="135" t="str">
        <f t="shared" si="44"/>
        <v/>
      </c>
      <c r="AK149" s="126" t="str">
        <f t="shared" si="45"/>
        <v/>
      </c>
      <c r="AL149" s="126" t="str">
        <f ca="1">IFERROR(IF(AK149="","", MATCH(AK149,OFFSET(Icons!$B$5,1,AM149-3,20,1),0)+5),"")</f>
        <v/>
      </c>
      <c r="AM149" s="126" t="str">
        <f t="shared" si="46"/>
        <v/>
      </c>
      <c r="AN149" s="90"/>
    </row>
    <row r="150" spans="5:40" ht="15" customHeight="1" x14ac:dyDescent="0.25">
      <c r="E150" s="126">
        <v>147</v>
      </c>
      <c r="F150" s="126"/>
      <c r="G150" s="127"/>
      <c r="H150" s="127"/>
      <c r="I150" s="126"/>
      <c r="K150" s="137" t="str">
        <f t="shared" si="39"/>
        <v/>
      </c>
      <c r="L150" s="127" t="str">
        <f t="shared" si="34"/>
        <v/>
      </c>
      <c r="N150" s="128" t="str">
        <f t="shared" si="40"/>
        <v/>
      </c>
      <c r="O150" s="126" t="str">
        <f t="array" ref="O150">IFERROR(SMALL(IF(($G$4:$G$253=P150),ROW($G$4:$G$253)-ROW($G$3),"" ),N150),"")</f>
        <v/>
      </c>
      <c r="P150" s="127" t="str">
        <f t="array" ref="P150">IFERROR(SMALL($G$4:$G$253,E150),"")</f>
        <v/>
      </c>
      <c r="Q150" s="127" t="str">
        <f t="shared" si="41"/>
        <v/>
      </c>
      <c r="R150" s="126" t="str">
        <f t="shared" si="42"/>
        <v/>
      </c>
      <c r="S150" s="126" t="str">
        <f t="shared" si="35"/>
        <v/>
      </c>
      <c r="T150" s="128" t="str">
        <f>IF(OR(S150="R",S150=""),"",COUNTIFS($P$4:P150,P150,$S$4:S150,"S")*U150)</f>
        <v/>
      </c>
      <c r="U150" s="128" t="str">
        <f>IF(ISNUMBER(N150),IF($C$11=TRUE,IF(OR(ISODD(COUNTIF($N$4:N150,1)),Y150="Yes"),1,-1),1),"")</f>
        <v/>
      </c>
      <c r="V150" s="128" t="str">
        <f ca="1">IFERROR(IF(AND(S150="R",W150&lt;&gt;""),1,IF(S150="R",MAX(OFFSET(V149,0,0,-1*(ROW(W150)-3-MATCH(MAX($W$4:W149),$W$4:W149,0)),1))+1,"")),"")</f>
        <v/>
      </c>
      <c r="W150" s="129" t="str">
        <f>IFERROR(IF(AND(S150="R", P150&gt;MAX($X$3:X149)),P150,""),"")</f>
        <v/>
      </c>
      <c r="X150" s="129" t="str">
        <f>IFERROR(IF(AND(W150="",Q150&gt;=MAX($X$3:X149)),IF(S150="R",Q150,IF(AND(W150="",P150&lt;=MAX($X$3:X149)),MAX($X$3:X149),"")),IF(W150&lt;&gt;"", Q150,"")),"")</f>
        <v/>
      </c>
      <c r="Y150" s="126" t="str">
        <f>IF(S150="S",IF(OR(P150&lt;=MAX($X$3:X149),P150&gt;=IF(MIN(W$53:$W151)&lt;1,99999999,MIN(W$53:$W151))),"Yes","No"),"")</f>
        <v/>
      </c>
      <c r="AA150" s="130" t="str">
        <f t="shared" si="36"/>
        <v/>
      </c>
      <c r="AB150" s="131" t="str">
        <f t="array" ref="AB150">IF(AA150&lt;=$AA$2,MIN(IF($L$4:$L$503&lt;=AB149,99999999999,$L$4:$L$503)),"")</f>
        <v/>
      </c>
      <c r="AC150" s="130" t="str">
        <f>IF(ISNUMBER(AA150),IF(Dashboard!$H$6&lt;&gt;"Horizontal",AC149+dateDistance,AC149),"")</f>
        <v/>
      </c>
      <c r="AD150" s="130" t="str">
        <f>IF(ISNUMBER(AA150),IF(Dashboard!$H$6="Horizontal",AD149+dateDistance,AD149),"")</f>
        <v/>
      </c>
      <c r="AE150" s="132" t="str">
        <f>IF(ISNUMBER(P150), IF(Dashboard!$H$6="Horizontal",IF(S150="S",INDEX($AC$4:$AC$503,MATCH(P150,$AB$4:$AB$503,0),1)+boxDistance*(T150+IF(Y150="No",IF(ISODD(T150),IF(T150&gt;0,1,-1),0),0))*IF(Y150="No",IF(ISODD(T150),0.5,-0.5),1),timelineStartRow - boxDistance * V150),IF( S150="S",INDEX($AC$4:$AC$503,MATCH(P150,$AB$4:$AB$503,0),1),INDEX($AC$4:$AC$503,MATCH(P150,$AB$4:$AB$503,0),1)&amp;"-"&amp;INDEX($AC$4:$AC$503,MATCH(Q150,$AB$4:$AB$503,0),1))),"")</f>
        <v/>
      </c>
      <c r="AF150" s="132" t="str">
        <f>IF(ISNUMBER(P150), IF(Dashboard!$H$6&lt;&gt;"Horizontal",IF(S150="S",INDEX($AD$4:$AD$503,MATCH(P150,$AB$4:$AB$503,0),1)+boxDistance*(T150+IF(Y150="No",IF(ISODD(T150),IF(T150&gt;0,1,-1),0),0))*IF(Y150="No",IF(ISODD(T150),0.5,-0.5),1),timelineStartColumn-boxDistance * IF(AND(ISNUMBER(V150),V150&gt;1),V150*0.85,1)   ),IF( S150="S",INDEX($AD$4:$AD$503,MATCH(P150,$AB$4:$AB$503,0),1),INDEX($AD$4:$AD$503,MATCH(P150,$AB$4:$AB$503,0),1)&amp;"-"&amp;INDEX($AD$4:$AD$503,MATCH(Q150,$AB$4:$AB$503,0),1))),"")</f>
        <v/>
      </c>
      <c r="AG150" s="133" t="str">
        <f t="shared" si="43"/>
        <v/>
      </c>
      <c r="AH150" s="134" t="str">
        <f t="shared" si="37"/>
        <v/>
      </c>
      <c r="AI150" s="135" t="str">
        <f t="shared" si="38"/>
        <v/>
      </c>
      <c r="AJ150" s="135" t="str">
        <f t="shared" si="44"/>
        <v/>
      </c>
      <c r="AK150" s="126" t="str">
        <f t="shared" si="45"/>
        <v/>
      </c>
      <c r="AL150" s="126" t="str">
        <f ca="1">IFERROR(IF(AK150="","", MATCH(AK150,OFFSET(Icons!$B$5,1,AM150-3,20,1),0)+5),"")</f>
        <v/>
      </c>
      <c r="AM150" s="126" t="str">
        <f t="shared" si="46"/>
        <v/>
      </c>
      <c r="AN150" s="90"/>
    </row>
    <row r="151" spans="5:40" ht="15" customHeight="1" x14ac:dyDescent="0.25">
      <c r="E151" s="126">
        <v>148</v>
      </c>
      <c r="F151" s="126"/>
      <c r="G151" s="127"/>
      <c r="H151" s="127"/>
      <c r="I151" s="126"/>
      <c r="K151" s="137" t="str">
        <f t="shared" si="39"/>
        <v/>
      </c>
      <c r="L151" s="127" t="str">
        <f t="shared" si="34"/>
        <v/>
      </c>
      <c r="N151" s="128" t="str">
        <f t="shared" si="40"/>
        <v/>
      </c>
      <c r="O151" s="126" t="str">
        <f t="array" ref="O151">IFERROR(SMALL(IF(($G$4:$G$253=P151),ROW($G$4:$G$253)-ROW($G$3),"" ),N151),"")</f>
        <v/>
      </c>
      <c r="P151" s="127" t="str">
        <f t="array" ref="P151">IFERROR(SMALL($G$4:$G$253,E151),"")</f>
        <v/>
      </c>
      <c r="Q151" s="127" t="str">
        <f t="shared" si="41"/>
        <v/>
      </c>
      <c r="R151" s="126" t="str">
        <f t="shared" si="42"/>
        <v/>
      </c>
      <c r="S151" s="126" t="str">
        <f t="shared" si="35"/>
        <v/>
      </c>
      <c r="T151" s="128" t="str">
        <f>IF(OR(S151="R",S151=""),"",COUNTIFS($P$4:P151,P151,$S$4:S151,"S")*U151)</f>
        <v/>
      </c>
      <c r="U151" s="128" t="str">
        <f>IF(ISNUMBER(N151),IF($C$11=TRUE,IF(OR(ISODD(COUNTIF($N$4:N151,1)),Y151="Yes"),1,-1),1),"")</f>
        <v/>
      </c>
      <c r="V151" s="128" t="str">
        <f ca="1">IFERROR(IF(AND(S151="R",W151&lt;&gt;""),1,IF(S151="R",MAX(OFFSET(V150,0,0,-1*(ROW(W151)-3-MATCH(MAX($W$4:W150),$W$4:W150,0)),1))+1,"")),"")</f>
        <v/>
      </c>
      <c r="W151" s="129" t="str">
        <f>IFERROR(IF(AND(S151="R", P151&gt;MAX($X$3:X150)),P151,""),"")</f>
        <v/>
      </c>
      <c r="X151" s="129" t="str">
        <f>IFERROR(IF(AND(W151="",Q151&gt;=MAX($X$3:X150)),IF(S151="R",Q151,IF(AND(W151="",P151&lt;=MAX($X$3:X150)),MAX($X$3:X150),"")),IF(W151&lt;&gt;"", Q151,"")),"")</f>
        <v/>
      </c>
      <c r="Y151" s="126" t="str">
        <f>IF(S151="S",IF(OR(P151&lt;=MAX($X$3:X150),P151&gt;=IF(MIN(W$53:$W152)&lt;1,99999999,MIN(W$53:$W152))),"Yes","No"),"")</f>
        <v/>
      </c>
      <c r="AA151" s="130" t="str">
        <f t="shared" si="36"/>
        <v/>
      </c>
      <c r="AB151" s="131" t="str">
        <f t="array" ref="AB151">IF(AA151&lt;=$AA$2,MIN(IF($L$4:$L$503&lt;=AB150,99999999999,$L$4:$L$503)),"")</f>
        <v/>
      </c>
      <c r="AC151" s="130" t="str">
        <f>IF(ISNUMBER(AA151),IF(Dashboard!$H$6&lt;&gt;"Horizontal",AC150+dateDistance,AC150),"")</f>
        <v/>
      </c>
      <c r="AD151" s="130" t="str">
        <f>IF(ISNUMBER(AA151),IF(Dashboard!$H$6="Horizontal",AD150+dateDistance,AD150),"")</f>
        <v/>
      </c>
      <c r="AE151" s="132" t="str">
        <f>IF(ISNUMBER(P151), IF(Dashboard!$H$6="Horizontal",IF(S151="S",INDEX($AC$4:$AC$503,MATCH(P151,$AB$4:$AB$503,0),1)+boxDistance*(T151+IF(Y151="No",IF(ISODD(T151),IF(T151&gt;0,1,-1),0),0))*IF(Y151="No",IF(ISODD(T151),0.5,-0.5),1),timelineStartRow - boxDistance * V151),IF( S151="S",INDEX($AC$4:$AC$503,MATCH(P151,$AB$4:$AB$503,0),1),INDEX($AC$4:$AC$503,MATCH(P151,$AB$4:$AB$503,0),1)&amp;"-"&amp;INDEX($AC$4:$AC$503,MATCH(Q151,$AB$4:$AB$503,0),1))),"")</f>
        <v/>
      </c>
      <c r="AF151" s="132" t="str">
        <f>IF(ISNUMBER(P151), IF(Dashboard!$H$6&lt;&gt;"Horizontal",IF(S151="S",INDEX($AD$4:$AD$503,MATCH(P151,$AB$4:$AB$503,0),1)+boxDistance*(T151+IF(Y151="No",IF(ISODD(T151),IF(T151&gt;0,1,-1),0),0))*IF(Y151="No",IF(ISODD(T151),0.5,-0.5),1),timelineStartColumn-boxDistance * IF(AND(ISNUMBER(V151),V151&gt;1),V151*0.85,1)   ),IF( S151="S",INDEX($AD$4:$AD$503,MATCH(P151,$AB$4:$AB$503,0),1),INDEX($AD$4:$AD$503,MATCH(P151,$AB$4:$AB$503,0),1)&amp;"-"&amp;INDEX($AD$4:$AD$503,MATCH(Q151,$AB$4:$AB$503,0),1))),"")</f>
        <v/>
      </c>
      <c r="AG151" s="133" t="str">
        <f t="shared" si="43"/>
        <v/>
      </c>
      <c r="AH151" s="134" t="str">
        <f t="shared" si="37"/>
        <v/>
      </c>
      <c r="AI151" s="135" t="str">
        <f t="shared" si="38"/>
        <v/>
      </c>
      <c r="AJ151" s="135" t="str">
        <f t="shared" si="44"/>
        <v/>
      </c>
      <c r="AK151" s="126" t="str">
        <f t="shared" si="45"/>
        <v/>
      </c>
      <c r="AL151" s="126" t="str">
        <f ca="1">IFERROR(IF(AK151="","", MATCH(AK151,OFFSET(Icons!$B$5,1,AM151-3,20,1),0)+5),"")</f>
        <v/>
      </c>
      <c r="AM151" s="126" t="str">
        <f t="shared" si="46"/>
        <v/>
      </c>
      <c r="AN151" s="90"/>
    </row>
    <row r="152" spans="5:40" ht="15" customHeight="1" x14ac:dyDescent="0.25">
      <c r="E152" s="126">
        <v>149</v>
      </c>
      <c r="F152" s="126"/>
      <c r="G152" s="127"/>
      <c r="H152" s="127"/>
      <c r="I152" s="126"/>
      <c r="K152" s="137" t="str">
        <f t="shared" si="39"/>
        <v/>
      </c>
      <c r="L152" s="127" t="str">
        <f t="shared" si="34"/>
        <v/>
      </c>
      <c r="N152" s="128" t="str">
        <f t="shared" si="40"/>
        <v/>
      </c>
      <c r="O152" s="126" t="str">
        <f t="array" ref="O152">IFERROR(SMALL(IF(($G$4:$G$253=P152),ROW($G$4:$G$253)-ROW($G$3),"" ),N152),"")</f>
        <v/>
      </c>
      <c r="P152" s="127" t="str">
        <f t="array" ref="P152">IFERROR(SMALL($G$4:$G$253,E152),"")</f>
        <v/>
      </c>
      <c r="Q152" s="127" t="str">
        <f t="shared" si="41"/>
        <v/>
      </c>
      <c r="R152" s="126" t="str">
        <f t="shared" si="42"/>
        <v/>
      </c>
      <c r="S152" s="126" t="str">
        <f t="shared" si="35"/>
        <v/>
      </c>
      <c r="T152" s="128" t="str">
        <f>IF(OR(S152="R",S152=""),"",COUNTIFS($P$4:P152,P152,$S$4:S152,"S")*U152)</f>
        <v/>
      </c>
      <c r="U152" s="128" t="str">
        <f>IF(ISNUMBER(N152),IF($C$11=TRUE,IF(OR(ISODD(COUNTIF($N$4:N152,1)),Y152="Yes"),1,-1),1),"")</f>
        <v/>
      </c>
      <c r="V152" s="128" t="str">
        <f ca="1">IFERROR(IF(AND(S152="R",W152&lt;&gt;""),1,IF(S152="R",MAX(OFFSET(V151,0,0,-1*(ROW(W152)-3-MATCH(MAX($W$4:W151),$W$4:W151,0)),1))+1,"")),"")</f>
        <v/>
      </c>
      <c r="W152" s="129" t="str">
        <f>IFERROR(IF(AND(S152="R", P152&gt;MAX($X$3:X151)),P152,""),"")</f>
        <v/>
      </c>
      <c r="X152" s="129" t="str">
        <f>IFERROR(IF(AND(W152="",Q152&gt;=MAX($X$3:X151)),IF(S152="R",Q152,IF(AND(W152="",P152&lt;=MAX($X$3:X151)),MAX($X$3:X151),"")),IF(W152&lt;&gt;"", Q152,"")),"")</f>
        <v/>
      </c>
      <c r="Y152" s="126" t="str">
        <f>IF(S152="S",IF(OR(P152&lt;=MAX($X$3:X151),P152&gt;=IF(MIN(W$53:$W153)&lt;1,99999999,MIN(W$53:$W153))),"Yes","No"),"")</f>
        <v/>
      </c>
      <c r="AA152" s="130" t="str">
        <f t="shared" si="36"/>
        <v/>
      </c>
      <c r="AB152" s="131" t="str">
        <f t="array" ref="AB152">IF(AA152&lt;=$AA$2,MIN(IF($L$4:$L$503&lt;=AB151,99999999999,$L$4:$L$503)),"")</f>
        <v/>
      </c>
      <c r="AC152" s="130" t="str">
        <f>IF(ISNUMBER(AA152),IF(Dashboard!$H$6&lt;&gt;"Horizontal",AC151+dateDistance,AC151),"")</f>
        <v/>
      </c>
      <c r="AD152" s="130" t="str">
        <f>IF(ISNUMBER(AA152),IF(Dashboard!$H$6="Horizontal",AD151+dateDistance,AD151),"")</f>
        <v/>
      </c>
      <c r="AE152" s="132" t="str">
        <f>IF(ISNUMBER(P152), IF(Dashboard!$H$6="Horizontal",IF(S152="S",INDEX($AC$4:$AC$503,MATCH(P152,$AB$4:$AB$503,0),1)+boxDistance*(T152+IF(Y152="No",IF(ISODD(T152),IF(T152&gt;0,1,-1),0),0))*IF(Y152="No",IF(ISODD(T152),0.5,-0.5),1),timelineStartRow - boxDistance * V152),IF( S152="S",INDEX($AC$4:$AC$503,MATCH(P152,$AB$4:$AB$503,0),1),INDEX($AC$4:$AC$503,MATCH(P152,$AB$4:$AB$503,0),1)&amp;"-"&amp;INDEX($AC$4:$AC$503,MATCH(Q152,$AB$4:$AB$503,0),1))),"")</f>
        <v/>
      </c>
      <c r="AF152" s="132" t="str">
        <f>IF(ISNUMBER(P152), IF(Dashboard!$H$6&lt;&gt;"Horizontal",IF(S152="S",INDEX($AD$4:$AD$503,MATCH(P152,$AB$4:$AB$503,0),1)+boxDistance*(T152+IF(Y152="No",IF(ISODD(T152),IF(T152&gt;0,1,-1),0),0))*IF(Y152="No",IF(ISODD(T152),0.5,-0.5),1),timelineStartColumn-boxDistance * IF(AND(ISNUMBER(V152),V152&gt;1),V152*0.85,1)   ),IF( S152="S",INDEX($AD$4:$AD$503,MATCH(P152,$AB$4:$AB$503,0),1),INDEX($AD$4:$AD$503,MATCH(P152,$AB$4:$AB$503,0),1)&amp;"-"&amp;INDEX($AD$4:$AD$503,MATCH(Q152,$AB$4:$AB$503,0),1))),"")</f>
        <v/>
      </c>
      <c r="AG152" s="133" t="str">
        <f t="shared" si="43"/>
        <v/>
      </c>
      <c r="AH152" s="134" t="str">
        <f t="shared" si="37"/>
        <v/>
      </c>
      <c r="AI152" s="135" t="str">
        <f t="shared" si="38"/>
        <v/>
      </c>
      <c r="AJ152" s="135" t="str">
        <f t="shared" si="44"/>
        <v/>
      </c>
      <c r="AK152" s="126" t="str">
        <f t="shared" si="45"/>
        <v/>
      </c>
      <c r="AL152" s="126" t="str">
        <f ca="1">IFERROR(IF(AK152="","", MATCH(AK152,OFFSET(Icons!$B$5,1,AM152-3,20,1),0)+5),"")</f>
        <v/>
      </c>
      <c r="AM152" s="126" t="str">
        <f t="shared" si="46"/>
        <v/>
      </c>
      <c r="AN152" s="90"/>
    </row>
    <row r="153" spans="5:40" ht="15" customHeight="1" x14ac:dyDescent="0.25">
      <c r="E153" s="126">
        <v>150</v>
      </c>
      <c r="F153" s="126"/>
      <c r="G153" s="127"/>
      <c r="H153" s="127"/>
      <c r="I153" s="126"/>
      <c r="K153" s="137" t="str">
        <f t="shared" si="39"/>
        <v/>
      </c>
      <c r="L153" s="127" t="str">
        <f t="shared" si="34"/>
        <v/>
      </c>
      <c r="N153" s="128" t="str">
        <f t="shared" si="40"/>
        <v/>
      </c>
      <c r="O153" s="126" t="str">
        <f t="array" ref="O153">IFERROR(SMALL(IF(($G$4:$G$253=P153),ROW($G$4:$G$253)-ROW($G$3),"" ),N153),"")</f>
        <v/>
      </c>
      <c r="P153" s="127" t="str">
        <f t="array" ref="P153">IFERROR(SMALL($G$4:$G$253,E153),"")</f>
        <v/>
      </c>
      <c r="Q153" s="127" t="str">
        <f t="shared" si="41"/>
        <v/>
      </c>
      <c r="R153" s="126" t="str">
        <f t="shared" si="42"/>
        <v/>
      </c>
      <c r="S153" s="126" t="str">
        <f t="shared" si="35"/>
        <v/>
      </c>
      <c r="T153" s="128" t="str">
        <f>IF(OR(S153="R",S153=""),"",COUNTIFS($P$4:P153,P153,$S$4:S153,"S")*U153)</f>
        <v/>
      </c>
      <c r="U153" s="128" t="str">
        <f>IF(ISNUMBER(N153),IF($C$11=TRUE,IF(OR(ISODD(COUNTIF($N$4:N153,1)),Y153="Yes"),1,-1),1),"")</f>
        <v/>
      </c>
      <c r="V153" s="128" t="str">
        <f ca="1">IFERROR(IF(AND(S153="R",W153&lt;&gt;""),1,IF(S153="R",MAX(OFFSET(V152,0,0,-1*(ROW(W153)-3-MATCH(MAX($W$4:W152),$W$4:W152,0)),1))+1,"")),"")</f>
        <v/>
      </c>
      <c r="W153" s="129" t="str">
        <f>IFERROR(IF(AND(S153="R", P153&gt;MAX($X$3:X152)),P153,""),"")</f>
        <v/>
      </c>
      <c r="X153" s="129" t="str">
        <f>IFERROR(IF(AND(W153="",Q153&gt;=MAX($X$3:X152)),IF(S153="R",Q153,IF(AND(W153="",P153&lt;=MAX($X$3:X152)),MAX($X$3:X152),"")),IF(W153&lt;&gt;"", Q153,"")),"")</f>
        <v/>
      </c>
      <c r="Y153" s="126" t="str">
        <f>IF(S153="S",IF(OR(P153&lt;=MAX($X$3:X152),P153&gt;=IF(MIN(W$53:$W154)&lt;1,99999999,MIN(W$53:$W154))),"Yes","No"),"")</f>
        <v/>
      </c>
      <c r="AA153" s="130" t="str">
        <f t="shared" si="36"/>
        <v/>
      </c>
      <c r="AB153" s="131" t="str">
        <f t="array" ref="AB153">IF(AA153&lt;=$AA$2,MIN(IF($L$4:$L$503&lt;=AB152,99999999999,$L$4:$L$503)),"")</f>
        <v/>
      </c>
      <c r="AC153" s="130" t="str">
        <f>IF(ISNUMBER(AA153),IF(Dashboard!$H$6&lt;&gt;"Horizontal",AC152+dateDistance,AC152),"")</f>
        <v/>
      </c>
      <c r="AD153" s="130" t="str">
        <f>IF(ISNUMBER(AA153),IF(Dashboard!$H$6="Horizontal",AD152+dateDistance,AD152),"")</f>
        <v/>
      </c>
      <c r="AE153" s="132" t="str">
        <f>IF(ISNUMBER(P153), IF(Dashboard!$H$6="Horizontal",IF(S153="S",INDEX($AC$4:$AC$503,MATCH(P153,$AB$4:$AB$503,0),1)+boxDistance*(T153+IF(Y153="No",IF(ISODD(T153),IF(T153&gt;0,1,-1),0),0))*IF(Y153="No",IF(ISODD(T153),0.5,-0.5),1),timelineStartRow - boxDistance * V153),IF( S153="S",INDEX($AC$4:$AC$503,MATCH(P153,$AB$4:$AB$503,0),1),INDEX($AC$4:$AC$503,MATCH(P153,$AB$4:$AB$503,0),1)&amp;"-"&amp;INDEX($AC$4:$AC$503,MATCH(Q153,$AB$4:$AB$503,0),1))),"")</f>
        <v/>
      </c>
      <c r="AF153" s="132" t="str">
        <f>IF(ISNUMBER(P153), IF(Dashboard!$H$6&lt;&gt;"Horizontal",IF(S153="S",INDEX($AD$4:$AD$503,MATCH(P153,$AB$4:$AB$503,0),1)+boxDistance*(T153+IF(Y153="No",IF(ISODD(T153),IF(T153&gt;0,1,-1),0),0))*IF(Y153="No",IF(ISODD(T153),0.5,-0.5),1),timelineStartColumn-boxDistance * IF(AND(ISNUMBER(V153),V153&gt;1),V153*0.85,1)   ),IF( S153="S",INDEX($AD$4:$AD$503,MATCH(P153,$AB$4:$AB$503,0),1),INDEX($AD$4:$AD$503,MATCH(P153,$AB$4:$AB$503,0),1)&amp;"-"&amp;INDEX($AD$4:$AD$503,MATCH(Q153,$AB$4:$AB$503,0),1))),"")</f>
        <v/>
      </c>
      <c r="AG153" s="133" t="str">
        <f t="shared" si="43"/>
        <v/>
      </c>
      <c r="AH153" s="134" t="str">
        <f t="shared" si="37"/>
        <v/>
      </c>
      <c r="AI153" s="135" t="str">
        <f t="shared" si="38"/>
        <v/>
      </c>
      <c r="AJ153" s="135" t="str">
        <f t="shared" si="44"/>
        <v/>
      </c>
      <c r="AK153" s="126" t="str">
        <f t="shared" si="45"/>
        <v/>
      </c>
      <c r="AL153" s="126" t="str">
        <f ca="1">IFERROR(IF(AK153="","", MATCH(AK153,OFFSET(Icons!$B$5,1,AM153-3,20,1),0)+5),"")</f>
        <v/>
      </c>
      <c r="AM153" s="126" t="str">
        <f t="shared" si="46"/>
        <v/>
      </c>
      <c r="AN153" s="90"/>
    </row>
    <row r="154" spans="5:40" ht="15" customHeight="1" x14ac:dyDescent="0.25">
      <c r="E154" s="126">
        <v>151</v>
      </c>
      <c r="F154" s="126"/>
      <c r="G154" s="127"/>
      <c r="H154" s="127"/>
      <c r="I154" s="126"/>
      <c r="K154" s="137" t="str">
        <f t="shared" si="39"/>
        <v/>
      </c>
      <c r="L154" s="127" t="str">
        <f t="shared" si="34"/>
        <v/>
      </c>
      <c r="N154" s="128" t="str">
        <f t="shared" si="40"/>
        <v/>
      </c>
      <c r="O154" s="126" t="str">
        <f t="array" ref="O154">IFERROR(SMALL(IF(($G$4:$G$253=P154),ROW($G$4:$G$253)-ROW($G$3),"" ),N154),"")</f>
        <v/>
      </c>
      <c r="P154" s="127" t="str">
        <f t="array" ref="P154">IFERROR(SMALL($G$4:$G$253,E154),"")</f>
        <v/>
      </c>
      <c r="Q154" s="127" t="str">
        <f t="shared" si="41"/>
        <v/>
      </c>
      <c r="R154" s="126" t="str">
        <f t="shared" si="42"/>
        <v/>
      </c>
      <c r="S154" s="126" t="str">
        <f t="shared" si="35"/>
        <v/>
      </c>
      <c r="T154" s="128" t="str">
        <f>IF(OR(S154="R",S154=""),"",COUNTIFS($P$4:P154,P154,$S$4:S154,"S")*U154)</f>
        <v/>
      </c>
      <c r="U154" s="128" t="str">
        <f>IF(ISNUMBER(N154),IF($C$11=TRUE,IF(OR(ISODD(COUNTIF($N$4:N154,1)),Y154="Yes"),1,-1),1),"")</f>
        <v/>
      </c>
      <c r="V154" s="128" t="str">
        <f ca="1">IFERROR(IF(AND(S154="R",W154&lt;&gt;""),1,IF(S154="R",MAX(OFFSET(V153,0,0,-1*(ROW(W154)-3-MATCH(MAX($W$4:W153),$W$4:W153,0)),1))+1,"")),"")</f>
        <v/>
      </c>
      <c r="W154" s="129" t="str">
        <f>IFERROR(IF(AND(S154="R", P154&gt;MAX($X$3:X153)),P154,""),"")</f>
        <v/>
      </c>
      <c r="X154" s="129" t="str">
        <f>IFERROR(IF(AND(W154="",Q154&gt;=MAX($X$3:X153)),IF(S154="R",Q154,IF(AND(W154="",P154&lt;=MAX($X$3:X153)),MAX($X$3:X153),"")),IF(W154&lt;&gt;"", Q154,"")),"")</f>
        <v/>
      </c>
      <c r="Y154" s="126" t="str">
        <f>IF(S154="S",IF(OR(P154&lt;=MAX($X$3:X153),P154&gt;=IF(MIN(W$53:$W155)&lt;1,99999999,MIN(W$53:$W155))),"Yes","No"),"")</f>
        <v/>
      </c>
      <c r="AA154" s="130" t="str">
        <f t="shared" si="36"/>
        <v/>
      </c>
      <c r="AB154" s="131" t="str">
        <f t="array" ref="AB154">IF(AA154&lt;=$AA$2,MIN(IF($L$4:$L$503&lt;=AB153,99999999999,$L$4:$L$503)),"")</f>
        <v/>
      </c>
      <c r="AC154" s="130" t="str">
        <f>IF(ISNUMBER(AA154),IF(Dashboard!$H$6&lt;&gt;"Horizontal",AC153+dateDistance,AC153),"")</f>
        <v/>
      </c>
      <c r="AD154" s="130" t="str">
        <f>IF(ISNUMBER(AA154),IF(Dashboard!$H$6="Horizontal",AD153+dateDistance,AD153),"")</f>
        <v/>
      </c>
      <c r="AE154" s="132" t="str">
        <f>IF(ISNUMBER(P154), IF(Dashboard!$H$6="Horizontal",IF(S154="S",INDEX($AC$4:$AC$503,MATCH(P154,$AB$4:$AB$503,0),1)+boxDistance*(T154+IF(Y154="No",IF(ISODD(T154),IF(T154&gt;0,1,-1),0),0))*IF(Y154="No",IF(ISODD(T154),0.5,-0.5),1),timelineStartRow - boxDistance * V154),IF( S154="S",INDEX($AC$4:$AC$503,MATCH(P154,$AB$4:$AB$503,0),1),INDEX($AC$4:$AC$503,MATCH(P154,$AB$4:$AB$503,0),1)&amp;"-"&amp;INDEX($AC$4:$AC$503,MATCH(Q154,$AB$4:$AB$503,0),1))),"")</f>
        <v/>
      </c>
      <c r="AF154" s="132" t="str">
        <f>IF(ISNUMBER(P154), IF(Dashboard!$H$6&lt;&gt;"Horizontal",IF(S154="S",INDEX($AD$4:$AD$503,MATCH(P154,$AB$4:$AB$503,0),1)+boxDistance*(T154+IF(Y154="No",IF(ISODD(T154),IF(T154&gt;0,1,-1),0),0))*IF(Y154="No",IF(ISODD(T154),0.5,-0.5),1),timelineStartColumn-boxDistance * IF(AND(ISNUMBER(V154),V154&gt;1),V154*0.85,1)   ),IF( S154="S",INDEX($AD$4:$AD$503,MATCH(P154,$AB$4:$AB$503,0),1),INDEX($AD$4:$AD$503,MATCH(P154,$AB$4:$AB$503,0),1)&amp;"-"&amp;INDEX($AD$4:$AD$503,MATCH(Q154,$AB$4:$AB$503,0),1))),"")</f>
        <v/>
      </c>
      <c r="AG154" s="133" t="str">
        <f t="shared" si="43"/>
        <v/>
      </c>
      <c r="AH154" s="134" t="str">
        <f t="shared" si="37"/>
        <v/>
      </c>
      <c r="AI154" s="135" t="str">
        <f t="shared" si="38"/>
        <v/>
      </c>
      <c r="AJ154" s="135" t="str">
        <f t="shared" si="44"/>
        <v/>
      </c>
      <c r="AK154" s="126" t="str">
        <f t="shared" si="45"/>
        <v/>
      </c>
      <c r="AL154" s="126" t="str">
        <f ca="1">IFERROR(IF(AK154="","", MATCH(AK154,OFFSET(Icons!$B$5,1,AM154-3,20,1),0)+5),"")</f>
        <v/>
      </c>
      <c r="AM154" s="126" t="str">
        <f t="shared" si="46"/>
        <v/>
      </c>
      <c r="AN154" s="90"/>
    </row>
    <row r="155" spans="5:40" ht="15" customHeight="1" x14ac:dyDescent="0.25">
      <c r="E155" s="126">
        <v>152</v>
      </c>
      <c r="F155" s="126"/>
      <c r="G155" s="127"/>
      <c r="H155" s="127"/>
      <c r="I155" s="126"/>
      <c r="K155" s="137" t="str">
        <f t="shared" si="39"/>
        <v/>
      </c>
      <c r="L155" s="127" t="str">
        <f t="shared" si="34"/>
        <v/>
      </c>
      <c r="N155" s="128" t="str">
        <f t="shared" si="40"/>
        <v/>
      </c>
      <c r="O155" s="126" t="str">
        <f t="array" ref="O155">IFERROR(SMALL(IF(($G$4:$G$253=P155),ROW($G$4:$G$253)-ROW($G$3),"" ),N155),"")</f>
        <v/>
      </c>
      <c r="P155" s="127" t="str">
        <f t="array" ref="P155">IFERROR(SMALL($G$4:$G$253,E155),"")</f>
        <v/>
      </c>
      <c r="Q155" s="127" t="str">
        <f t="shared" si="41"/>
        <v/>
      </c>
      <c r="R155" s="126" t="str">
        <f t="shared" si="42"/>
        <v/>
      </c>
      <c r="S155" s="126" t="str">
        <f t="shared" si="35"/>
        <v/>
      </c>
      <c r="T155" s="128" t="str">
        <f>IF(OR(S155="R",S155=""),"",COUNTIFS($P$4:P155,P155,$S$4:S155,"S")*U155)</f>
        <v/>
      </c>
      <c r="U155" s="128" t="str">
        <f>IF(ISNUMBER(N155),IF($C$11=TRUE,IF(OR(ISODD(COUNTIF($N$4:N155,1)),Y155="Yes"),1,-1),1),"")</f>
        <v/>
      </c>
      <c r="V155" s="128" t="str">
        <f ca="1">IFERROR(IF(AND(S155="R",W155&lt;&gt;""),1,IF(S155="R",MAX(OFFSET(V154,0,0,-1*(ROW(W155)-3-MATCH(MAX($W$4:W154),$W$4:W154,0)),1))+1,"")),"")</f>
        <v/>
      </c>
      <c r="W155" s="129" t="str">
        <f>IFERROR(IF(AND(S155="R", P155&gt;MAX($X$3:X154)),P155,""),"")</f>
        <v/>
      </c>
      <c r="X155" s="129" t="str">
        <f>IFERROR(IF(AND(W155="",Q155&gt;=MAX($X$3:X154)),IF(S155="R",Q155,IF(AND(W155="",P155&lt;=MAX($X$3:X154)),MAX($X$3:X154),"")),IF(W155&lt;&gt;"", Q155,"")),"")</f>
        <v/>
      </c>
      <c r="Y155" s="126" t="str">
        <f>IF(S155="S",IF(OR(P155&lt;=MAX($X$3:X154),P155&gt;=IF(MIN(W$53:$W156)&lt;1,99999999,MIN(W$53:$W156))),"Yes","No"),"")</f>
        <v/>
      </c>
      <c r="AA155" s="130" t="str">
        <f t="shared" si="36"/>
        <v/>
      </c>
      <c r="AB155" s="131" t="str">
        <f t="array" ref="AB155">IF(AA155&lt;=$AA$2,MIN(IF($L$4:$L$503&lt;=AB154,99999999999,$L$4:$L$503)),"")</f>
        <v/>
      </c>
      <c r="AC155" s="130" t="str">
        <f>IF(ISNUMBER(AA155),IF(Dashboard!$H$6&lt;&gt;"Horizontal",AC154+dateDistance,AC154),"")</f>
        <v/>
      </c>
      <c r="AD155" s="130" t="str">
        <f>IF(ISNUMBER(AA155),IF(Dashboard!$H$6="Horizontal",AD154+dateDistance,AD154),"")</f>
        <v/>
      </c>
      <c r="AE155" s="132" t="str">
        <f>IF(ISNUMBER(P155), IF(Dashboard!$H$6="Horizontal",IF(S155="S",INDEX($AC$4:$AC$503,MATCH(P155,$AB$4:$AB$503,0),1)+boxDistance*(T155+IF(Y155="No",IF(ISODD(T155),IF(T155&gt;0,1,-1),0),0))*IF(Y155="No",IF(ISODD(T155),0.5,-0.5),1),timelineStartRow - boxDistance * V155),IF( S155="S",INDEX($AC$4:$AC$503,MATCH(P155,$AB$4:$AB$503,0),1),INDEX($AC$4:$AC$503,MATCH(P155,$AB$4:$AB$503,0),1)&amp;"-"&amp;INDEX($AC$4:$AC$503,MATCH(Q155,$AB$4:$AB$503,0),1))),"")</f>
        <v/>
      </c>
      <c r="AF155" s="132" t="str">
        <f>IF(ISNUMBER(P155), IF(Dashboard!$H$6&lt;&gt;"Horizontal",IF(S155="S",INDEX($AD$4:$AD$503,MATCH(P155,$AB$4:$AB$503,0),1)+boxDistance*(T155+IF(Y155="No",IF(ISODD(T155),IF(T155&gt;0,1,-1),0),0))*IF(Y155="No",IF(ISODD(T155),0.5,-0.5),1),timelineStartColumn-boxDistance * IF(AND(ISNUMBER(V155),V155&gt;1),V155*0.85,1)   ),IF( S155="S",INDEX($AD$4:$AD$503,MATCH(P155,$AB$4:$AB$503,0),1),INDEX($AD$4:$AD$503,MATCH(P155,$AB$4:$AB$503,0),1)&amp;"-"&amp;INDEX($AD$4:$AD$503,MATCH(Q155,$AB$4:$AB$503,0),1))),"")</f>
        <v/>
      </c>
      <c r="AG155" s="133" t="str">
        <f t="shared" si="43"/>
        <v/>
      </c>
      <c r="AH155" s="134" t="str">
        <f t="shared" si="37"/>
        <v/>
      </c>
      <c r="AI155" s="135" t="str">
        <f t="shared" si="38"/>
        <v/>
      </c>
      <c r="AJ155" s="135" t="str">
        <f t="shared" si="44"/>
        <v/>
      </c>
      <c r="AK155" s="126" t="str">
        <f t="shared" si="45"/>
        <v/>
      </c>
      <c r="AL155" s="126" t="str">
        <f ca="1">IFERROR(IF(AK155="","", MATCH(AK155,OFFSET(Icons!$B$5,1,AM155-3,20,1),0)+5),"")</f>
        <v/>
      </c>
      <c r="AM155" s="126" t="str">
        <f t="shared" si="46"/>
        <v/>
      </c>
      <c r="AN155" s="90"/>
    </row>
    <row r="156" spans="5:40" ht="15" customHeight="1" x14ac:dyDescent="0.25">
      <c r="E156" s="126">
        <v>153</v>
      </c>
      <c r="F156" s="126"/>
      <c r="G156" s="127"/>
      <c r="H156" s="127"/>
      <c r="I156" s="126"/>
      <c r="K156" s="137" t="str">
        <f t="shared" si="39"/>
        <v/>
      </c>
      <c r="L156" s="127" t="str">
        <f t="shared" si="34"/>
        <v/>
      </c>
      <c r="N156" s="128" t="str">
        <f t="shared" si="40"/>
        <v/>
      </c>
      <c r="O156" s="126" t="str">
        <f t="array" ref="O156">IFERROR(SMALL(IF(($G$4:$G$253=P156),ROW($G$4:$G$253)-ROW($G$3),"" ),N156),"")</f>
        <v/>
      </c>
      <c r="P156" s="127" t="str">
        <f t="array" ref="P156">IFERROR(SMALL($G$4:$G$253,E156),"")</f>
        <v/>
      </c>
      <c r="Q156" s="127" t="str">
        <f t="shared" si="41"/>
        <v/>
      </c>
      <c r="R156" s="126" t="str">
        <f t="shared" si="42"/>
        <v/>
      </c>
      <c r="S156" s="126" t="str">
        <f t="shared" si="35"/>
        <v/>
      </c>
      <c r="T156" s="128" t="str">
        <f>IF(OR(S156="R",S156=""),"",COUNTIFS($P$4:P156,P156,$S$4:S156,"S")*U156)</f>
        <v/>
      </c>
      <c r="U156" s="128" t="str">
        <f>IF(ISNUMBER(N156),IF($C$11=TRUE,IF(OR(ISODD(COUNTIF($N$4:N156,1)),Y156="Yes"),1,-1),1),"")</f>
        <v/>
      </c>
      <c r="V156" s="128" t="str">
        <f ca="1">IFERROR(IF(AND(S156="R",W156&lt;&gt;""),1,IF(S156="R",MAX(OFFSET(V155,0,0,-1*(ROW(W156)-3-MATCH(MAX($W$4:W155),$W$4:W155,0)),1))+1,"")),"")</f>
        <v/>
      </c>
      <c r="W156" s="129" t="str">
        <f>IFERROR(IF(AND(S156="R", P156&gt;MAX($X$3:X155)),P156,""),"")</f>
        <v/>
      </c>
      <c r="X156" s="129" t="str">
        <f>IFERROR(IF(AND(W156="",Q156&gt;=MAX($X$3:X155)),IF(S156="R",Q156,IF(AND(W156="",P156&lt;=MAX($X$3:X155)),MAX($X$3:X155),"")),IF(W156&lt;&gt;"", Q156,"")),"")</f>
        <v/>
      </c>
      <c r="Y156" s="126" t="str">
        <f>IF(S156="S",IF(OR(P156&lt;=MAX($X$3:X155),P156&gt;=IF(MIN(W$53:$W157)&lt;1,99999999,MIN(W$53:$W157))),"Yes","No"),"")</f>
        <v/>
      </c>
      <c r="AA156" s="130" t="str">
        <f t="shared" si="36"/>
        <v/>
      </c>
      <c r="AB156" s="131" t="str">
        <f t="array" ref="AB156">IF(AA156&lt;=$AA$2,MIN(IF($L$4:$L$503&lt;=AB155,99999999999,$L$4:$L$503)),"")</f>
        <v/>
      </c>
      <c r="AC156" s="130" t="str">
        <f>IF(ISNUMBER(AA156),IF(Dashboard!$H$6&lt;&gt;"Horizontal",AC155+dateDistance,AC155),"")</f>
        <v/>
      </c>
      <c r="AD156" s="130" t="str">
        <f>IF(ISNUMBER(AA156),IF(Dashboard!$H$6="Horizontal",AD155+dateDistance,AD155),"")</f>
        <v/>
      </c>
      <c r="AE156" s="132" t="str">
        <f>IF(ISNUMBER(P156), IF(Dashboard!$H$6="Horizontal",IF(S156="S",INDEX($AC$4:$AC$503,MATCH(P156,$AB$4:$AB$503,0),1)+boxDistance*(T156+IF(Y156="No",IF(ISODD(T156),IF(T156&gt;0,1,-1),0),0))*IF(Y156="No",IF(ISODD(T156),0.5,-0.5),1),timelineStartRow - boxDistance * V156),IF( S156="S",INDEX($AC$4:$AC$503,MATCH(P156,$AB$4:$AB$503,0),1),INDEX($AC$4:$AC$503,MATCH(P156,$AB$4:$AB$503,0),1)&amp;"-"&amp;INDEX($AC$4:$AC$503,MATCH(Q156,$AB$4:$AB$503,0),1))),"")</f>
        <v/>
      </c>
      <c r="AF156" s="132" t="str">
        <f>IF(ISNUMBER(P156), IF(Dashboard!$H$6&lt;&gt;"Horizontal",IF(S156="S",INDEX($AD$4:$AD$503,MATCH(P156,$AB$4:$AB$503,0),1)+boxDistance*(T156+IF(Y156="No",IF(ISODD(T156),IF(T156&gt;0,1,-1),0),0))*IF(Y156="No",IF(ISODD(T156),0.5,-0.5),1),timelineStartColumn-boxDistance * IF(AND(ISNUMBER(V156),V156&gt;1),V156*0.85,1)   ),IF( S156="S",INDEX($AD$4:$AD$503,MATCH(P156,$AB$4:$AB$503,0),1),INDEX($AD$4:$AD$503,MATCH(P156,$AB$4:$AB$503,0),1)&amp;"-"&amp;INDEX($AD$4:$AD$503,MATCH(Q156,$AB$4:$AB$503,0),1))),"")</f>
        <v/>
      </c>
      <c r="AG156" s="133" t="str">
        <f t="shared" si="43"/>
        <v/>
      </c>
      <c r="AH156" s="134" t="str">
        <f t="shared" si="37"/>
        <v/>
      </c>
      <c r="AI156" s="135" t="str">
        <f t="shared" si="38"/>
        <v/>
      </c>
      <c r="AJ156" s="135" t="str">
        <f t="shared" si="44"/>
        <v/>
      </c>
      <c r="AK156" s="126" t="str">
        <f t="shared" si="45"/>
        <v/>
      </c>
      <c r="AL156" s="126" t="str">
        <f ca="1">IFERROR(IF(AK156="","", MATCH(AK156,OFFSET(Icons!$B$5,1,AM156-3,20,1),0)+5),"")</f>
        <v/>
      </c>
      <c r="AM156" s="126" t="str">
        <f t="shared" si="46"/>
        <v/>
      </c>
      <c r="AN156" s="90"/>
    </row>
    <row r="157" spans="5:40" ht="15" customHeight="1" x14ac:dyDescent="0.25">
      <c r="E157" s="126">
        <v>154</v>
      </c>
      <c r="F157" s="126"/>
      <c r="G157" s="127"/>
      <c r="H157" s="127"/>
      <c r="I157" s="126"/>
      <c r="K157" s="137" t="str">
        <f t="shared" si="39"/>
        <v/>
      </c>
      <c r="L157" s="127" t="str">
        <f t="shared" si="34"/>
        <v/>
      </c>
      <c r="N157" s="128" t="str">
        <f t="shared" si="40"/>
        <v/>
      </c>
      <c r="O157" s="126" t="str">
        <f t="array" ref="O157">IFERROR(SMALL(IF(($G$4:$G$253=P157),ROW($G$4:$G$253)-ROW($G$3),"" ),N157),"")</f>
        <v/>
      </c>
      <c r="P157" s="127" t="str">
        <f t="array" ref="P157">IFERROR(SMALL($G$4:$G$253,E157),"")</f>
        <v/>
      </c>
      <c r="Q157" s="127" t="str">
        <f t="shared" si="41"/>
        <v/>
      </c>
      <c r="R157" s="126" t="str">
        <f t="shared" si="42"/>
        <v/>
      </c>
      <c r="S157" s="126" t="str">
        <f t="shared" si="35"/>
        <v/>
      </c>
      <c r="T157" s="128" t="str">
        <f>IF(OR(S157="R",S157=""),"",COUNTIFS($P$4:P157,P157,$S$4:S157,"S")*U157)</f>
        <v/>
      </c>
      <c r="U157" s="128" t="str">
        <f>IF(ISNUMBER(N157),IF($C$11=TRUE,IF(OR(ISODD(COUNTIF($N$4:N157,1)),Y157="Yes"),1,-1),1),"")</f>
        <v/>
      </c>
      <c r="V157" s="128" t="str">
        <f ca="1">IFERROR(IF(AND(S157="R",W157&lt;&gt;""),1,IF(S157="R",MAX(OFFSET(V156,0,0,-1*(ROW(W157)-3-MATCH(MAX($W$4:W156),$W$4:W156,0)),1))+1,"")),"")</f>
        <v/>
      </c>
      <c r="W157" s="129" t="str">
        <f>IFERROR(IF(AND(S157="R", P157&gt;MAX($X$3:X156)),P157,""),"")</f>
        <v/>
      </c>
      <c r="X157" s="129" t="str">
        <f>IFERROR(IF(AND(W157="",Q157&gt;=MAX($X$3:X156)),IF(S157="R",Q157,IF(AND(W157="",P157&lt;=MAX($X$3:X156)),MAX($X$3:X156),"")),IF(W157&lt;&gt;"", Q157,"")),"")</f>
        <v/>
      </c>
      <c r="Y157" s="126" t="str">
        <f>IF(S157="S",IF(OR(P157&lt;=MAX($X$3:X156),P157&gt;=IF(MIN(W$53:$W158)&lt;1,99999999,MIN(W$53:$W158))),"Yes","No"),"")</f>
        <v/>
      </c>
      <c r="AA157" s="130" t="str">
        <f t="shared" si="36"/>
        <v/>
      </c>
      <c r="AB157" s="131" t="str">
        <f t="array" ref="AB157">IF(AA157&lt;=$AA$2,MIN(IF($L$4:$L$503&lt;=AB156,99999999999,$L$4:$L$503)),"")</f>
        <v/>
      </c>
      <c r="AC157" s="130" t="str">
        <f>IF(ISNUMBER(AA157),IF(Dashboard!$H$6&lt;&gt;"Horizontal",AC156+dateDistance,AC156),"")</f>
        <v/>
      </c>
      <c r="AD157" s="130" t="str">
        <f>IF(ISNUMBER(AA157),IF(Dashboard!$H$6="Horizontal",AD156+dateDistance,AD156),"")</f>
        <v/>
      </c>
      <c r="AE157" s="132" t="str">
        <f>IF(ISNUMBER(P157), IF(Dashboard!$H$6="Horizontal",IF(S157="S",INDEX($AC$4:$AC$503,MATCH(P157,$AB$4:$AB$503,0),1)+boxDistance*(T157+IF(Y157="No",IF(ISODD(T157),IF(T157&gt;0,1,-1),0),0))*IF(Y157="No",IF(ISODD(T157),0.5,-0.5),1),timelineStartRow - boxDistance * V157),IF( S157="S",INDEX($AC$4:$AC$503,MATCH(P157,$AB$4:$AB$503,0),1),INDEX($AC$4:$AC$503,MATCH(P157,$AB$4:$AB$503,0),1)&amp;"-"&amp;INDEX($AC$4:$AC$503,MATCH(Q157,$AB$4:$AB$503,0),1))),"")</f>
        <v/>
      </c>
      <c r="AF157" s="132" t="str">
        <f>IF(ISNUMBER(P157), IF(Dashboard!$H$6&lt;&gt;"Horizontal",IF(S157="S",INDEX($AD$4:$AD$503,MATCH(P157,$AB$4:$AB$503,0),1)+boxDistance*(T157+IF(Y157="No",IF(ISODD(T157),IF(T157&gt;0,1,-1),0),0))*IF(Y157="No",IF(ISODD(T157),0.5,-0.5),1),timelineStartColumn-boxDistance * IF(AND(ISNUMBER(V157),V157&gt;1),V157*0.85,1)   ),IF( S157="S",INDEX($AD$4:$AD$503,MATCH(P157,$AB$4:$AB$503,0),1),INDEX($AD$4:$AD$503,MATCH(P157,$AB$4:$AB$503,0),1)&amp;"-"&amp;INDEX($AD$4:$AD$503,MATCH(Q157,$AB$4:$AB$503,0),1))),"")</f>
        <v/>
      </c>
      <c r="AG157" s="133" t="str">
        <f t="shared" si="43"/>
        <v/>
      </c>
      <c r="AH157" s="134" t="str">
        <f t="shared" si="37"/>
        <v/>
      </c>
      <c r="AI157" s="135" t="str">
        <f t="shared" si="38"/>
        <v/>
      </c>
      <c r="AJ157" s="135" t="str">
        <f t="shared" si="44"/>
        <v/>
      </c>
      <c r="AK157" s="126" t="str">
        <f t="shared" si="45"/>
        <v/>
      </c>
      <c r="AL157" s="126" t="str">
        <f ca="1">IFERROR(IF(AK157="","", MATCH(AK157,OFFSET(Icons!$B$5,1,AM157-3,20,1),0)+5),"")</f>
        <v/>
      </c>
      <c r="AM157" s="126" t="str">
        <f t="shared" si="46"/>
        <v/>
      </c>
      <c r="AN157" s="90"/>
    </row>
    <row r="158" spans="5:40" ht="15" customHeight="1" x14ac:dyDescent="0.25">
      <c r="E158" s="126">
        <v>155</v>
      </c>
      <c r="F158" s="126"/>
      <c r="G158" s="127"/>
      <c r="H158" s="127"/>
      <c r="I158" s="126"/>
      <c r="K158" s="137" t="str">
        <f t="shared" si="39"/>
        <v/>
      </c>
      <c r="L158" s="127" t="str">
        <f t="shared" si="34"/>
        <v/>
      </c>
      <c r="N158" s="128" t="str">
        <f t="shared" si="40"/>
        <v/>
      </c>
      <c r="O158" s="126" t="str">
        <f t="array" ref="O158">IFERROR(SMALL(IF(($G$4:$G$253=P158),ROW($G$4:$G$253)-ROW($G$3),"" ),N158),"")</f>
        <v/>
      </c>
      <c r="P158" s="127" t="str">
        <f t="array" ref="P158">IFERROR(SMALL($G$4:$G$253,E158),"")</f>
        <v/>
      </c>
      <c r="Q158" s="127" t="str">
        <f t="shared" si="41"/>
        <v/>
      </c>
      <c r="R158" s="126" t="str">
        <f t="shared" si="42"/>
        <v/>
      </c>
      <c r="S158" s="126" t="str">
        <f t="shared" si="35"/>
        <v/>
      </c>
      <c r="T158" s="128" t="str">
        <f>IF(OR(S158="R",S158=""),"",COUNTIFS($P$4:P158,P158,$S$4:S158,"S")*U158)</f>
        <v/>
      </c>
      <c r="U158" s="128" t="str">
        <f>IF(ISNUMBER(N158),IF($C$11=TRUE,IF(OR(ISODD(COUNTIF($N$4:N158,1)),Y158="Yes"),1,-1),1),"")</f>
        <v/>
      </c>
      <c r="V158" s="128" t="str">
        <f ca="1">IFERROR(IF(AND(S158="R",W158&lt;&gt;""),1,IF(S158="R",MAX(OFFSET(V157,0,0,-1*(ROW(W158)-3-MATCH(MAX($W$4:W157),$W$4:W157,0)),1))+1,"")),"")</f>
        <v/>
      </c>
      <c r="W158" s="129" t="str">
        <f>IFERROR(IF(AND(S158="R", P158&gt;MAX($X$3:X157)),P158,""),"")</f>
        <v/>
      </c>
      <c r="X158" s="129" t="str">
        <f>IFERROR(IF(AND(W158="",Q158&gt;=MAX($X$3:X157)),IF(S158="R",Q158,IF(AND(W158="",P158&lt;=MAX($X$3:X157)),MAX($X$3:X157),"")),IF(W158&lt;&gt;"", Q158,"")),"")</f>
        <v/>
      </c>
      <c r="Y158" s="126" t="str">
        <f>IF(S158="S",IF(OR(P158&lt;=MAX($X$3:X157),P158&gt;=IF(MIN(W$53:$W159)&lt;1,99999999,MIN(W$53:$W159))),"Yes","No"),"")</f>
        <v/>
      </c>
      <c r="AA158" s="130" t="str">
        <f t="shared" si="36"/>
        <v/>
      </c>
      <c r="AB158" s="131" t="str">
        <f t="array" ref="AB158">IF(AA158&lt;=$AA$2,MIN(IF($L$4:$L$503&lt;=AB157,99999999999,$L$4:$L$503)),"")</f>
        <v/>
      </c>
      <c r="AC158" s="130" t="str">
        <f>IF(ISNUMBER(AA158),IF(Dashboard!$H$6&lt;&gt;"Horizontal",AC157+dateDistance,AC157),"")</f>
        <v/>
      </c>
      <c r="AD158" s="130" t="str">
        <f>IF(ISNUMBER(AA158),IF(Dashboard!$H$6="Horizontal",AD157+dateDistance,AD157),"")</f>
        <v/>
      </c>
      <c r="AE158" s="132" t="str">
        <f>IF(ISNUMBER(P158), IF(Dashboard!$H$6="Horizontal",IF(S158="S",INDEX($AC$4:$AC$503,MATCH(P158,$AB$4:$AB$503,0),1)+boxDistance*(T158+IF(Y158="No",IF(ISODD(T158),IF(T158&gt;0,1,-1),0),0))*IF(Y158="No",IF(ISODD(T158),0.5,-0.5),1),timelineStartRow - boxDistance * V158),IF( S158="S",INDEX($AC$4:$AC$503,MATCH(P158,$AB$4:$AB$503,0),1),INDEX($AC$4:$AC$503,MATCH(P158,$AB$4:$AB$503,0),1)&amp;"-"&amp;INDEX($AC$4:$AC$503,MATCH(Q158,$AB$4:$AB$503,0),1))),"")</f>
        <v/>
      </c>
      <c r="AF158" s="132" t="str">
        <f>IF(ISNUMBER(P158), IF(Dashboard!$H$6&lt;&gt;"Horizontal",IF(S158="S",INDEX($AD$4:$AD$503,MATCH(P158,$AB$4:$AB$503,0),1)+boxDistance*(T158+IF(Y158="No",IF(ISODD(T158),IF(T158&gt;0,1,-1),0),0))*IF(Y158="No",IF(ISODD(T158),0.5,-0.5),1),timelineStartColumn-boxDistance * IF(AND(ISNUMBER(V158),V158&gt;1),V158*0.85,1)   ),IF( S158="S",INDEX($AD$4:$AD$503,MATCH(P158,$AB$4:$AB$503,0),1),INDEX($AD$4:$AD$503,MATCH(P158,$AB$4:$AB$503,0),1)&amp;"-"&amp;INDEX($AD$4:$AD$503,MATCH(Q158,$AB$4:$AB$503,0),1))),"")</f>
        <v/>
      </c>
      <c r="AG158" s="133" t="str">
        <f t="shared" si="43"/>
        <v/>
      </c>
      <c r="AH158" s="134" t="str">
        <f t="shared" si="37"/>
        <v/>
      </c>
      <c r="AI158" s="135" t="str">
        <f t="shared" si="38"/>
        <v/>
      </c>
      <c r="AJ158" s="135" t="str">
        <f t="shared" si="44"/>
        <v/>
      </c>
      <c r="AK158" s="126" t="str">
        <f t="shared" si="45"/>
        <v/>
      </c>
      <c r="AL158" s="126" t="str">
        <f ca="1">IFERROR(IF(AK158="","", MATCH(AK158,OFFSET(Icons!$B$5,1,AM158-3,20,1),0)+5),"")</f>
        <v/>
      </c>
      <c r="AM158" s="126" t="str">
        <f t="shared" si="46"/>
        <v/>
      </c>
      <c r="AN158" s="90"/>
    </row>
    <row r="159" spans="5:40" ht="15" customHeight="1" x14ac:dyDescent="0.25">
      <c r="E159" s="126">
        <v>156</v>
      </c>
      <c r="F159" s="126"/>
      <c r="G159" s="127"/>
      <c r="H159" s="127"/>
      <c r="I159" s="126"/>
      <c r="K159" s="137" t="str">
        <f t="shared" si="39"/>
        <v/>
      </c>
      <c r="L159" s="127" t="str">
        <f t="shared" si="34"/>
        <v/>
      </c>
      <c r="N159" s="128" t="str">
        <f t="shared" si="40"/>
        <v/>
      </c>
      <c r="O159" s="126" t="str">
        <f t="array" ref="O159">IFERROR(SMALL(IF(($G$4:$G$253=P159),ROW($G$4:$G$253)-ROW($G$3),"" ),N159),"")</f>
        <v/>
      </c>
      <c r="P159" s="127" t="str">
        <f t="array" ref="P159">IFERROR(SMALL($G$4:$G$253,E159),"")</f>
        <v/>
      </c>
      <c r="Q159" s="127" t="str">
        <f t="shared" si="41"/>
        <v/>
      </c>
      <c r="R159" s="126" t="str">
        <f t="shared" si="42"/>
        <v/>
      </c>
      <c r="S159" s="126" t="str">
        <f t="shared" si="35"/>
        <v/>
      </c>
      <c r="T159" s="128" t="str">
        <f>IF(OR(S159="R",S159=""),"",COUNTIFS($P$4:P159,P159,$S$4:S159,"S")*U159)</f>
        <v/>
      </c>
      <c r="U159" s="128" t="str">
        <f>IF(ISNUMBER(N159),IF($C$11=TRUE,IF(OR(ISODD(COUNTIF($N$4:N159,1)),Y159="Yes"),1,-1),1),"")</f>
        <v/>
      </c>
      <c r="V159" s="128" t="str">
        <f ca="1">IFERROR(IF(AND(S159="R",W159&lt;&gt;""),1,IF(S159="R",MAX(OFFSET(V158,0,0,-1*(ROW(W159)-3-MATCH(MAX($W$4:W158),$W$4:W158,0)),1))+1,"")),"")</f>
        <v/>
      </c>
      <c r="W159" s="129" t="str">
        <f>IFERROR(IF(AND(S159="R", P159&gt;MAX($X$3:X158)),P159,""),"")</f>
        <v/>
      </c>
      <c r="X159" s="129" t="str">
        <f>IFERROR(IF(AND(W159="",Q159&gt;=MAX($X$3:X158)),IF(S159="R",Q159,IF(AND(W159="",P159&lt;=MAX($X$3:X158)),MAX($X$3:X158),"")),IF(W159&lt;&gt;"", Q159,"")),"")</f>
        <v/>
      </c>
      <c r="Y159" s="126" t="str">
        <f>IF(S159="S",IF(OR(P159&lt;=MAX($X$3:X158),P159&gt;=IF(MIN(W$53:$W160)&lt;1,99999999,MIN(W$53:$W160))),"Yes","No"),"")</f>
        <v/>
      </c>
      <c r="AA159" s="130" t="str">
        <f t="shared" si="36"/>
        <v/>
      </c>
      <c r="AB159" s="131" t="str">
        <f t="array" ref="AB159">IF(AA159&lt;=$AA$2,MIN(IF($L$4:$L$503&lt;=AB158,99999999999,$L$4:$L$503)),"")</f>
        <v/>
      </c>
      <c r="AC159" s="130" t="str">
        <f>IF(ISNUMBER(AA159),IF(Dashboard!$H$6&lt;&gt;"Horizontal",AC158+dateDistance,AC158),"")</f>
        <v/>
      </c>
      <c r="AD159" s="130" t="str">
        <f>IF(ISNUMBER(AA159),IF(Dashboard!$H$6="Horizontal",AD158+dateDistance,AD158),"")</f>
        <v/>
      </c>
      <c r="AE159" s="132" t="str">
        <f>IF(ISNUMBER(P159), IF(Dashboard!$H$6="Horizontal",IF(S159="S",INDEX($AC$4:$AC$503,MATCH(P159,$AB$4:$AB$503,0),1)+boxDistance*(T159+IF(Y159="No",IF(ISODD(T159),IF(T159&gt;0,1,-1),0),0))*IF(Y159="No",IF(ISODD(T159),0.5,-0.5),1),timelineStartRow - boxDistance * V159),IF( S159="S",INDEX($AC$4:$AC$503,MATCH(P159,$AB$4:$AB$503,0),1),INDEX($AC$4:$AC$503,MATCH(P159,$AB$4:$AB$503,0),1)&amp;"-"&amp;INDEX($AC$4:$AC$503,MATCH(Q159,$AB$4:$AB$503,0),1))),"")</f>
        <v/>
      </c>
      <c r="AF159" s="132" t="str">
        <f>IF(ISNUMBER(P159), IF(Dashboard!$H$6&lt;&gt;"Horizontal",IF(S159="S",INDEX($AD$4:$AD$503,MATCH(P159,$AB$4:$AB$503,0),1)+boxDistance*(T159+IF(Y159="No",IF(ISODD(T159),IF(T159&gt;0,1,-1),0),0))*IF(Y159="No",IF(ISODD(T159),0.5,-0.5),1),timelineStartColumn-boxDistance * IF(AND(ISNUMBER(V159),V159&gt;1),V159*0.85,1)   ),IF( S159="S",INDEX($AD$4:$AD$503,MATCH(P159,$AB$4:$AB$503,0),1),INDEX($AD$4:$AD$503,MATCH(P159,$AB$4:$AB$503,0),1)&amp;"-"&amp;INDEX($AD$4:$AD$503,MATCH(Q159,$AB$4:$AB$503,0),1))),"")</f>
        <v/>
      </c>
      <c r="AG159" s="133" t="str">
        <f t="shared" si="43"/>
        <v/>
      </c>
      <c r="AH159" s="134" t="str">
        <f t="shared" si="37"/>
        <v/>
      </c>
      <c r="AI159" s="135" t="str">
        <f t="shared" si="38"/>
        <v/>
      </c>
      <c r="AJ159" s="135" t="str">
        <f t="shared" si="44"/>
        <v/>
      </c>
      <c r="AK159" s="126" t="str">
        <f t="shared" si="45"/>
        <v/>
      </c>
      <c r="AL159" s="126" t="str">
        <f ca="1">IFERROR(IF(AK159="","", MATCH(AK159,OFFSET(Icons!$B$5,1,AM159-3,20,1),0)+5),"")</f>
        <v/>
      </c>
      <c r="AM159" s="126" t="str">
        <f t="shared" si="46"/>
        <v/>
      </c>
      <c r="AN159" s="90"/>
    </row>
    <row r="160" spans="5:40" ht="15" customHeight="1" x14ac:dyDescent="0.25">
      <c r="E160" s="126">
        <v>157</v>
      </c>
      <c r="F160" s="126"/>
      <c r="G160" s="127"/>
      <c r="H160" s="127"/>
      <c r="I160" s="126"/>
      <c r="K160" s="137" t="str">
        <f t="shared" si="39"/>
        <v/>
      </c>
      <c r="L160" s="127" t="str">
        <f t="shared" si="34"/>
        <v/>
      </c>
      <c r="N160" s="128" t="str">
        <f t="shared" si="40"/>
        <v/>
      </c>
      <c r="O160" s="126" t="str">
        <f t="array" ref="O160">IFERROR(SMALL(IF(($G$4:$G$253=P160),ROW($G$4:$G$253)-ROW($G$3),"" ),N160),"")</f>
        <v/>
      </c>
      <c r="P160" s="127" t="str">
        <f t="array" ref="P160">IFERROR(SMALL($G$4:$G$253,E160),"")</f>
        <v/>
      </c>
      <c r="Q160" s="127" t="str">
        <f t="shared" si="41"/>
        <v/>
      </c>
      <c r="R160" s="126" t="str">
        <f t="shared" si="42"/>
        <v/>
      </c>
      <c r="S160" s="126" t="str">
        <f t="shared" si="35"/>
        <v/>
      </c>
      <c r="T160" s="128" t="str">
        <f>IF(OR(S160="R",S160=""),"",COUNTIFS($P$4:P160,P160,$S$4:S160,"S")*U160)</f>
        <v/>
      </c>
      <c r="U160" s="128" t="str">
        <f>IF(ISNUMBER(N160),IF($C$11=TRUE,IF(OR(ISODD(COUNTIF($N$4:N160,1)),Y160="Yes"),1,-1),1),"")</f>
        <v/>
      </c>
      <c r="V160" s="128" t="str">
        <f ca="1">IFERROR(IF(AND(S160="R",W160&lt;&gt;""),1,IF(S160="R",MAX(OFFSET(V159,0,0,-1*(ROW(W160)-3-MATCH(MAX($W$4:W159),$W$4:W159,0)),1))+1,"")),"")</f>
        <v/>
      </c>
      <c r="W160" s="129" t="str">
        <f>IFERROR(IF(AND(S160="R", P160&gt;MAX($X$3:X159)),P160,""),"")</f>
        <v/>
      </c>
      <c r="X160" s="129" t="str">
        <f>IFERROR(IF(AND(W160="",Q160&gt;=MAX($X$3:X159)),IF(S160="R",Q160,IF(AND(W160="",P160&lt;=MAX($X$3:X159)),MAX($X$3:X159),"")),IF(W160&lt;&gt;"", Q160,"")),"")</f>
        <v/>
      </c>
      <c r="Y160" s="126" t="str">
        <f>IF(S160="S",IF(OR(P160&lt;=MAX($X$3:X159),P160&gt;=IF(MIN(W$53:$W161)&lt;1,99999999,MIN(W$53:$W161))),"Yes","No"),"")</f>
        <v/>
      </c>
      <c r="AA160" s="130" t="str">
        <f t="shared" si="36"/>
        <v/>
      </c>
      <c r="AB160" s="131" t="str">
        <f t="array" ref="AB160">IF(AA160&lt;=$AA$2,MIN(IF($L$4:$L$503&lt;=AB159,99999999999,$L$4:$L$503)),"")</f>
        <v/>
      </c>
      <c r="AC160" s="130" t="str">
        <f>IF(ISNUMBER(AA160),IF(Dashboard!$H$6&lt;&gt;"Horizontal",AC159+dateDistance,AC159),"")</f>
        <v/>
      </c>
      <c r="AD160" s="130" t="str">
        <f>IF(ISNUMBER(AA160),IF(Dashboard!$H$6="Horizontal",AD159+dateDistance,AD159),"")</f>
        <v/>
      </c>
      <c r="AE160" s="132" t="str">
        <f>IF(ISNUMBER(P160), IF(Dashboard!$H$6="Horizontal",IF(S160="S",INDEX($AC$4:$AC$503,MATCH(P160,$AB$4:$AB$503,0),1)+boxDistance*(T160+IF(Y160="No",IF(ISODD(T160),IF(T160&gt;0,1,-1),0),0))*IF(Y160="No",IF(ISODD(T160),0.5,-0.5),1),timelineStartRow - boxDistance * V160),IF( S160="S",INDEX($AC$4:$AC$503,MATCH(P160,$AB$4:$AB$503,0),1),INDEX($AC$4:$AC$503,MATCH(P160,$AB$4:$AB$503,0),1)&amp;"-"&amp;INDEX($AC$4:$AC$503,MATCH(Q160,$AB$4:$AB$503,0),1))),"")</f>
        <v/>
      </c>
      <c r="AF160" s="132" t="str">
        <f>IF(ISNUMBER(P160), IF(Dashboard!$H$6&lt;&gt;"Horizontal",IF(S160="S",INDEX($AD$4:$AD$503,MATCH(P160,$AB$4:$AB$503,0),1)+boxDistance*(T160+IF(Y160="No",IF(ISODD(T160),IF(T160&gt;0,1,-1),0),0))*IF(Y160="No",IF(ISODD(T160),0.5,-0.5),1),timelineStartColumn-boxDistance * IF(AND(ISNUMBER(V160),V160&gt;1),V160*0.85,1)   ),IF( S160="S",INDEX($AD$4:$AD$503,MATCH(P160,$AB$4:$AB$503,0),1),INDEX($AD$4:$AD$503,MATCH(P160,$AB$4:$AB$503,0),1)&amp;"-"&amp;INDEX($AD$4:$AD$503,MATCH(Q160,$AB$4:$AB$503,0),1))),"")</f>
        <v/>
      </c>
      <c r="AG160" s="133" t="str">
        <f t="shared" si="43"/>
        <v/>
      </c>
      <c r="AH160" s="134" t="str">
        <f t="shared" si="37"/>
        <v/>
      </c>
      <c r="AI160" s="135" t="str">
        <f t="shared" si="38"/>
        <v/>
      </c>
      <c r="AJ160" s="135" t="str">
        <f t="shared" si="44"/>
        <v/>
      </c>
      <c r="AK160" s="126" t="str">
        <f t="shared" si="45"/>
        <v/>
      </c>
      <c r="AL160" s="126" t="str">
        <f ca="1">IFERROR(IF(AK160="","", MATCH(AK160,OFFSET(Icons!$B$5,1,AM160-3,20,1),0)+5),"")</f>
        <v/>
      </c>
      <c r="AM160" s="126" t="str">
        <f t="shared" si="46"/>
        <v/>
      </c>
      <c r="AN160" s="90"/>
    </row>
    <row r="161" spans="5:40" ht="15" customHeight="1" x14ac:dyDescent="0.25">
      <c r="E161" s="126">
        <v>158</v>
      </c>
      <c r="F161" s="126"/>
      <c r="G161" s="127"/>
      <c r="H161" s="127"/>
      <c r="I161" s="126"/>
      <c r="K161" s="137" t="str">
        <f t="shared" si="39"/>
        <v/>
      </c>
      <c r="L161" s="127" t="str">
        <f t="shared" si="34"/>
        <v/>
      </c>
      <c r="N161" s="128" t="str">
        <f t="shared" si="40"/>
        <v/>
      </c>
      <c r="O161" s="126" t="str">
        <f t="array" ref="O161">IFERROR(SMALL(IF(($G$4:$G$253=P161),ROW($G$4:$G$253)-ROW($G$3),"" ),N161),"")</f>
        <v/>
      </c>
      <c r="P161" s="127" t="str">
        <f t="array" ref="P161">IFERROR(SMALL($G$4:$G$253,E161),"")</f>
        <v/>
      </c>
      <c r="Q161" s="127" t="str">
        <f t="shared" si="41"/>
        <v/>
      </c>
      <c r="R161" s="126" t="str">
        <f t="shared" si="42"/>
        <v/>
      </c>
      <c r="S161" s="126" t="str">
        <f t="shared" si="35"/>
        <v/>
      </c>
      <c r="T161" s="128" t="str">
        <f>IF(OR(S161="R",S161=""),"",COUNTIFS($P$4:P161,P161,$S$4:S161,"S")*U161)</f>
        <v/>
      </c>
      <c r="U161" s="128" t="str">
        <f>IF(ISNUMBER(N161),IF($C$11=TRUE,IF(OR(ISODD(COUNTIF($N$4:N161,1)),Y161="Yes"),1,-1),1),"")</f>
        <v/>
      </c>
      <c r="V161" s="128" t="str">
        <f ca="1">IFERROR(IF(AND(S161="R",W161&lt;&gt;""),1,IF(S161="R",MAX(OFFSET(V160,0,0,-1*(ROW(W161)-3-MATCH(MAX($W$4:W160),$W$4:W160,0)),1))+1,"")),"")</f>
        <v/>
      </c>
      <c r="W161" s="129" t="str">
        <f>IFERROR(IF(AND(S161="R", P161&gt;MAX($X$3:X160)),P161,""),"")</f>
        <v/>
      </c>
      <c r="X161" s="129" t="str">
        <f>IFERROR(IF(AND(W161="",Q161&gt;=MAX($X$3:X160)),IF(S161="R",Q161,IF(AND(W161="",P161&lt;=MAX($X$3:X160)),MAX($X$3:X160),"")),IF(W161&lt;&gt;"", Q161,"")),"")</f>
        <v/>
      </c>
      <c r="Y161" s="126" t="str">
        <f>IF(S161="S",IF(OR(P161&lt;=MAX($X$3:X160),P161&gt;=IF(MIN(W$53:$W162)&lt;1,99999999,MIN(W$53:$W162))),"Yes","No"),"")</f>
        <v/>
      </c>
      <c r="AA161" s="130" t="str">
        <f t="shared" si="36"/>
        <v/>
      </c>
      <c r="AB161" s="131" t="str">
        <f t="array" ref="AB161">IF(AA161&lt;=$AA$2,MIN(IF($L$4:$L$503&lt;=AB160,99999999999,$L$4:$L$503)),"")</f>
        <v/>
      </c>
      <c r="AC161" s="130" t="str">
        <f>IF(ISNUMBER(AA161),IF(Dashboard!$H$6&lt;&gt;"Horizontal",AC160+dateDistance,AC160),"")</f>
        <v/>
      </c>
      <c r="AD161" s="130" t="str">
        <f>IF(ISNUMBER(AA161),IF(Dashboard!$H$6="Horizontal",AD160+dateDistance,AD160),"")</f>
        <v/>
      </c>
      <c r="AE161" s="132" t="str">
        <f>IF(ISNUMBER(P161), IF(Dashboard!$H$6="Horizontal",IF(S161="S",INDEX($AC$4:$AC$503,MATCH(P161,$AB$4:$AB$503,0),1)+boxDistance*(T161+IF(Y161="No",IF(ISODD(T161),IF(T161&gt;0,1,-1),0),0))*IF(Y161="No",IF(ISODD(T161),0.5,-0.5),1),timelineStartRow - boxDistance * V161),IF( S161="S",INDEX($AC$4:$AC$503,MATCH(P161,$AB$4:$AB$503,0),1),INDEX($AC$4:$AC$503,MATCH(P161,$AB$4:$AB$503,0),1)&amp;"-"&amp;INDEX($AC$4:$AC$503,MATCH(Q161,$AB$4:$AB$503,0),1))),"")</f>
        <v/>
      </c>
      <c r="AF161" s="132" t="str">
        <f>IF(ISNUMBER(P161), IF(Dashboard!$H$6&lt;&gt;"Horizontal",IF(S161="S",INDEX($AD$4:$AD$503,MATCH(P161,$AB$4:$AB$503,0),1)+boxDistance*(T161+IF(Y161="No",IF(ISODD(T161),IF(T161&gt;0,1,-1),0),0))*IF(Y161="No",IF(ISODD(T161),0.5,-0.5),1),timelineStartColumn-boxDistance * IF(AND(ISNUMBER(V161),V161&gt;1),V161*0.85,1)   ),IF( S161="S",INDEX($AD$4:$AD$503,MATCH(P161,$AB$4:$AB$503,0),1),INDEX($AD$4:$AD$503,MATCH(P161,$AB$4:$AB$503,0),1)&amp;"-"&amp;INDEX($AD$4:$AD$503,MATCH(Q161,$AB$4:$AB$503,0),1))),"")</f>
        <v/>
      </c>
      <c r="AG161" s="133" t="str">
        <f t="shared" si="43"/>
        <v/>
      </c>
      <c r="AH161" s="134" t="str">
        <f t="shared" si="37"/>
        <v/>
      </c>
      <c r="AI161" s="135" t="str">
        <f t="shared" si="38"/>
        <v/>
      </c>
      <c r="AJ161" s="135" t="str">
        <f t="shared" si="44"/>
        <v/>
      </c>
      <c r="AK161" s="126" t="str">
        <f t="shared" si="45"/>
        <v/>
      </c>
      <c r="AL161" s="126" t="str">
        <f ca="1">IFERROR(IF(AK161="","", MATCH(AK161,OFFSET(Icons!$B$5,1,AM161-3,20,1),0)+5),"")</f>
        <v/>
      </c>
      <c r="AM161" s="126" t="str">
        <f t="shared" si="46"/>
        <v/>
      </c>
      <c r="AN161" s="90"/>
    </row>
    <row r="162" spans="5:40" ht="15" customHeight="1" x14ac:dyDescent="0.25">
      <c r="E162" s="126">
        <v>159</v>
      </c>
      <c r="F162" s="126"/>
      <c r="G162" s="127"/>
      <c r="H162" s="127"/>
      <c r="I162" s="126"/>
      <c r="K162" s="137" t="str">
        <f t="shared" si="39"/>
        <v/>
      </c>
      <c r="L162" s="127" t="str">
        <f t="shared" si="34"/>
        <v/>
      </c>
      <c r="N162" s="128" t="str">
        <f t="shared" si="40"/>
        <v/>
      </c>
      <c r="O162" s="126" t="str">
        <f t="array" ref="O162">IFERROR(SMALL(IF(($G$4:$G$253=P162),ROW($G$4:$G$253)-ROW($G$3),"" ),N162),"")</f>
        <v/>
      </c>
      <c r="P162" s="127" t="str">
        <f t="array" ref="P162">IFERROR(SMALL($G$4:$G$253,E162),"")</f>
        <v/>
      </c>
      <c r="Q162" s="127" t="str">
        <f t="shared" si="41"/>
        <v/>
      </c>
      <c r="R162" s="126" t="str">
        <f t="shared" si="42"/>
        <v/>
      </c>
      <c r="S162" s="126" t="str">
        <f t="shared" si="35"/>
        <v/>
      </c>
      <c r="T162" s="128" t="str">
        <f>IF(OR(S162="R",S162=""),"",COUNTIFS($P$4:P162,P162,$S$4:S162,"S")*U162)</f>
        <v/>
      </c>
      <c r="U162" s="128" t="str">
        <f>IF(ISNUMBER(N162),IF($C$11=TRUE,IF(OR(ISODD(COUNTIF($N$4:N162,1)),Y162="Yes"),1,-1),1),"")</f>
        <v/>
      </c>
      <c r="V162" s="128" t="str">
        <f ca="1">IFERROR(IF(AND(S162="R",W162&lt;&gt;""),1,IF(S162="R",MAX(OFFSET(V161,0,0,-1*(ROW(W162)-3-MATCH(MAX($W$4:W161),$W$4:W161,0)),1))+1,"")),"")</f>
        <v/>
      </c>
      <c r="W162" s="129" t="str">
        <f>IFERROR(IF(AND(S162="R", P162&gt;MAX($X$3:X161)),P162,""),"")</f>
        <v/>
      </c>
      <c r="X162" s="129" t="str">
        <f>IFERROR(IF(AND(W162="",Q162&gt;=MAX($X$3:X161)),IF(S162="R",Q162,IF(AND(W162="",P162&lt;=MAX($X$3:X161)),MAX($X$3:X161),"")),IF(W162&lt;&gt;"", Q162,"")),"")</f>
        <v/>
      </c>
      <c r="Y162" s="126" t="str">
        <f>IF(S162="S",IF(OR(P162&lt;=MAX($X$3:X161),P162&gt;=IF(MIN(W$53:$W163)&lt;1,99999999,MIN(W$53:$W163))),"Yes","No"),"")</f>
        <v/>
      </c>
      <c r="AA162" s="130" t="str">
        <f t="shared" si="36"/>
        <v/>
      </c>
      <c r="AB162" s="131" t="str">
        <f t="array" ref="AB162">IF(AA162&lt;=$AA$2,MIN(IF($L$4:$L$503&lt;=AB161,99999999999,$L$4:$L$503)),"")</f>
        <v/>
      </c>
      <c r="AC162" s="130" t="str">
        <f>IF(ISNUMBER(AA162),IF(Dashboard!$H$6&lt;&gt;"Horizontal",AC161+dateDistance,AC161),"")</f>
        <v/>
      </c>
      <c r="AD162" s="130" t="str">
        <f>IF(ISNUMBER(AA162),IF(Dashboard!$H$6="Horizontal",AD161+dateDistance,AD161),"")</f>
        <v/>
      </c>
      <c r="AE162" s="132" t="str">
        <f>IF(ISNUMBER(P162), IF(Dashboard!$H$6="Horizontal",IF(S162="S",INDEX($AC$4:$AC$503,MATCH(P162,$AB$4:$AB$503,0),1)+boxDistance*(T162+IF(Y162="No",IF(ISODD(T162),IF(T162&gt;0,1,-1),0),0))*IF(Y162="No",IF(ISODD(T162),0.5,-0.5),1),timelineStartRow - boxDistance * V162),IF( S162="S",INDEX($AC$4:$AC$503,MATCH(P162,$AB$4:$AB$503,0),1),INDEX($AC$4:$AC$503,MATCH(P162,$AB$4:$AB$503,0),1)&amp;"-"&amp;INDEX($AC$4:$AC$503,MATCH(Q162,$AB$4:$AB$503,0),1))),"")</f>
        <v/>
      </c>
      <c r="AF162" s="132" t="str">
        <f>IF(ISNUMBER(P162), IF(Dashboard!$H$6&lt;&gt;"Horizontal",IF(S162="S",INDEX($AD$4:$AD$503,MATCH(P162,$AB$4:$AB$503,0),1)+boxDistance*(T162+IF(Y162="No",IF(ISODD(T162),IF(T162&gt;0,1,-1),0),0))*IF(Y162="No",IF(ISODD(T162),0.5,-0.5),1),timelineStartColumn-boxDistance * IF(AND(ISNUMBER(V162),V162&gt;1),V162*0.85,1)   ),IF( S162="S",INDEX($AD$4:$AD$503,MATCH(P162,$AB$4:$AB$503,0),1),INDEX($AD$4:$AD$503,MATCH(P162,$AB$4:$AB$503,0),1)&amp;"-"&amp;INDEX($AD$4:$AD$503,MATCH(Q162,$AB$4:$AB$503,0),1))),"")</f>
        <v/>
      </c>
      <c r="AG162" s="133" t="str">
        <f t="shared" si="43"/>
        <v/>
      </c>
      <c r="AH162" s="134" t="str">
        <f t="shared" si="37"/>
        <v/>
      </c>
      <c r="AI162" s="135" t="str">
        <f t="shared" si="38"/>
        <v/>
      </c>
      <c r="AJ162" s="135" t="str">
        <f t="shared" si="44"/>
        <v/>
      </c>
      <c r="AK162" s="126" t="str">
        <f t="shared" si="45"/>
        <v/>
      </c>
      <c r="AL162" s="126" t="str">
        <f ca="1">IFERROR(IF(AK162="","", MATCH(AK162,OFFSET(Icons!$B$5,1,AM162-3,20,1),0)+5),"")</f>
        <v/>
      </c>
      <c r="AM162" s="126" t="str">
        <f t="shared" si="46"/>
        <v/>
      </c>
      <c r="AN162" s="90"/>
    </row>
    <row r="163" spans="5:40" ht="15" customHeight="1" x14ac:dyDescent="0.25">
      <c r="E163" s="126">
        <v>160</v>
      </c>
      <c r="F163" s="126"/>
      <c r="G163" s="127"/>
      <c r="H163" s="127"/>
      <c r="I163" s="126"/>
      <c r="K163" s="137" t="str">
        <f t="shared" si="39"/>
        <v/>
      </c>
      <c r="L163" s="127" t="str">
        <f t="shared" si="34"/>
        <v/>
      </c>
      <c r="N163" s="128" t="str">
        <f t="shared" si="40"/>
        <v/>
      </c>
      <c r="O163" s="126" t="str">
        <f t="array" ref="O163">IFERROR(SMALL(IF(($G$4:$G$253=P163),ROW($G$4:$G$253)-ROW($G$3),"" ),N163),"")</f>
        <v/>
      </c>
      <c r="P163" s="127" t="str">
        <f t="array" ref="P163">IFERROR(SMALL($G$4:$G$253,E163),"")</f>
        <v/>
      </c>
      <c r="Q163" s="127" t="str">
        <f t="shared" si="41"/>
        <v/>
      </c>
      <c r="R163" s="126" t="str">
        <f t="shared" si="42"/>
        <v/>
      </c>
      <c r="S163" s="126" t="str">
        <f t="shared" si="35"/>
        <v/>
      </c>
      <c r="T163" s="128" t="str">
        <f>IF(OR(S163="R",S163=""),"",COUNTIFS($P$4:P163,P163,$S$4:S163,"S")*U163)</f>
        <v/>
      </c>
      <c r="U163" s="128" t="str">
        <f>IF(ISNUMBER(N163),IF($C$11=TRUE,IF(OR(ISODD(COUNTIF($N$4:N163,1)),Y163="Yes"),1,-1),1),"")</f>
        <v/>
      </c>
      <c r="V163" s="128" t="str">
        <f ca="1">IFERROR(IF(AND(S163="R",W163&lt;&gt;""),1,IF(S163="R",MAX(OFFSET(V162,0,0,-1*(ROW(W163)-3-MATCH(MAX($W$4:W162),$W$4:W162,0)),1))+1,"")),"")</f>
        <v/>
      </c>
      <c r="W163" s="129" t="str">
        <f>IFERROR(IF(AND(S163="R", P163&gt;MAX($X$3:X162)),P163,""),"")</f>
        <v/>
      </c>
      <c r="X163" s="129" t="str">
        <f>IFERROR(IF(AND(W163="",Q163&gt;=MAX($X$3:X162)),IF(S163="R",Q163,IF(AND(W163="",P163&lt;=MAX($X$3:X162)),MAX($X$3:X162),"")),IF(W163&lt;&gt;"", Q163,"")),"")</f>
        <v/>
      </c>
      <c r="Y163" s="126" t="str">
        <f>IF(S163="S",IF(OR(P163&lt;=MAX($X$3:X162),P163&gt;=IF(MIN(W$53:$W164)&lt;1,99999999,MIN(W$53:$W164))),"Yes","No"),"")</f>
        <v/>
      </c>
      <c r="AA163" s="130" t="str">
        <f t="shared" si="36"/>
        <v/>
      </c>
      <c r="AB163" s="131" t="str">
        <f t="array" ref="AB163">IF(AA163&lt;=$AA$2,MIN(IF($L$4:$L$503&lt;=AB162,99999999999,$L$4:$L$503)),"")</f>
        <v/>
      </c>
      <c r="AC163" s="130" t="str">
        <f>IF(ISNUMBER(AA163),IF(Dashboard!$H$6&lt;&gt;"Horizontal",AC162+dateDistance,AC162),"")</f>
        <v/>
      </c>
      <c r="AD163" s="130" t="str">
        <f>IF(ISNUMBER(AA163),IF(Dashboard!$H$6="Horizontal",AD162+dateDistance,AD162),"")</f>
        <v/>
      </c>
      <c r="AE163" s="132" t="str">
        <f>IF(ISNUMBER(P163), IF(Dashboard!$H$6="Horizontal",IF(S163="S",INDEX($AC$4:$AC$503,MATCH(P163,$AB$4:$AB$503,0),1)+boxDistance*(T163+IF(Y163="No",IF(ISODD(T163),IF(T163&gt;0,1,-1),0),0))*IF(Y163="No",IF(ISODD(T163),0.5,-0.5),1),timelineStartRow - boxDistance * V163),IF( S163="S",INDEX($AC$4:$AC$503,MATCH(P163,$AB$4:$AB$503,0),1),INDEX($AC$4:$AC$503,MATCH(P163,$AB$4:$AB$503,0),1)&amp;"-"&amp;INDEX($AC$4:$AC$503,MATCH(Q163,$AB$4:$AB$503,0),1))),"")</f>
        <v/>
      </c>
      <c r="AF163" s="132" t="str">
        <f>IF(ISNUMBER(P163), IF(Dashboard!$H$6&lt;&gt;"Horizontal",IF(S163="S",INDEX($AD$4:$AD$503,MATCH(P163,$AB$4:$AB$503,0),1)+boxDistance*(T163+IF(Y163="No",IF(ISODD(T163),IF(T163&gt;0,1,-1),0),0))*IF(Y163="No",IF(ISODD(T163),0.5,-0.5),1),timelineStartColumn-boxDistance * IF(AND(ISNUMBER(V163),V163&gt;1),V163*0.85,1)   ),IF( S163="S",INDEX($AD$4:$AD$503,MATCH(P163,$AB$4:$AB$503,0),1),INDEX($AD$4:$AD$503,MATCH(P163,$AB$4:$AB$503,0),1)&amp;"-"&amp;INDEX($AD$4:$AD$503,MATCH(Q163,$AB$4:$AB$503,0),1))),"")</f>
        <v/>
      </c>
      <c r="AG163" s="133" t="str">
        <f t="shared" si="43"/>
        <v/>
      </c>
      <c r="AH163" s="134" t="str">
        <f t="shared" si="37"/>
        <v/>
      </c>
      <c r="AI163" s="135" t="str">
        <f t="shared" si="38"/>
        <v/>
      </c>
      <c r="AJ163" s="135" t="str">
        <f t="shared" si="44"/>
        <v/>
      </c>
      <c r="AK163" s="126" t="str">
        <f t="shared" si="45"/>
        <v/>
      </c>
      <c r="AL163" s="126" t="str">
        <f ca="1">IFERROR(IF(AK163="","", MATCH(AK163,OFFSET(Icons!$B$5,1,AM163-3,20,1),0)+5),"")</f>
        <v/>
      </c>
      <c r="AM163" s="126" t="str">
        <f t="shared" si="46"/>
        <v/>
      </c>
      <c r="AN163" s="90"/>
    </row>
    <row r="164" spans="5:40" ht="15" customHeight="1" x14ac:dyDescent="0.25">
      <c r="E164" s="126">
        <v>161</v>
      </c>
      <c r="F164" s="126"/>
      <c r="G164" s="127"/>
      <c r="H164" s="127"/>
      <c r="I164" s="126"/>
      <c r="K164" s="137" t="str">
        <f t="shared" si="39"/>
        <v/>
      </c>
      <c r="L164" s="127" t="str">
        <f t="shared" si="34"/>
        <v/>
      </c>
      <c r="N164" s="128" t="str">
        <f t="shared" si="40"/>
        <v/>
      </c>
      <c r="O164" s="126" t="str">
        <f t="array" ref="O164">IFERROR(SMALL(IF(($G$4:$G$253=P164),ROW($G$4:$G$253)-ROW($G$3),"" ),N164),"")</f>
        <v/>
      </c>
      <c r="P164" s="127" t="str">
        <f t="array" ref="P164">IFERROR(SMALL($G$4:$G$253,E164),"")</f>
        <v/>
      </c>
      <c r="Q164" s="127" t="str">
        <f t="shared" si="41"/>
        <v/>
      </c>
      <c r="R164" s="126" t="str">
        <f t="shared" si="42"/>
        <v/>
      </c>
      <c r="S164" s="126" t="str">
        <f t="shared" si="35"/>
        <v/>
      </c>
      <c r="T164" s="128" t="str">
        <f>IF(OR(S164="R",S164=""),"",COUNTIFS($P$4:P164,P164,$S$4:S164,"S")*U164)</f>
        <v/>
      </c>
      <c r="U164" s="128" t="str">
        <f>IF(ISNUMBER(N164),IF($C$11=TRUE,IF(OR(ISODD(COUNTIF($N$4:N164,1)),Y164="Yes"),1,-1),1),"")</f>
        <v/>
      </c>
      <c r="V164" s="128" t="str">
        <f ca="1">IFERROR(IF(AND(S164="R",W164&lt;&gt;""),1,IF(S164="R",MAX(OFFSET(V163,0,0,-1*(ROW(W164)-3-MATCH(MAX($W$4:W163),$W$4:W163,0)),1))+1,"")),"")</f>
        <v/>
      </c>
      <c r="W164" s="129" t="str">
        <f>IFERROR(IF(AND(S164="R", P164&gt;MAX($X$3:X163)),P164,""),"")</f>
        <v/>
      </c>
      <c r="X164" s="129" t="str">
        <f>IFERROR(IF(AND(W164="",Q164&gt;=MAX($X$3:X163)),IF(S164="R",Q164,IF(AND(W164="",P164&lt;=MAX($X$3:X163)),MAX($X$3:X163),"")),IF(W164&lt;&gt;"", Q164,"")),"")</f>
        <v/>
      </c>
      <c r="Y164" s="126" t="str">
        <f>IF(S164="S",IF(OR(P164&lt;=MAX($X$3:X163),P164&gt;=IF(MIN(W$53:$W165)&lt;1,99999999,MIN(W$53:$W165))),"Yes","No"),"")</f>
        <v/>
      </c>
      <c r="AA164" s="130" t="str">
        <f t="shared" si="36"/>
        <v/>
      </c>
      <c r="AB164" s="131" t="str">
        <f t="array" ref="AB164">IF(AA164&lt;=$AA$2,MIN(IF($L$4:$L$503&lt;=AB163,99999999999,$L$4:$L$503)),"")</f>
        <v/>
      </c>
      <c r="AC164" s="130" t="str">
        <f>IF(ISNUMBER(AA164),IF(Dashboard!$H$6&lt;&gt;"Horizontal",AC163+dateDistance,AC163),"")</f>
        <v/>
      </c>
      <c r="AD164" s="130" t="str">
        <f>IF(ISNUMBER(AA164),IF(Dashboard!$H$6="Horizontal",AD163+dateDistance,AD163),"")</f>
        <v/>
      </c>
      <c r="AE164" s="132" t="str">
        <f>IF(ISNUMBER(P164), IF(Dashboard!$H$6="Horizontal",IF(S164="S",INDEX($AC$4:$AC$503,MATCH(P164,$AB$4:$AB$503,0),1)+boxDistance*(T164+IF(Y164="No",IF(ISODD(T164),IF(T164&gt;0,1,-1),0),0))*IF(Y164="No",IF(ISODD(T164),0.5,-0.5),1),timelineStartRow - boxDistance * V164),IF( S164="S",INDEX($AC$4:$AC$503,MATCH(P164,$AB$4:$AB$503,0),1),INDEX($AC$4:$AC$503,MATCH(P164,$AB$4:$AB$503,0),1)&amp;"-"&amp;INDEX($AC$4:$AC$503,MATCH(Q164,$AB$4:$AB$503,0),1))),"")</f>
        <v/>
      </c>
      <c r="AF164" s="132" t="str">
        <f>IF(ISNUMBER(P164), IF(Dashboard!$H$6&lt;&gt;"Horizontal",IF(S164="S",INDEX($AD$4:$AD$503,MATCH(P164,$AB$4:$AB$503,0),1)+boxDistance*(T164+IF(Y164="No",IF(ISODD(T164),IF(T164&gt;0,1,-1),0),0))*IF(Y164="No",IF(ISODD(T164),0.5,-0.5),1),timelineStartColumn-boxDistance * IF(AND(ISNUMBER(V164),V164&gt;1),V164*0.85,1)   ),IF( S164="S",INDEX($AD$4:$AD$503,MATCH(P164,$AB$4:$AB$503,0),1),INDEX($AD$4:$AD$503,MATCH(P164,$AB$4:$AB$503,0),1)&amp;"-"&amp;INDEX($AD$4:$AD$503,MATCH(Q164,$AB$4:$AB$503,0),1))),"")</f>
        <v/>
      </c>
      <c r="AG164" s="133" t="str">
        <f t="shared" si="43"/>
        <v/>
      </c>
      <c r="AH164" s="134" t="str">
        <f t="shared" si="37"/>
        <v/>
      </c>
      <c r="AI164" s="135" t="str">
        <f t="shared" si="38"/>
        <v/>
      </c>
      <c r="AJ164" s="135" t="str">
        <f t="shared" si="44"/>
        <v/>
      </c>
      <c r="AK164" s="126" t="str">
        <f t="shared" si="45"/>
        <v/>
      </c>
      <c r="AL164" s="126" t="str">
        <f ca="1">IFERROR(IF(AK164="","", MATCH(AK164,OFFSET(Icons!$B$5,1,AM164-3,20,1),0)+5),"")</f>
        <v/>
      </c>
      <c r="AM164" s="126" t="str">
        <f t="shared" si="46"/>
        <v/>
      </c>
      <c r="AN164" s="90"/>
    </row>
    <row r="165" spans="5:40" ht="15" customHeight="1" x14ac:dyDescent="0.25">
      <c r="E165" s="126">
        <v>162</v>
      </c>
      <c r="F165" s="126"/>
      <c r="G165" s="127"/>
      <c r="H165" s="127"/>
      <c r="I165" s="126"/>
      <c r="K165" s="137" t="str">
        <f t="shared" si="39"/>
        <v/>
      </c>
      <c r="L165" s="127" t="str">
        <f t="shared" si="34"/>
        <v/>
      </c>
      <c r="N165" s="128" t="str">
        <f t="shared" si="40"/>
        <v/>
      </c>
      <c r="O165" s="126" t="str">
        <f t="array" ref="O165">IFERROR(SMALL(IF(($G$4:$G$253=P165),ROW($G$4:$G$253)-ROW($G$3),"" ),N165),"")</f>
        <v/>
      </c>
      <c r="P165" s="127" t="str">
        <f t="array" ref="P165">IFERROR(SMALL($G$4:$G$253,E165),"")</f>
        <v/>
      </c>
      <c r="Q165" s="127" t="str">
        <f t="shared" si="41"/>
        <v/>
      </c>
      <c r="R165" s="126" t="str">
        <f t="shared" si="42"/>
        <v/>
      </c>
      <c r="S165" s="126" t="str">
        <f t="shared" si="35"/>
        <v/>
      </c>
      <c r="T165" s="128" t="str">
        <f>IF(OR(S165="R",S165=""),"",COUNTIFS($P$4:P165,P165,$S$4:S165,"S")*U165)</f>
        <v/>
      </c>
      <c r="U165" s="128" t="str">
        <f>IF(ISNUMBER(N165),IF($C$11=TRUE,IF(OR(ISODD(COUNTIF($N$4:N165,1)),Y165="Yes"),1,-1),1),"")</f>
        <v/>
      </c>
      <c r="V165" s="128" t="str">
        <f ca="1">IFERROR(IF(AND(S165="R",W165&lt;&gt;""),1,IF(S165="R",MAX(OFFSET(V164,0,0,-1*(ROW(W165)-3-MATCH(MAX($W$4:W164),$W$4:W164,0)),1))+1,"")),"")</f>
        <v/>
      </c>
      <c r="W165" s="129" t="str">
        <f>IFERROR(IF(AND(S165="R", P165&gt;MAX($X$3:X164)),P165,""),"")</f>
        <v/>
      </c>
      <c r="X165" s="129" t="str">
        <f>IFERROR(IF(AND(W165="",Q165&gt;=MAX($X$3:X164)),IF(S165="R",Q165,IF(AND(W165="",P165&lt;=MAX($X$3:X164)),MAX($X$3:X164),"")),IF(W165&lt;&gt;"", Q165,"")),"")</f>
        <v/>
      </c>
      <c r="Y165" s="126" t="str">
        <f>IF(S165="S",IF(OR(P165&lt;=MAX($X$3:X164),P165&gt;=IF(MIN(W$53:$W166)&lt;1,99999999,MIN(W$53:$W166))),"Yes","No"),"")</f>
        <v/>
      </c>
      <c r="AA165" s="130" t="str">
        <f t="shared" si="36"/>
        <v/>
      </c>
      <c r="AB165" s="131" t="str">
        <f t="array" ref="AB165">IF(AA165&lt;=$AA$2,MIN(IF($L$4:$L$503&lt;=AB164,99999999999,$L$4:$L$503)),"")</f>
        <v/>
      </c>
      <c r="AC165" s="130" t="str">
        <f>IF(ISNUMBER(AA165),IF(Dashboard!$H$6&lt;&gt;"Horizontal",AC164+dateDistance,AC164),"")</f>
        <v/>
      </c>
      <c r="AD165" s="130" t="str">
        <f>IF(ISNUMBER(AA165),IF(Dashboard!$H$6="Horizontal",AD164+dateDistance,AD164),"")</f>
        <v/>
      </c>
      <c r="AE165" s="132" t="str">
        <f>IF(ISNUMBER(P165), IF(Dashboard!$H$6="Horizontal",IF(S165="S",INDEX($AC$4:$AC$503,MATCH(P165,$AB$4:$AB$503,0),1)+boxDistance*(T165+IF(Y165="No",IF(ISODD(T165),IF(T165&gt;0,1,-1),0),0))*IF(Y165="No",IF(ISODD(T165),0.5,-0.5),1),timelineStartRow - boxDistance * V165),IF( S165="S",INDEX($AC$4:$AC$503,MATCH(P165,$AB$4:$AB$503,0),1),INDEX($AC$4:$AC$503,MATCH(P165,$AB$4:$AB$503,0),1)&amp;"-"&amp;INDEX($AC$4:$AC$503,MATCH(Q165,$AB$4:$AB$503,0),1))),"")</f>
        <v/>
      </c>
      <c r="AF165" s="132" t="str">
        <f>IF(ISNUMBER(P165), IF(Dashboard!$H$6&lt;&gt;"Horizontal",IF(S165="S",INDEX($AD$4:$AD$503,MATCH(P165,$AB$4:$AB$503,0),1)+boxDistance*(T165+IF(Y165="No",IF(ISODD(T165),IF(T165&gt;0,1,-1),0),0))*IF(Y165="No",IF(ISODD(T165),0.5,-0.5),1),timelineStartColumn-boxDistance * IF(AND(ISNUMBER(V165),V165&gt;1),V165*0.85,1)   ),IF( S165="S",INDEX($AD$4:$AD$503,MATCH(P165,$AB$4:$AB$503,0),1),INDEX($AD$4:$AD$503,MATCH(P165,$AB$4:$AB$503,0),1)&amp;"-"&amp;INDEX($AD$4:$AD$503,MATCH(Q165,$AB$4:$AB$503,0),1))),"")</f>
        <v/>
      </c>
      <c r="AG165" s="133" t="str">
        <f t="shared" si="43"/>
        <v/>
      </c>
      <c r="AH165" s="134" t="str">
        <f t="shared" si="37"/>
        <v/>
      </c>
      <c r="AI165" s="135" t="str">
        <f t="shared" si="38"/>
        <v/>
      </c>
      <c r="AJ165" s="135" t="str">
        <f t="shared" si="44"/>
        <v/>
      </c>
      <c r="AK165" s="126" t="str">
        <f t="shared" si="45"/>
        <v/>
      </c>
      <c r="AL165" s="126" t="str">
        <f ca="1">IFERROR(IF(AK165="","", MATCH(AK165,OFFSET(Icons!$B$5,1,AM165-3,20,1),0)+5),"")</f>
        <v/>
      </c>
      <c r="AM165" s="126" t="str">
        <f t="shared" si="46"/>
        <v/>
      </c>
      <c r="AN165" s="90"/>
    </row>
    <row r="166" spans="5:40" ht="15" customHeight="1" x14ac:dyDescent="0.25">
      <c r="E166" s="126">
        <v>163</v>
      </c>
      <c r="F166" s="126"/>
      <c r="G166" s="127"/>
      <c r="H166" s="127"/>
      <c r="I166" s="126"/>
      <c r="K166" s="137" t="str">
        <f t="shared" si="39"/>
        <v/>
      </c>
      <c r="L166" s="127" t="str">
        <f t="shared" si="34"/>
        <v/>
      </c>
      <c r="N166" s="128" t="str">
        <f t="shared" si="40"/>
        <v/>
      </c>
      <c r="O166" s="126" t="str">
        <f t="array" ref="O166">IFERROR(SMALL(IF(($G$4:$G$253=P166),ROW($G$4:$G$253)-ROW($G$3),"" ),N166),"")</f>
        <v/>
      </c>
      <c r="P166" s="127" t="str">
        <f t="array" ref="P166">IFERROR(SMALL($G$4:$G$253,E166),"")</f>
        <v/>
      </c>
      <c r="Q166" s="127" t="str">
        <f t="shared" si="41"/>
        <v/>
      </c>
      <c r="R166" s="126" t="str">
        <f t="shared" si="42"/>
        <v/>
      </c>
      <c r="S166" s="126" t="str">
        <f t="shared" si="35"/>
        <v/>
      </c>
      <c r="T166" s="128" t="str">
        <f>IF(OR(S166="R",S166=""),"",COUNTIFS($P$4:P166,P166,$S$4:S166,"S")*U166)</f>
        <v/>
      </c>
      <c r="U166" s="128" t="str">
        <f>IF(ISNUMBER(N166),IF($C$11=TRUE,IF(OR(ISODD(COUNTIF($N$4:N166,1)),Y166="Yes"),1,-1),1),"")</f>
        <v/>
      </c>
      <c r="V166" s="128" t="str">
        <f ca="1">IFERROR(IF(AND(S166="R",W166&lt;&gt;""),1,IF(S166="R",MAX(OFFSET(V165,0,0,-1*(ROW(W166)-3-MATCH(MAX($W$4:W165),$W$4:W165,0)),1))+1,"")),"")</f>
        <v/>
      </c>
      <c r="W166" s="129" t="str">
        <f>IFERROR(IF(AND(S166="R", P166&gt;MAX($X$3:X165)),P166,""),"")</f>
        <v/>
      </c>
      <c r="X166" s="129" t="str">
        <f>IFERROR(IF(AND(W166="",Q166&gt;=MAX($X$3:X165)),IF(S166="R",Q166,IF(AND(W166="",P166&lt;=MAX($X$3:X165)),MAX($X$3:X165),"")),IF(W166&lt;&gt;"", Q166,"")),"")</f>
        <v/>
      </c>
      <c r="Y166" s="126" t="str">
        <f>IF(S166="S",IF(OR(P166&lt;=MAX($X$3:X165),P166&gt;=IF(MIN(W$53:$W167)&lt;1,99999999,MIN(W$53:$W167))),"Yes","No"),"")</f>
        <v/>
      </c>
      <c r="AA166" s="130" t="str">
        <f t="shared" si="36"/>
        <v/>
      </c>
      <c r="AB166" s="131" t="str">
        <f t="array" ref="AB166">IF(AA166&lt;=$AA$2,MIN(IF($L$4:$L$503&lt;=AB165,99999999999,$L$4:$L$503)),"")</f>
        <v/>
      </c>
      <c r="AC166" s="130" t="str">
        <f>IF(ISNUMBER(AA166),IF(Dashboard!$H$6&lt;&gt;"Horizontal",AC165+dateDistance,AC165),"")</f>
        <v/>
      </c>
      <c r="AD166" s="130" t="str">
        <f>IF(ISNUMBER(AA166),IF(Dashboard!$H$6="Horizontal",AD165+dateDistance,AD165),"")</f>
        <v/>
      </c>
      <c r="AE166" s="132" t="str">
        <f>IF(ISNUMBER(P166), IF(Dashboard!$H$6="Horizontal",IF(S166="S",INDEX($AC$4:$AC$503,MATCH(P166,$AB$4:$AB$503,0),1)+boxDistance*(T166+IF(Y166="No",IF(ISODD(T166),IF(T166&gt;0,1,-1),0),0))*IF(Y166="No",IF(ISODD(T166),0.5,-0.5),1),timelineStartRow - boxDistance * V166),IF( S166="S",INDEX($AC$4:$AC$503,MATCH(P166,$AB$4:$AB$503,0),1),INDEX($AC$4:$AC$503,MATCH(P166,$AB$4:$AB$503,0),1)&amp;"-"&amp;INDEX($AC$4:$AC$503,MATCH(Q166,$AB$4:$AB$503,0),1))),"")</f>
        <v/>
      </c>
      <c r="AF166" s="132" t="str">
        <f>IF(ISNUMBER(P166), IF(Dashboard!$H$6&lt;&gt;"Horizontal",IF(S166="S",INDEX($AD$4:$AD$503,MATCH(P166,$AB$4:$AB$503,0),1)+boxDistance*(T166+IF(Y166="No",IF(ISODD(T166),IF(T166&gt;0,1,-1),0),0))*IF(Y166="No",IF(ISODD(T166),0.5,-0.5),1),timelineStartColumn-boxDistance * IF(AND(ISNUMBER(V166),V166&gt;1),V166*0.85,1)   ),IF( S166="S",INDEX($AD$4:$AD$503,MATCH(P166,$AB$4:$AB$503,0),1),INDEX($AD$4:$AD$503,MATCH(P166,$AB$4:$AB$503,0),1)&amp;"-"&amp;INDEX($AD$4:$AD$503,MATCH(Q166,$AB$4:$AB$503,0),1))),"")</f>
        <v/>
      </c>
      <c r="AG166" s="133" t="str">
        <f t="shared" si="43"/>
        <v/>
      </c>
      <c r="AH166" s="134" t="str">
        <f t="shared" si="37"/>
        <v/>
      </c>
      <c r="AI166" s="135" t="str">
        <f t="shared" si="38"/>
        <v/>
      </c>
      <c r="AJ166" s="135" t="str">
        <f t="shared" si="44"/>
        <v/>
      </c>
      <c r="AK166" s="126" t="str">
        <f t="shared" si="45"/>
        <v/>
      </c>
      <c r="AL166" s="126" t="str">
        <f ca="1">IFERROR(IF(AK166="","", MATCH(AK166,OFFSET(Icons!$B$5,1,AM166-3,20,1),0)+5),"")</f>
        <v/>
      </c>
      <c r="AM166" s="126" t="str">
        <f t="shared" si="46"/>
        <v/>
      </c>
      <c r="AN166" s="90"/>
    </row>
    <row r="167" spans="5:40" ht="15" customHeight="1" x14ac:dyDescent="0.25">
      <c r="E167" s="126">
        <v>164</v>
      </c>
      <c r="F167" s="126"/>
      <c r="G167" s="127"/>
      <c r="H167" s="127"/>
      <c r="I167" s="126"/>
      <c r="K167" s="137" t="str">
        <f t="shared" si="39"/>
        <v/>
      </c>
      <c r="L167" s="127" t="str">
        <f t="shared" si="34"/>
        <v/>
      </c>
      <c r="N167" s="128" t="str">
        <f t="shared" si="40"/>
        <v/>
      </c>
      <c r="O167" s="126" t="str">
        <f t="array" ref="O167">IFERROR(SMALL(IF(($G$4:$G$253=P167),ROW($G$4:$G$253)-ROW($G$3),"" ),N167),"")</f>
        <v/>
      </c>
      <c r="P167" s="127" t="str">
        <f t="array" ref="P167">IFERROR(SMALL($G$4:$G$253,E167),"")</f>
        <v/>
      </c>
      <c r="Q167" s="127" t="str">
        <f t="shared" si="41"/>
        <v/>
      </c>
      <c r="R167" s="126" t="str">
        <f t="shared" si="42"/>
        <v/>
      </c>
      <c r="S167" s="126" t="str">
        <f t="shared" si="35"/>
        <v/>
      </c>
      <c r="T167" s="128" t="str">
        <f>IF(OR(S167="R",S167=""),"",COUNTIFS($P$4:P167,P167,$S$4:S167,"S")*U167)</f>
        <v/>
      </c>
      <c r="U167" s="128" t="str">
        <f>IF(ISNUMBER(N167),IF($C$11=TRUE,IF(OR(ISODD(COUNTIF($N$4:N167,1)),Y167="Yes"),1,-1),1),"")</f>
        <v/>
      </c>
      <c r="V167" s="128" t="str">
        <f ca="1">IFERROR(IF(AND(S167="R",W167&lt;&gt;""),1,IF(S167="R",MAX(OFFSET(V166,0,0,-1*(ROW(W167)-3-MATCH(MAX($W$4:W166),$W$4:W166,0)),1))+1,"")),"")</f>
        <v/>
      </c>
      <c r="W167" s="129" t="str">
        <f>IFERROR(IF(AND(S167="R", P167&gt;MAX($X$3:X166)),P167,""),"")</f>
        <v/>
      </c>
      <c r="X167" s="129" t="str">
        <f>IFERROR(IF(AND(W167="",Q167&gt;=MAX($X$3:X166)),IF(S167="R",Q167,IF(AND(W167="",P167&lt;=MAX($X$3:X166)),MAX($X$3:X166),"")),IF(W167&lt;&gt;"", Q167,"")),"")</f>
        <v/>
      </c>
      <c r="Y167" s="126" t="str">
        <f>IF(S167="S",IF(OR(P167&lt;=MAX($X$3:X166),P167&gt;=IF(MIN(W$53:$W168)&lt;1,99999999,MIN(W$53:$W168))),"Yes","No"),"")</f>
        <v/>
      </c>
      <c r="AA167" s="130" t="str">
        <f t="shared" si="36"/>
        <v/>
      </c>
      <c r="AB167" s="131" t="str">
        <f t="array" ref="AB167">IF(AA167&lt;=$AA$2,MIN(IF($L$4:$L$503&lt;=AB166,99999999999,$L$4:$L$503)),"")</f>
        <v/>
      </c>
      <c r="AC167" s="130" t="str">
        <f>IF(ISNUMBER(AA167),IF(Dashboard!$H$6&lt;&gt;"Horizontal",AC166+dateDistance,AC166),"")</f>
        <v/>
      </c>
      <c r="AD167" s="130" t="str">
        <f>IF(ISNUMBER(AA167),IF(Dashboard!$H$6="Horizontal",AD166+dateDistance,AD166),"")</f>
        <v/>
      </c>
      <c r="AE167" s="132" t="str">
        <f>IF(ISNUMBER(P167), IF(Dashboard!$H$6="Horizontal",IF(S167="S",INDEX($AC$4:$AC$503,MATCH(P167,$AB$4:$AB$503,0),1)+boxDistance*(T167+IF(Y167="No",IF(ISODD(T167),IF(T167&gt;0,1,-1),0),0))*IF(Y167="No",IF(ISODD(T167),0.5,-0.5),1),timelineStartRow - boxDistance * V167),IF( S167="S",INDEX($AC$4:$AC$503,MATCH(P167,$AB$4:$AB$503,0),1),INDEX($AC$4:$AC$503,MATCH(P167,$AB$4:$AB$503,0),1)&amp;"-"&amp;INDEX($AC$4:$AC$503,MATCH(Q167,$AB$4:$AB$503,0),1))),"")</f>
        <v/>
      </c>
      <c r="AF167" s="132" t="str">
        <f>IF(ISNUMBER(P167), IF(Dashboard!$H$6&lt;&gt;"Horizontal",IF(S167="S",INDEX($AD$4:$AD$503,MATCH(P167,$AB$4:$AB$503,0),1)+boxDistance*(T167+IF(Y167="No",IF(ISODD(T167),IF(T167&gt;0,1,-1),0),0))*IF(Y167="No",IF(ISODD(T167),0.5,-0.5),1),timelineStartColumn-boxDistance * IF(AND(ISNUMBER(V167),V167&gt;1),V167*0.85,1)   ),IF( S167="S",INDEX($AD$4:$AD$503,MATCH(P167,$AB$4:$AB$503,0),1),INDEX($AD$4:$AD$503,MATCH(P167,$AB$4:$AB$503,0),1)&amp;"-"&amp;INDEX($AD$4:$AD$503,MATCH(Q167,$AB$4:$AB$503,0),1))),"")</f>
        <v/>
      </c>
      <c r="AG167" s="133" t="str">
        <f t="shared" si="43"/>
        <v/>
      </c>
      <c r="AH167" s="134" t="str">
        <f t="shared" si="37"/>
        <v/>
      </c>
      <c r="AI167" s="135" t="str">
        <f t="shared" si="38"/>
        <v/>
      </c>
      <c r="AJ167" s="135" t="str">
        <f t="shared" si="44"/>
        <v/>
      </c>
      <c r="AK167" s="126" t="str">
        <f t="shared" si="45"/>
        <v/>
      </c>
      <c r="AL167" s="126" t="str">
        <f ca="1">IFERROR(IF(AK167="","", MATCH(AK167,OFFSET(Icons!$B$5,1,AM167-3,20,1),0)+5),"")</f>
        <v/>
      </c>
      <c r="AM167" s="126" t="str">
        <f t="shared" si="46"/>
        <v/>
      </c>
      <c r="AN167" s="90"/>
    </row>
    <row r="168" spans="5:40" ht="15" customHeight="1" x14ac:dyDescent="0.25">
      <c r="E168" s="126">
        <v>165</v>
      </c>
      <c r="F168" s="126"/>
      <c r="G168" s="127"/>
      <c r="H168" s="127"/>
      <c r="I168" s="126"/>
      <c r="K168" s="137" t="str">
        <f t="shared" si="39"/>
        <v/>
      </c>
      <c r="L168" s="127" t="str">
        <f t="shared" si="34"/>
        <v/>
      </c>
      <c r="N168" s="128" t="str">
        <f t="shared" si="40"/>
        <v/>
      </c>
      <c r="O168" s="126" t="str">
        <f t="array" ref="O168">IFERROR(SMALL(IF(($G$4:$G$253=P168),ROW($G$4:$G$253)-ROW($G$3),"" ),N168),"")</f>
        <v/>
      </c>
      <c r="P168" s="127" t="str">
        <f t="array" ref="P168">IFERROR(SMALL($G$4:$G$253,E168),"")</f>
        <v/>
      </c>
      <c r="Q168" s="127" t="str">
        <f t="shared" si="41"/>
        <v/>
      </c>
      <c r="R168" s="126" t="str">
        <f t="shared" si="42"/>
        <v/>
      </c>
      <c r="S168" s="126" t="str">
        <f t="shared" si="35"/>
        <v/>
      </c>
      <c r="T168" s="128" t="str">
        <f>IF(OR(S168="R",S168=""),"",COUNTIFS($P$4:P168,P168,$S$4:S168,"S")*U168)</f>
        <v/>
      </c>
      <c r="U168" s="128" t="str">
        <f>IF(ISNUMBER(N168),IF($C$11=TRUE,IF(OR(ISODD(COUNTIF($N$4:N168,1)),Y168="Yes"),1,-1),1),"")</f>
        <v/>
      </c>
      <c r="V168" s="128" t="str">
        <f ca="1">IFERROR(IF(AND(S168="R",W168&lt;&gt;""),1,IF(S168="R",MAX(OFFSET(V167,0,0,-1*(ROW(W168)-3-MATCH(MAX($W$4:W167),$W$4:W167,0)),1))+1,"")),"")</f>
        <v/>
      </c>
      <c r="W168" s="129" t="str">
        <f>IFERROR(IF(AND(S168="R", P168&gt;MAX($X$3:X167)),P168,""),"")</f>
        <v/>
      </c>
      <c r="X168" s="129" t="str">
        <f>IFERROR(IF(AND(W168="",Q168&gt;=MAX($X$3:X167)),IF(S168="R",Q168,IF(AND(W168="",P168&lt;=MAX($X$3:X167)),MAX($X$3:X167),"")),IF(W168&lt;&gt;"", Q168,"")),"")</f>
        <v/>
      </c>
      <c r="Y168" s="126" t="str">
        <f>IF(S168="S",IF(OR(P168&lt;=MAX($X$3:X167),P168&gt;=IF(MIN(W$53:$W169)&lt;1,99999999,MIN(W$53:$W169))),"Yes","No"),"")</f>
        <v/>
      </c>
      <c r="AA168" s="130" t="str">
        <f t="shared" si="36"/>
        <v/>
      </c>
      <c r="AB168" s="131" t="str">
        <f t="array" ref="AB168">IF(AA168&lt;=$AA$2,MIN(IF($L$4:$L$503&lt;=AB167,99999999999,$L$4:$L$503)),"")</f>
        <v/>
      </c>
      <c r="AC168" s="130" t="str">
        <f>IF(ISNUMBER(AA168),IF(Dashboard!$H$6&lt;&gt;"Horizontal",AC167+dateDistance,AC167),"")</f>
        <v/>
      </c>
      <c r="AD168" s="130" t="str">
        <f>IF(ISNUMBER(AA168),IF(Dashboard!$H$6="Horizontal",AD167+dateDistance,AD167),"")</f>
        <v/>
      </c>
      <c r="AE168" s="132" t="str">
        <f>IF(ISNUMBER(P168), IF(Dashboard!$H$6="Horizontal",IF(S168="S",INDEX($AC$4:$AC$503,MATCH(P168,$AB$4:$AB$503,0),1)+boxDistance*(T168+IF(Y168="No",IF(ISODD(T168),IF(T168&gt;0,1,-1),0),0))*IF(Y168="No",IF(ISODD(T168),0.5,-0.5),1),timelineStartRow - boxDistance * V168),IF( S168="S",INDEX($AC$4:$AC$503,MATCH(P168,$AB$4:$AB$503,0),1),INDEX($AC$4:$AC$503,MATCH(P168,$AB$4:$AB$503,0),1)&amp;"-"&amp;INDEX($AC$4:$AC$503,MATCH(Q168,$AB$4:$AB$503,0),1))),"")</f>
        <v/>
      </c>
      <c r="AF168" s="132" t="str">
        <f>IF(ISNUMBER(P168), IF(Dashboard!$H$6&lt;&gt;"Horizontal",IF(S168="S",INDEX($AD$4:$AD$503,MATCH(P168,$AB$4:$AB$503,0),1)+boxDistance*(T168+IF(Y168="No",IF(ISODD(T168),IF(T168&gt;0,1,-1),0),0))*IF(Y168="No",IF(ISODD(T168),0.5,-0.5),1),timelineStartColumn-boxDistance * IF(AND(ISNUMBER(V168),V168&gt;1),V168*0.85,1)   ),IF( S168="S",INDEX($AD$4:$AD$503,MATCH(P168,$AB$4:$AB$503,0),1),INDEX($AD$4:$AD$503,MATCH(P168,$AB$4:$AB$503,0),1)&amp;"-"&amp;INDEX($AD$4:$AD$503,MATCH(Q168,$AB$4:$AB$503,0),1))),"")</f>
        <v/>
      </c>
      <c r="AG168" s="133" t="str">
        <f t="shared" si="43"/>
        <v/>
      </c>
      <c r="AH168" s="134" t="str">
        <f t="shared" si="37"/>
        <v/>
      </c>
      <c r="AI168" s="135" t="str">
        <f t="shared" si="38"/>
        <v/>
      </c>
      <c r="AJ168" s="135" t="str">
        <f t="shared" si="44"/>
        <v/>
      </c>
      <c r="AK168" s="126" t="str">
        <f t="shared" si="45"/>
        <v/>
      </c>
      <c r="AL168" s="126" t="str">
        <f ca="1">IFERROR(IF(AK168="","", MATCH(AK168,OFFSET(Icons!$B$5,1,AM168-3,20,1),0)+5),"")</f>
        <v/>
      </c>
      <c r="AM168" s="126" t="str">
        <f t="shared" si="46"/>
        <v/>
      </c>
      <c r="AN168" s="90"/>
    </row>
    <row r="169" spans="5:40" ht="15" customHeight="1" x14ac:dyDescent="0.25">
      <c r="E169" s="126">
        <v>166</v>
      </c>
      <c r="F169" s="126"/>
      <c r="G169" s="127"/>
      <c r="H169" s="127"/>
      <c r="I169" s="126"/>
      <c r="K169" s="137" t="str">
        <f t="shared" si="39"/>
        <v/>
      </c>
      <c r="L169" s="127" t="str">
        <f t="shared" si="34"/>
        <v/>
      </c>
      <c r="N169" s="128" t="str">
        <f t="shared" si="40"/>
        <v/>
      </c>
      <c r="O169" s="126" t="str">
        <f t="array" ref="O169">IFERROR(SMALL(IF(($G$4:$G$253=P169),ROW($G$4:$G$253)-ROW($G$3),"" ),N169),"")</f>
        <v/>
      </c>
      <c r="P169" s="127" t="str">
        <f t="array" ref="P169">IFERROR(SMALL($G$4:$G$253,E169),"")</f>
        <v/>
      </c>
      <c r="Q169" s="127" t="str">
        <f t="shared" si="41"/>
        <v/>
      </c>
      <c r="R169" s="126" t="str">
        <f t="shared" si="42"/>
        <v/>
      </c>
      <c r="S169" s="126" t="str">
        <f t="shared" si="35"/>
        <v/>
      </c>
      <c r="T169" s="128" t="str">
        <f>IF(OR(S169="R",S169=""),"",COUNTIFS($P$4:P169,P169,$S$4:S169,"S")*U169)</f>
        <v/>
      </c>
      <c r="U169" s="128" t="str">
        <f>IF(ISNUMBER(N169),IF($C$11=TRUE,IF(OR(ISODD(COUNTIF($N$4:N169,1)),Y169="Yes"),1,-1),1),"")</f>
        <v/>
      </c>
      <c r="V169" s="128" t="str">
        <f ca="1">IFERROR(IF(AND(S169="R",W169&lt;&gt;""),1,IF(S169="R",MAX(OFFSET(V168,0,0,-1*(ROW(W169)-3-MATCH(MAX($W$4:W168),$W$4:W168,0)),1))+1,"")),"")</f>
        <v/>
      </c>
      <c r="W169" s="129" t="str">
        <f>IFERROR(IF(AND(S169="R", P169&gt;MAX($X$3:X168)),P169,""),"")</f>
        <v/>
      </c>
      <c r="X169" s="129" t="str">
        <f>IFERROR(IF(AND(W169="",Q169&gt;=MAX($X$3:X168)),IF(S169="R",Q169,IF(AND(W169="",P169&lt;=MAX($X$3:X168)),MAX($X$3:X168),"")),IF(W169&lt;&gt;"", Q169,"")),"")</f>
        <v/>
      </c>
      <c r="Y169" s="126" t="str">
        <f>IF(S169="S",IF(OR(P169&lt;=MAX($X$3:X168),P169&gt;=IF(MIN(W$53:$W170)&lt;1,99999999,MIN(W$53:$W170))),"Yes","No"),"")</f>
        <v/>
      </c>
      <c r="AA169" s="130" t="str">
        <f t="shared" si="36"/>
        <v/>
      </c>
      <c r="AB169" s="131" t="str">
        <f t="array" ref="AB169">IF(AA169&lt;=$AA$2,MIN(IF($L$4:$L$503&lt;=AB168,99999999999,$L$4:$L$503)),"")</f>
        <v/>
      </c>
      <c r="AC169" s="130" t="str">
        <f>IF(ISNUMBER(AA169),IF(Dashboard!$H$6&lt;&gt;"Horizontal",AC168+dateDistance,AC168),"")</f>
        <v/>
      </c>
      <c r="AD169" s="130" t="str">
        <f>IF(ISNUMBER(AA169),IF(Dashboard!$H$6="Horizontal",AD168+dateDistance,AD168),"")</f>
        <v/>
      </c>
      <c r="AE169" s="132" t="str">
        <f>IF(ISNUMBER(P169), IF(Dashboard!$H$6="Horizontal",IF(S169="S",INDEX($AC$4:$AC$503,MATCH(P169,$AB$4:$AB$503,0),1)+boxDistance*(T169+IF(Y169="No",IF(ISODD(T169),IF(T169&gt;0,1,-1),0),0))*IF(Y169="No",IF(ISODD(T169),0.5,-0.5),1),timelineStartRow - boxDistance * V169),IF( S169="S",INDEX($AC$4:$AC$503,MATCH(P169,$AB$4:$AB$503,0),1),INDEX($AC$4:$AC$503,MATCH(P169,$AB$4:$AB$503,0),1)&amp;"-"&amp;INDEX($AC$4:$AC$503,MATCH(Q169,$AB$4:$AB$503,0),1))),"")</f>
        <v/>
      </c>
      <c r="AF169" s="132" t="str">
        <f>IF(ISNUMBER(P169), IF(Dashboard!$H$6&lt;&gt;"Horizontal",IF(S169="S",INDEX($AD$4:$AD$503,MATCH(P169,$AB$4:$AB$503,0),1)+boxDistance*(T169+IF(Y169="No",IF(ISODD(T169),IF(T169&gt;0,1,-1),0),0))*IF(Y169="No",IF(ISODD(T169),0.5,-0.5),1),timelineStartColumn-boxDistance * IF(AND(ISNUMBER(V169),V169&gt;1),V169*0.85,1)   ),IF( S169="S",INDEX($AD$4:$AD$503,MATCH(P169,$AB$4:$AB$503,0),1),INDEX($AD$4:$AD$503,MATCH(P169,$AB$4:$AB$503,0),1)&amp;"-"&amp;INDEX($AD$4:$AD$503,MATCH(Q169,$AB$4:$AB$503,0),1))),"")</f>
        <v/>
      </c>
      <c r="AG169" s="133" t="str">
        <f t="shared" si="43"/>
        <v/>
      </c>
      <c r="AH169" s="134" t="str">
        <f t="shared" si="37"/>
        <v/>
      </c>
      <c r="AI169" s="135" t="str">
        <f t="shared" si="38"/>
        <v/>
      </c>
      <c r="AJ169" s="135" t="str">
        <f t="shared" si="44"/>
        <v/>
      </c>
      <c r="AK169" s="126" t="str">
        <f t="shared" si="45"/>
        <v/>
      </c>
      <c r="AL169" s="126" t="str">
        <f ca="1">IFERROR(IF(AK169="","", MATCH(AK169,OFFSET(Icons!$B$5,1,AM169-3,20,1),0)+5),"")</f>
        <v/>
      </c>
      <c r="AM169" s="126" t="str">
        <f t="shared" si="46"/>
        <v/>
      </c>
      <c r="AN169" s="90"/>
    </row>
    <row r="170" spans="5:40" ht="15" customHeight="1" x14ac:dyDescent="0.25">
      <c r="E170" s="126">
        <v>167</v>
      </c>
      <c r="F170" s="126"/>
      <c r="G170" s="127"/>
      <c r="H170" s="127"/>
      <c r="I170" s="126"/>
      <c r="K170" s="137" t="str">
        <f t="shared" si="39"/>
        <v/>
      </c>
      <c r="L170" s="127" t="str">
        <f t="shared" si="34"/>
        <v/>
      </c>
      <c r="N170" s="128" t="str">
        <f t="shared" si="40"/>
        <v/>
      </c>
      <c r="O170" s="126" t="str">
        <f t="array" ref="O170">IFERROR(SMALL(IF(($G$4:$G$253=P170),ROW($G$4:$G$253)-ROW($G$3),"" ),N170),"")</f>
        <v/>
      </c>
      <c r="P170" s="127" t="str">
        <f t="array" ref="P170">IFERROR(SMALL($G$4:$G$253,E170),"")</f>
        <v/>
      </c>
      <c r="Q170" s="127" t="str">
        <f t="shared" si="41"/>
        <v/>
      </c>
      <c r="R170" s="126" t="str">
        <f t="shared" si="42"/>
        <v/>
      </c>
      <c r="S170" s="126" t="str">
        <f t="shared" si="35"/>
        <v/>
      </c>
      <c r="T170" s="128" t="str">
        <f>IF(OR(S170="R",S170=""),"",COUNTIFS($P$4:P170,P170,$S$4:S170,"S")*U170)</f>
        <v/>
      </c>
      <c r="U170" s="128" t="str">
        <f>IF(ISNUMBER(N170),IF($C$11=TRUE,IF(OR(ISODD(COUNTIF($N$4:N170,1)),Y170="Yes"),1,-1),1),"")</f>
        <v/>
      </c>
      <c r="V170" s="128" t="str">
        <f ca="1">IFERROR(IF(AND(S170="R",W170&lt;&gt;""),1,IF(S170="R",MAX(OFFSET(V169,0,0,-1*(ROW(W170)-3-MATCH(MAX($W$4:W169),$W$4:W169,0)),1))+1,"")),"")</f>
        <v/>
      </c>
      <c r="W170" s="129" t="str">
        <f>IFERROR(IF(AND(S170="R", P170&gt;MAX($X$3:X169)),P170,""),"")</f>
        <v/>
      </c>
      <c r="X170" s="129" t="str">
        <f>IFERROR(IF(AND(W170="",Q170&gt;=MAX($X$3:X169)),IF(S170="R",Q170,IF(AND(W170="",P170&lt;=MAX($X$3:X169)),MAX($X$3:X169),"")),IF(W170&lt;&gt;"", Q170,"")),"")</f>
        <v/>
      </c>
      <c r="Y170" s="126" t="str">
        <f>IF(S170="S",IF(OR(P170&lt;=MAX($X$3:X169),P170&gt;=IF(MIN(W$53:$W171)&lt;1,99999999,MIN(W$53:$W171))),"Yes","No"),"")</f>
        <v/>
      </c>
      <c r="AA170" s="130" t="str">
        <f t="shared" si="36"/>
        <v/>
      </c>
      <c r="AB170" s="131" t="str">
        <f t="array" ref="AB170">IF(AA170&lt;=$AA$2,MIN(IF($L$4:$L$503&lt;=AB169,99999999999,$L$4:$L$503)),"")</f>
        <v/>
      </c>
      <c r="AC170" s="130" t="str">
        <f>IF(ISNUMBER(AA170),IF(Dashboard!$H$6&lt;&gt;"Horizontal",AC169+dateDistance,AC169),"")</f>
        <v/>
      </c>
      <c r="AD170" s="130" t="str">
        <f>IF(ISNUMBER(AA170),IF(Dashboard!$H$6="Horizontal",AD169+dateDistance,AD169),"")</f>
        <v/>
      </c>
      <c r="AE170" s="132" t="str">
        <f>IF(ISNUMBER(P170), IF(Dashboard!$H$6="Horizontal",IF(S170="S",INDEX($AC$4:$AC$503,MATCH(P170,$AB$4:$AB$503,0),1)+boxDistance*(T170+IF(Y170="No",IF(ISODD(T170),IF(T170&gt;0,1,-1),0),0))*IF(Y170="No",IF(ISODD(T170),0.5,-0.5),1),timelineStartRow - boxDistance * V170),IF( S170="S",INDEX($AC$4:$AC$503,MATCH(P170,$AB$4:$AB$503,0),1),INDEX($AC$4:$AC$503,MATCH(P170,$AB$4:$AB$503,0),1)&amp;"-"&amp;INDEX($AC$4:$AC$503,MATCH(Q170,$AB$4:$AB$503,0),1))),"")</f>
        <v/>
      </c>
      <c r="AF170" s="132" t="str">
        <f>IF(ISNUMBER(P170), IF(Dashboard!$H$6&lt;&gt;"Horizontal",IF(S170="S",INDEX($AD$4:$AD$503,MATCH(P170,$AB$4:$AB$503,0),1)+boxDistance*(T170+IF(Y170="No",IF(ISODD(T170),IF(T170&gt;0,1,-1),0),0))*IF(Y170="No",IF(ISODD(T170),0.5,-0.5),1),timelineStartColumn-boxDistance * IF(AND(ISNUMBER(V170),V170&gt;1),V170*0.85,1)   ),IF( S170="S",INDEX($AD$4:$AD$503,MATCH(P170,$AB$4:$AB$503,0),1),INDEX($AD$4:$AD$503,MATCH(P170,$AB$4:$AB$503,0),1)&amp;"-"&amp;INDEX($AD$4:$AD$503,MATCH(Q170,$AB$4:$AB$503,0),1))),"")</f>
        <v/>
      </c>
      <c r="AG170" s="133" t="str">
        <f t="shared" si="43"/>
        <v/>
      </c>
      <c r="AH170" s="134" t="str">
        <f t="shared" si="37"/>
        <v/>
      </c>
      <c r="AI170" s="135" t="str">
        <f t="shared" si="38"/>
        <v/>
      </c>
      <c r="AJ170" s="135" t="str">
        <f t="shared" si="44"/>
        <v/>
      </c>
      <c r="AK170" s="126" t="str">
        <f t="shared" si="45"/>
        <v/>
      </c>
      <c r="AL170" s="126" t="str">
        <f ca="1">IFERROR(IF(AK170="","", MATCH(AK170,OFFSET(Icons!$B$5,1,AM170-3,20,1),0)+5),"")</f>
        <v/>
      </c>
      <c r="AM170" s="126" t="str">
        <f t="shared" si="46"/>
        <v/>
      </c>
      <c r="AN170" s="90"/>
    </row>
    <row r="171" spans="5:40" ht="15" customHeight="1" x14ac:dyDescent="0.25">
      <c r="E171" s="126">
        <v>168</v>
      </c>
      <c r="F171" s="126"/>
      <c r="G171" s="127"/>
      <c r="H171" s="127"/>
      <c r="I171" s="126"/>
      <c r="K171" s="137" t="str">
        <f t="shared" si="39"/>
        <v/>
      </c>
      <c r="L171" s="127" t="str">
        <f t="shared" si="34"/>
        <v/>
      </c>
      <c r="N171" s="128" t="str">
        <f t="shared" si="40"/>
        <v/>
      </c>
      <c r="O171" s="126" t="str">
        <f t="array" ref="O171">IFERROR(SMALL(IF(($G$4:$G$253=P171),ROW($G$4:$G$253)-ROW($G$3),"" ),N171),"")</f>
        <v/>
      </c>
      <c r="P171" s="127" t="str">
        <f t="array" ref="P171">IFERROR(SMALL($G$4:$G$253,E171),"")</f>
        <v/>
      </c>
      <c r="Q171" s="127" t="str">
        <f t="shared" si="41"/>
        <v/>
      </c>
      <c r="R171" s="126" t="str">
        <f t="shared" si="42"/>
        <v/>
      </c>
      <c r="S171" s="126" t="str">
        <f t="shared" si="35"/>
        <v/>
      </c>
      <c r="T171" s="128" t="str">
        <f>IF(OR(S171="R",S171=""),"",COUNTIFS($P$4:P171,P171,$S$4:S171,"S")*U171)</f>
        <v/>
      </c>
      <c r="U171" s="128" t="str">
        <f>IF(ISNUMBER(N171),IF($C$11=TRUE,IF(OR(ISODD(COUNTIF($N$4:N171,1)),Y171="Yes"),1,-1),1),"")</f>
        <v/>
      </c>
      <c r="V171" s="128" t="str">
        <f ca="1">IFERROR(IF(AND(S171="R",W171&lt;&gt;""),1,IF(S171="R",MAX(OFFSET(V170,0,0,-1*(ROW(W171)-3-MATCH(MAX($W$4:W170),$W$4:W170,0)),1))+1,"")),"")</f>
        <v/>
      </c>
      <c r="W171" s="129" t="str">
        <f>IFERROR(IF(AND(S171="R", P171&gt;MAX($X$3:X170)),P171,""),"")</f>
        <v/>
      </c>
      <c r="X171" s="129" t="str">
        <f>IFERROR(IF(AND(W171="",Q171&gt;=MAX($X$3:X170)),IF(S171="R",Q171,IF(AND(W171="",P171&lt;=MAX($X$3:X170)),MAX($X$3:X170),"")),IF(W171&lt;&gt;"", Q171,"")),"")</f>
        <v/>
      </c>
      <c r="Y171" s="126" t="str">
        <f>IF(S171="S",IF(OR(P171&lt;=MAX($X$3:X170),P171&gt;=IF(MIN(W$53:$W172)&lt;1,99999999,MIN(W$53:$W172))),"Yes","No"),"")</f>
        <v/>
      </c>
      <c r="AA171" s="130" t="str">
        <f t="shared" si="36"/>
        <v/>
      </c>
      <c r="AB171" s="131" t="str">
        <f t="array" ref="AB171">IF(AA171&lt;=$AA$2,MIN(IF($L$4:$L$503&lt;=AB170,99999999999,$L$4:$L$503)),"")</f>
        <v/>
      </c>
      <c r="AC171" s="130" t="str">
        <f>IF(ISNUMBER(AA171),IF(Dashboard!$H$6&lt;&gt;"Horizontal",AC170+dateDistance,AC170),"")</f>
        <v/>
      </c>
      <c r="AD171" s="130" t="str">
        <f>IF(ISNUMBER(AA171),IF(Dashboard!$H$6="Horizontal",AD170+dateDistance,AD170),"")</f>
        <v/>
      </c>
      <c r="AE171" s="132" t="str">
        <f>IF(ISNUMBER(P171), IF(Dashboard!$H$6="Horizontal",IF(S171="S",INDEX($AC$4:$AC$503,MATCH(P171,$AB$4:$AB$503,0),1)+boxDistance*(T171+IF(Y171="No",IF(ISODD(T171),IF(T171&gt;0,1,-1),0),0))*IF(Y171="No",IF(ISODD(T171),0.5,-0.5),1),timelineStartRow - boxDistance * V171),IF( S171="S",INDEX($AC$4:$AC$503,MATCH(P171,$AB$4:$AB$503,0),1),INDEX($AC$4:$AC$503,MATCH(P171,$AB$4:$AB$503,0),1)&amp;"-"&amp;INDEX($AC$4:$AC$503,MATCH(Q171,$AB$4:$AB$503,0),1))),"")</f>
        <v/>
      </c>
      <c r="AF171" s="132" t="str">
        <f>IF(ISNUMBER(P171), IF(Dashboard!$H$6&lt;&gt;"Horizontal",IF(S171="S",INDEX($AD$4:$AD$503,MATCH(P171,$AB$4:$AB$503,0),1)+boxDistance*(T171+IF(Y171="No",IF(ISODD(T171),IF(T171&gt;0,1,-1),0),0))*IF(Y171="No",IF(ISODD(T171),0.5,-0.5),1),timelineStartColumn-boxDistance * IF(AND(ISNUMBER(V171),V171&gt;1),V171*0.85,1)   ),IF( S171="S",INDEX($AD$4:$AD$503,MATCH(P171,$AB$4:$AB$503,0),1),INDEX($AD$4:$AD$503,MATCH(P171,$AB$4:$AB$503,0),1)&amp;"-"&amp;INDEX($AD$4:$AD$503,MATCH(Q171,$AB$4:$AB$503,0),1))),"")</f>
        <v/>
      </c>
      <c r="AG171" s="133" t="str">
        <f t="shared" si="43"/>
        <v/>
      </c>
      <c r="AH171" s="134" t="str">
        <f t="shared" si="37"/>
        <v/>
      </c>
      <c r="AI171" s="135" t="str">
        <f t="shared" si="38"/>
        <v/>
      </c>
      <c r="AJ171" s="135" t="str">
        <f t="shared" si="44"/>
        <v/>
      </c>
      <c r="AK171" s="126" t="str">
        <f t="shared" si="45"/>
        <v/>
      </c>
      <c r="AL171" s="126" t="str">
        <f ca="1">IFERROR(IF(AK171="","", MATCH(AK171,OFFSET(Icons!$B$5,1,AM171-3,20,1),0)+5),"")</f>
        <v/>
      </c>
      <c r="AM171" s="126" t="str">
        <f t="shared" si="46"/>
        <v/>
      </c>
      <c r="AN171" s="90"/>
    </row>
    <row r="172" spans="5:40" ht="15" customHeight="1" x14ac:dyDescent="0.25">
      <c r="E172" s="126">
        <v>169</v>
      </c>
      <c r="F172" s="126"/>
      <c r="G172" s="127"/>
      <c r="H172" s="127"/>
      <c r="I172" s="126"/>
      <c r="K172" s="137" t="str">
        <f t="shared" si="39"/>
        <v/>
      </c>
      <c r="L172" s="127" t="str">
        <f t="shared" si="34"/>
        <v/>
      </c>
      <c r="N172" s="128" t="str">
        <f t="shared" si="40"/>
        <v/>
      </c>
      <c r="O172" s="126" t="str">
        <f t="array" ref="O172">IFERROR(SMALL(IF(($G$4:$G$253=P172),ROW($G$4:$G$253)-ROW($G$3),"" ),N172),"")</f>
        <v/>
      </c>
      <c r="P172" s="127" t="str">
        <f t="array" ref="P172">IFERROR(SMALL($G$4:$G$253,E172),"")</f>
        <v/>
      </c>
      <c r="Q172" s="127" t="str">
        <f t="shared" si="41"/>
        <v/>
      </c>
      <c r="R172" s="126" t="str">
        <f t="shared" si="42"/>
        <v/>
      </c>
      <c r="S172" s="126" t="str">
        <f t="shared" si="35"/>
        <v/>
      </c>
      <c r="T172" s="128" t="str">
        <f>IF(OR(S172="R",S172=""),"",COUNTIFS($P$4:P172,P172,$S$4:S172,"S")*U172)</f>
        <v/>
      </c>
      <c r="U172" s="128" t="str">
        <f>IF(ISNUMBER(N172),IF($C$11=TRUE,IF(OR(ISODD(COUNTIF($N$4:N172,1)),Y172="Yes"),1,-1),1),"")</f>
        <v/>
      </c>
      <c r="V172" s="128" t="str">
        <f ca="1">IFERROR(IF(AND(S172="R",W172&lt;&gt;""),1,IF(S172="R",MAX(OFFSET(V171,0,0,-1*(ROW(W172)-3-MATCH(MAX($W$4:W171),$W$4:W171,0)),1))+1,"")),"")</f>
        <v/>
      </c>
      <c r="W172" s="129" t="str">
        <f>IFERROR(IF(AND(S172="R", P172&gt;MAX($X$3:X171)),P172,""),"")</f>
        <v/>
      </c>
      <c r="X172" s="129" t="str">
        <f>IFERROR(IF(AND(W172="",Q172&gt;=MAX($X$3:X171)),IF(S172="R",Q172,IF(AND(W172="",P172&lt;=MAX($X$3:X171)),MAX($X$3:X171),"")),IF(W172&lt;&gt;"", Q172,"")),"")</f>
        <v/>
      </c>
      <c r="Y172" s="126" t="str">
        <f>IF(S172="S",IF(OR(P172&lt;=MAX($X$3:X171),P172&gt;=IF(MIN(W$53:$W173)&lt;1,99999999,MIN(W$53:$W173))),"Yes","No"),"")</f>
        <v/>
      </c>
      <c r="AA172" s="130" t="str">
        <f t="shared" si="36"/>
        <v/>
      </c>
      <c r="AB172" s="131" t="str">
        <f t="array" ref="AB172">IF(AA172&lt;=$AA$2,MIN(IF($L$4:$L$503&lt;=AB171,99999999999,$L$4:$L$503)),"")</f>
        <v/>
      </c>
      <c r="AC172" s="130" t="str">
        <f>IF(ISNUMBER(AA172),IF(Dashboard!$H$6&lt;&gt;"Horizontal",AC171+dateDistance,AC171),"")</f>
        <v/>
      </c>
      <c r="AD172" s="130" t="str">
        <f>IF(ISNUMBER(AA172),IF(Dashboard!$H$6="Horizontal",AD171+dateDistance,AD171),"")</f>
        <v/>
      </c>
      <c r="AE172" s="132" t="str">
        <f>IF(ISNUMBER(P172), IF(Dashboard!$H$6="Horizontal",IF(S172="S",INDEX($AC$4:$AC$503,MATCH(P172,$AB$4:$AB$503,0),1)+boxDistance*(T172+IF(Y172="No",IF(ISODD(T172),IF(T172&gt;0,1,-1),0),0))*IF(Y172="No",IF(ISODD(T172),0.5,-0.5),1),timelineStartRow - boxDistance * V172),IF( S172="S",INDEX($AC$4:$AC$503,MATCH(P172,$AB$4:$AB$503,0),1),INDEX($AC$4:$AC$503,MATCH(P172,$AB$4:$AB$503,0),1)&amp;"-"&amp;INDEX($AC$4:$AC$503,MATCH(Q172,$AB$4:$AB$503,0),1))),"")</f>
        <v/>
      </c>
      <c r="AF172" s="132" t="str">
        <f>IF(ISNUMBER(P172), IF(Dashboard!$H$6&lt;&gt;"Horizontal",IF(S172="S",INDEX($AD$4:$AD$503,MATCH(P172,$AB$4:$AB$503,0),1)+boxDistance*(T172+IF(Y172="No",IF(ISODD(T172),IF(T172&gt;0,1,-1),0),0))*IF(Y172="No",IF(ISODD(T172),0.5,-0.5),1),timelineStartColumn-boxDistance * IF(AND(ISNUMBER(V172),V172&gt;1),V172*0.85,1)   ),IF( S172="S",INDEX($AD$4:$AD$503,MATCH(P172,$AB$4:$AB$503,0),1),INDEX($AD$4:$AD$503,MATCH(P172,$AB$4:$AB$503,0),1)&amp;"-"&amp;INDEX($AD$4:$AD$503,MATCH(Q172,$AB$4:$AB$503,0),1))),"")</f>
        <v/>
      </c>
      <c r="AG172" s="133" t="str">
        <f t="shared" si="43"/>
        <v/>
      </c>
      <c r="AH172" s="134" t="str">
        <f t="shared" si="37"/>
        <v/>
      </c>
      <c r="AI172" s="135" t="str">
        <f t="shared" si="38"/>
        <v/>
      </c>
      <c r="AJ172" s="135" t="str">
        <f t="shared" si="44"/>
        <v/>
      </c>
      <c r="AK172" s="126" t="str">
        <f t="shared" si="45"/>
        <v/>
      </c>
      <c r="AL172" s="126" t="str">
        <f ca="1">IFERROR(IF(AK172="","", MATCH(AK172,OFFSET(Icons!$B$5,1,AM172-3,20,1),0)+5),"")</f>
        <v/>
      </c>
      <c r="AM172" s="126" t="str">
        <f t="shared" si="46"/>
        <v/>
      </c>
      <c r="AN172" s="90"/>
    </row>
    <row r="173" spans="5:40" ht="15" customHeight="1" x14ac:dyDescent="0.25">
      <c r="E173" s="126">
        <v>170</v>
      </c>
      <c r="F173" s="126"/>
      <c r="G173" s="127"/>
      <c r="H173" s="127"/>
      <c r="I173" s="126"/>
      <c r="K173" s="137" t="str">
        <f t="shared" si="39"/>
        <v/>
      </c>
      <c r="L173" s="127" t="str">
        <f t="shared" si="34"/>
        <v/>
      </c>
      <c r="N173" s="128" t="str">
        <f t="shared" si="40"/>
        <v/>
      </c>
      <c r="O173" s="126" t="str">
        <f t="array" ref="O173">IFERROR(SMALL(IF(($G$4:$G$253=P173),ROW($G$4:$G$253)-ROW($G$3),"" ),N173),"")</f>
        <v/>
      </c>
      <c r="P173" s="127" t="str">
        <f t="array" ref="P173">IFERROR(SMALL($G$4:$G$253,E173),"")</f>
        <v/>
      </c>
      <c r="Q173" s="127" t="str">
        <f t="shared" si="41"/>
        <v/>
      </c>
      <c r="R173" s="126" t="str">
        <f t="shared" si="42"/>
        <v/>
      </c>
      <c r="S173" s="126" t="str">
        <f t="shared" si="35"/>
        <v/>
      </c>
      <c r="T173" s="128" t="str">
        <f>IF(OR(S173="R",S173=""),"",COUNTIFS($P$4:P173,P173,$S$4:S173,"S")*U173)</f>
        <v/>
      </c>
      <c r="U173" s="128" t="str">
        <f>IF(ISNUMBER(N173),IF($C$11=TRUE,IF(OR(ISODD(COUNTIF($N$4:N173,1)),Y173="Yes"),1,-1),1),"")</f>
        <v/>
      </c>
      <c r="V173" s="128" t="str">
        <f ca="1">IFERROR(IF(AND(S173="R",W173&lt;&gt;""),1,IF(S173="R",MAX(OFFSET(V172,0,0,-1*(ROW(W173)-3-MATCH(MAX($W$4:W172),$W$4:W172,0)),1))+1,"")),"")</f>
        <v/>
      </c>
      <c r="W173" s="129" t="str">
        <f>IFERROR(IF(AND(S173="R", P173&gt;MAX($X$3:X172)),P173,""),"")</f>
        <v/>
      </c>
      <c r="X173" s="129" t="str">
        <f>IFERROR(IF(AND(W173="",Q173&gt;=MAX($X$3:X172)),IF(S173="R",Q173,IF(AND(W173="",P173&lt;=MAX($X$3:X172)),MAX($X$3:X172),"")),IF(W173&lt;&gt;"", Q173,"")),"")</f>
        <v/>
      </c>
      <c r="Y173" s="126" t="str">
        <f>IF(S173="S",IF(OR(P173&lt;=MAX($X$3:X172),P173&gt;=IF(MIN(W$53:$W174)&lt;1,99999999,MIN(W$53:$W174))),"Yes","No"),"")</f>
        <v/>
      </c>
      <c r="AA173" s="130" t="str">
        <f t="shared" si="36"/>
        <v/>
      </c>
      <c r="AB173" s="131" t="str">
        <f t="array" ref="AB173">IF(AA173&lt;=$AA$2,MIN(IF($L$4:$L$503&lt;=AB172,99999999999,$L$4:$L$503)),"")</f>
        <v/>
      </c>
      <c r="AC173" s="130" t="str">
        <f>IF(ISNUMBER(AA173),IF(Dashboard!$H$6&lt;&gt;"Horizontal",AC172+dateDistance,AC172),"")</f>
        <v/>
      </c>
      <c r="AD173" s="130" t="str">
        <f>IF(ISNUMBER(AA173),IF(Dashboard!$H$6="Horizontal",AD172+dateDistance,AD172),"")</f>
        <v/>
      </c>
      <c r="AE173" s="132" t="str">
        <f>IF(ISNUMBER(P173), IF(Dashboard!$H$6="Horizontal",IF(S173="S",INDEX($AC$4:$AC$503,MATCH(P173,$AB$4:$AB$503,0),1)+boxDistance*(T173+IF(Y173="No",IF(ISODD(T173),IF(T173&gt;0,1,-1),0),0))*IF(Y173="No",IF(ISODD(T173),0.5,-0.5),1),timelineStartRow - boxDistance * V173),IF( S173="S",INDEX($AC$4:$AC$503,MATCH(P173,$AB$4:$AB$503,0),1),INDEX($AC$4:$AC$503,MATCH(P173,$AB$4:$AB$503,0),1)&amp;"-"&amp;INDEX($AC$4:$AC$503,MATCH(Q173,$AB$4:$AB$503,0),1))),"")</f>
        <v/>
      </c>
      <c r="AF173" s="132" t="str">
        <f>IF(ISNUMBER(P173), IF(Dashboard!$H$6&lt;&gt;"Horizontal",IF(S173="S",INDEX($AD$4:$AD$503,MATCH(P173,$AB$4:$AB$503,0),1)+boxDistance*(T173+IF(Y173="No",IF(ISODD(T173),IF(T173&gt;0,1,-1),0),0))*IF(Y173="No",IF(ISODD(T173),0.5,-0.5),1),timelineStartColumn-boxDistance * IF(AND(ISNUMBER(V173),V173&gt;1),V173*0.85,1)   ),IF( S173="S",INDEX($AD$4:$AD$503,MATCH(P173,$AB$4:$AB$503,0),1),INDEX($AD$4:$AD$503,MATCH(P173,$AB$4:$AB$503,0),1)&amp;"-"&amp;INDEX($AD$4:$AD$503,MATCH(Q173,$AB$4:$AB$503,0),1))),"")</f>
        <v/>
      </c>
      <c r="AG173" s="133" t="str">
        <f t="shared" si="43"/>
        <v/>
      </c>
      <c r="AH173" s="134" t="str">
        <f t="shared" si="37"/>
        <v/>
      </c>
      <c r="AI173" s="135" t="str">
        <f t="shared" si="38"/>
        <v/>
      </c>
      <c r="AJ173" s="135" t="str">
        <f t="shared" si="44"/>
        <v/>
      </c>
      <c r="AK173" s="126" t="str">
        <f t="shared" si="45"/>
        <v/>
      </c>
      <c r="AL173" s="126" t="str">
        <f ca="1">IFERROR(IF(AK173="","", MATCH(AK173,OFFSET(Icons!$B$5,1,AM173-3,20,1),0)+5),"")</f>
        <v/>
      </c>
      <c r="AM173" s="126" t="str">
        <f t="shared" si="46"/>
        <v/>
      </c>
      <c r="AN173" s="90"/>
    </row>
    <row r="174" spans="5:40" ht="15" customHeight="1" x14ac:dyDescent="0.25">
      <c r="E174" s="126">
        <v>171</v>
      </c>
      <c r="F174" s="126"/>
      <c r="G174" s="127"/>
      <c r="H174" s="127"/>
      <c r="I174" s="126"/>
      <c r="K174" s="137" t="str">
        <f t="shared" si="39"/>
        <v/>
      </c>
      <c r="L174" s="127" t="str">
        <f t="shared" si="34"/>
        <v/>
      </c>
      <c r="N174" s="128" t="str">
        <f t="shared" si="40"/>
        <v/>
      </c>
      <c r="O174" s="126" t="str">
        <f t="array" ref="O174">IFERROR(SMALL(IF(($G$4:$G$253=P174),ROW($G$4:$G$253)-ROW($G$3),"" ),N174),"")</f>
        <v/>
      </c>
      <c r="P174" s="127" t="str">
        <f t="array" ref="P174">IFERROR(SMALL($G$4:$G$253,E174),"")</f>
        <v/>
      </c>
      <c r="Q174" s="127" t="str">
        <f t="shared" si="41"/>
        <v/>
      </c>
      <c r="R174" s="126" t="str">
        <f t="shared" si="42"/>
        <v/>
      </c>
      <c r="S174" s="126" t="str">
        <f t="shared" si="35"/>
        <v/>
      </c>
      <c r="T174" s="128" t="str">
        <f>IF(OR(S174="R",S174=""),"",COUNTIFS($P$4:P174,P174,$S$4:S174,"S")*U174)</f>
        <v/>
      </c>
      <c r="U174" s="128" t="str">
        <f>IF(ISNUMBER(N174),IF($C$11=TRUE,IF(OR(ISODD(COUNTIF($N$4:N174,1)),Y174="Yes"),1,-1),1),"")</f>
        <v/>
      </c>
      <c r="V174" s="128" t="str">
        <f ca="1">IFERROR(IF(AND(S174="R",W174&lt;&gt;""),1,IF(S174="R",MAX(OFFSET(V173,0,0,-1*(ROW(W174)-3-MATCH(MAX($W$4:W173),$W$4:W173,0)),1))+1,"")),"")</f>
        <v/>
      </c>
      <c r="W174" s="129" t="str">
        <f>IFERROR(IF(AND(S174="R", P174&gt;MAX($X$3:X173)),P174,""),"")</f>
        <v/>
      </c>
      <c r="X174" s="129" t="str">
        <f>IFERROR(IF(AND(W174="",Q174&gt;=MAX($X$3:X173)),IF(S174="R",Q174,IF(AND(W174="",P174&lt;=MAX($X$3:X173)),MAX($X$3:X173),"")),IF(W174&lt;&gt;"", Q174,"")),"")</f>
        <v/>
      </c>
      <c r="Y174" s="126" t="str">
        <f>IF(S174="S",IF(OR(P174&lt;=MAX($X$3:X173),P174&gt;=IF(MIN(W$53:$W175)&lt;1,99999999,MIN(W$53:$W175))),"Yes","No"),"")</f>
        <v/>
      </c>
      <c r="AA174" s="130" t="str">
        <f t="shared" si="36"/>
        <v/>
      </c>
      <c r="AB174" s="131" t="str">
        <f t="array" ref="AB174">IF(AA174&lt;=$AA$2,MIN(IF($L$4:$L$503&lt;=AB173,99999999999,$L$4:$L$503)),"")</f>
        <v/>
      </c>
      <c r="AC174" s="130" t="str">
        <f>IF(ISNUMBER(AA174),IF(Dashboard!$H$6&lt;&gt;"Horizontal",AC173+dateDistance,AC173),"")</f>
        <v/>
      </c>
      <c r="AD174" s="130" t="str">
        <f>IF(ISNUMBER(AA174),IF(Dashboard!$H$6="Horizontal",AD173+dateDistance,AD173),"")</f>
        <v/>
      </c>
      <c r="AE174" s="132" t="str">
        <f>IF(ISNUMBER(P174), IF(Dashboard!$H$6="Horizontal",IF(S174="S",INDEX($AC$4:$AC$503,MATCH(P174,$AB$4:$AB$503,0),1)+boxDistance*(T174+IF(Y174="No",IF(ISODD(T174),IF(T174&gt;0,1,-1),0),0))*IF(Y174="No",IF(ISODD(T174),0.5,-0.5),1),timelineStartRow - boxDistance * V174),IF( S174="S",INDEX($AC$4:$AC$503,MATCH(P174,$AB$4:$AB$503,0),1),INDEX($AC$4:$AC$503,MATCH(P174,$AB$4:$AB$503,0),1)&amp;"-"&amp;INDEX($AC$4:$AC$503,MATCH(Q174,$AB$4:$AB$503,0),1))),"")</f>
        <v/>
      </c>
      <c r="AF174" s="132" t="str">
        <f>IF(ISNUMBER(P174), IF(Dashboard!$H$6&lt;&gt;"Horizontal",IF(S174="S",INDEX($AD$4:$AD$503,MATCH(P174,$AB$4:$AB$503,0),1)+boxDistance*(T174+IF(Y174="No",IF(ISODD(T174),IF(T174&gt;0,1,-1),0),0))*IF(Y174="No",IF(ISODD(T174),0.5,-0.5),1),timelineStartColumn-boxDistance * IF(AND(ISNUMBER(V174),V174&gt;1),V174*0.85,1)   ),IF( S174="S",INDEX($AD$4:$AD$503,MATCH(P174,$AB$4:$AB$503,0),1),INDEX($AD$4:$AD$503,MATCH(P174,$AB$4:$AB$503,0),1)&amp;"-"&amp;INDEX($AD$4:$AD$503,MATCH(Q174,$AB$4:$AB$503,0),1))),"")</f>
        <v/>
      </c>
      <c r="AG174" s="133" t="str">
        <f t="shared" si="43"/>
        <v/>
      </c>
      <c r="AH174" s="134" t="str">
        <f t="shared" si="37"/>
        <v/>
      </c>
      <c r="AI174" s="135" t="str">
        <f t="shared" si="38"/>
        <v/>
      </c>
      <c r="AJ174" s="135" t="str">
        <f t="shared" si="44"/>
        <v/>
      </c>
      <c r="AK174" s="126" t="str">
        <f t="shared" si="45"/>
        <v/>
      </c>
      <c r="AL174" s="126" t="str">
        <f ca="1">IFERROR(IF(AK174="","", MATCH(AK174,OFFSET(Icons!$B$5,1,AM174-3,20,1),0)+5),"")</f>
        <v/>
      </c>
      <c r="AM174" s="126" t="str">
        <f t="shared" si="46"/>
        <v/>
      </c>
      <c r="AN174" s="90"/>
    </row>
    <row r="175" spans="5:40" ht="15" customHeight="1" x14ac:dyDescent="0.25">
      <c r="E175" s="126">
        <v>172</v>
      </c>
      <c r="F175" s="126"/>
      <c r="G175" s="127"/>
      <c r="H175" s="127"/>
      <c r="I175" s="126"/>
      <c r="K175" s="137" t="str">
        <f t="shared" si="39"/>
        <v/>
      </c>
      <c r="L175" s="127" t="str">
        <f t="shared" si="34"/>
        <v/>
      </c>
      <c r="N175" s="128" t="str">
        <f t="shared" si="40"/>
        <v/>
      </c>
      <c r="O175" s="126" t="str">
        <f t="array" ref="O175">IFERROR(SMALL(IF(($G$4:$G$253=P175),ROW($G$4:$G$253)-ROW($G$3),"" ),N175),"")</f>
        <v/>
      </c>
      <c r="P175" s="127" t="str">
        <f t="array" ref="P175">IFERROR(SMALL($G$4:$G$253,E175),"")</f>
        <v/>
      </c>
      <c r="Q175" s="127" t="str">
        <f t="shared" si="41"/>
        <v/>
      </c>
      <c r="R175" s="126" t="str">
        <f t="shared" si="42"/>
        <v/>
      </c>
      <c r="S175" s="126" t="str">
        <f t="shared" si="35"/>
        <v/>
      </c>
      <c r="T175" s="128" t="str">
        <f>IF(OR(S175="R",S175=""),"",COUNTIFS($P$4:P175,P175,$S$4:S175,"S")*U175)</f>
        <v/>
      </c>
      <c r="U175" s="128" t="str">
        <f>IF(ISNUMBER(N175),IF($C$11=TRUE,IF(OR(ISODD(COUNTIF($N$4:N175,1)),Y175="Yes"),1,-1),1),"")</f>
        <v/>
      </c>
      <c r="V175" s="128" t="str">
        <f ca="1">IFERROR(IF(AND(S175="R",W175&lt;&gt;""),1,IF(S175="R",MAX(OFFSET(V174,0,0,-1*(ROW(W175)-3-MATCH(MAX($W$4:W174),$W$4:W174,0)),1))+1,"")),"")</f>
        <v/>
      </c>
      <c r="W175" s="129" t="str">
        <f>IFERROR(IF(AND(S175="R", P175&gt;MAX($X$3:X174)),P175,""),"")</f>
        <v/>
      </c>
      <c r="X175" s="129" t="str">
        <f>IFERROR(IF(AND(W175="",Q175&gt;=MAX($X$3:X174)),IF(S175="R",Q175,IF(AND(W175="",P175&lt;=MAX($X$3:X174)),MAX($X$3:X174),"")),IF(W175&lt;&gt;"", Q175,"")),"")</f>
        <v/>
      </c>
      <c r="Y175" s="126" t="str">
        <f>IF(S175="S",IF(OR(P175&lt;=MAX($X$3:X174),P175&gt;=IF(MIN(W$53:$W176)&lt;1,99999999,MIN(W$53:$W176))),"Yes","No"),"")</f>
        <v/>
      </c>
      <c r="AA175" s="130" t="str">
        <f t="shared" si="36"/>
        <v/>
      </c>
      <c r="AB175" s="131" t="str">
        <f t="array" ref="AB175">IF(AA175&lt;=$AA$2,MIN(IF($L$4:$L$503&lt;=AB174,99999999999,$L$4:$L$503)),"")</f>
        <v/>
      </c>
      <c r="AC175" s="130" t="str">
        <f>IF(ISNUMBER(AA175),IF(Dashboard!$H$6&lt;&gt;"Horizontal",AC174+dateDistance,AC174),"")</f>
        <v/>
      </c>
      <c r="AD175" s="130" t="str">
        <f>IF(ISNUMBER(AA175),IF(Dashboard!$H$6="Horizontal",AD174+dateDistance,AD174),"")</f>
        <v/>
      </c>
      <c r="AE175" s="132" t="str">
        <f>IF(ISNUMBER(P175), IF(Dashboard!$H$6="Horizontal",IF(S175="S",INDEX($AC$4:$AC$503,MATCH(P175,$AB$4:$AB$503,0),1)+boxDistance*(T175+IF(Y175="No",IF(ISODD(T175),IF(T175&gt;0,1,-1),0),0))*IF(Y175="No",IF(ISODD(T175),0.5,-0.5),1),timelineStartRow - boxDistance * V175),IF( S175="S",INDEX($AC$4:$AC$503,MATCH(P175,$AB$4:$AB$503,0),1),INDEX($AC$4:$AC$503,MATCH(P175,$AB$4:$AB$503,0),1)&amp;"-"&amp;INDEX($AC$4:$AC$503,MATCH(Q175,$AB$4:$AB$503,0),1))),"")</f>
        <v/>
      </c>
      <c r="AF175" s="132" t="str">
        <f>IF(ISNUMBER(P175), IF(Dashboard!$H$6&lt;&gt;"Horizontal",IF(S175="S",INDEX($AD$4:$AD$503,MATCH(P175,$AB$4:$AB$503,0),1)+boxDistance*(T175+IF(Y175="No",IF(ISODD(T175),IF(T175&gt;0,1,-1),0),0))*IF(Y175="No",IF(ISODD(T175),0.5,-0.5),1),timelineStartColumn-boxDistance * IF(AND(ISNUMBER(V175),V175&gt;1),V175*0.85,1)   ),IF( S175="S",INDEX($AD$4:$AD$503,MATCH(P175,$AB$4:$AB$503,0),1),INDEX($AD$4:$AD$503,MATCH(P175,$AB$4:$AB$503,0),1)&amp;"-"&amp;INDEX($AD$4:$AD$503,MATCH(Q175,$AB$4:$AB$503,0),1))),"")</f>
        <v/>
      </c>
      <c r="AG175" s="133" t="str">
        <f t="shared" si="43"/>
        <v/>
      </c>
      <c r="AH175" s="134" t="str">
        <f t="shared" si="37"/>
        <v/>
      </c>
      <c r="AI175" s="135" t="str">
        <f t="shared" si="38"/>
        <v/>
      </c>
      <c r="AJ175" s="135" t="str">
        <f t="shared" si="44"/>
        <v/>
      </c>
      <c r="AK175" s="126" t="str">
        <f t="shared" si="45"/>
        <v/>
      </c>
      <c r="AL175" s="126" t="str">
        <f ca="1">IFERROR(IF(AK175="","", MATCH(AK175,OFFSET(Icons!$B$5,1,AM175-3,20,1),0)+5),"")</f>
        <v/>
      </c>
      <c r="AM175" s="126" t="str">
        <f t="shared" si="46"/>
        <v/>
      </c>
      <c r="AN175" s="90"/>
    </row>
    <row r="176" spans="5:40" ht="15" customHeight="1" x14ac:dyDescent="0.25">
      <c r="E176" s="126">
        <v>173</v>
      </c>
      <c r="F176" s="126"/>
      <c r="G176" s="127"/>
      <c r="H176" s="127"/>
      <c r="I176" s="126"/>
      <c r="K176" s="137" t="str">
        <f t="shared" si="39"/>
        <v/>
      </c>
      <c r="L176" s="127" t="str">
        <f t="shared" si="34"/>
        <v/>
      </c>
      <c r="N176" s="128" t="str">
        <f t="shared" si="40"/>
        <v/>
      </c>
      <c r="O176" s="126" t="str">
        <f t="array" ref="O176">IFERROR(SMALL(IF(($G$4:$G$253=P176),ROW($G$4:$G$253)-ROW($G$3),"" ),N176),"")</f>
        <v/>
      </c>
      <c r="P176" s="127" t="str">
        <f t="array" ref="P176">IFERROR(SMALL($G$4:$G$253,E176),"")</f>
        <v/>
      </c>
      <c r="Q176" s="127" t="str">
        <f t="shared" si="41"/>
        <v/>
      </c>
      <c r="R176" s="126" t="str">
        <f t="shared" si="42"/>
        <v/>
      </c>
      <c r="S176" s="126" t="str">
        <f t="shared" si="35"/>
        <v/>
      </c>
      <c r="T176" s="128" t="str">
        <f>IF(OR(S176="R",S176=""),"",COUNTIFS($P$4:P176,P176,$S$4:S176,"S")*U176)</f>
        <v/>
      </c>
      <c r="U176" s="128" t="str">
        <f>IF(ISNUMBER(N176),IF($C$11=TRUE,IF(OR(ISODD(COUNTIF($N$4:N176,1)),Y176="Yes"),1,-1),1),"")</f>
        <v/>
      </c>
      <c r="V176" s="128" t="str">
        <f ca="1">IFERROR(IF(AND(S176="R",W176&lt;&gt;""),1,IF(S176="R",MAX(OFFSET(V175,0,0,-1*(ROW(W176)-3-MATCH(MAX($W$4:W175),$W$4:W175,0)),1))+1,"")),"")</f>
        <v/>
      </c>
      <c r="W176" s="129" t="str">
        <f>IFERROR(IF(AND(S176="R", P176&gt;MAX($X$3:X175)),P176,""),"")</f>
        <v/>
      </c>
      <c r="X176" s="129" t="str">
        <f>IFERROR(IF(AND(W176="",Q176&gt;=MAX($X$3:X175)),IF(S176="R",Q176,IF(AND(W176="",P176&lt;=MAX($X$3:X175)),MAX($X$3:X175),"")),IF(W176&lt;&gt;"", Q176,"")),"")</f>
        <v/>
      </c>
      <c r="Y176" s="126" t="str">
        <f>IF(S176="S",IF(OR(P176&lt;=MAX($X$3:X175),P176&gt;=IF(MIN(W$53:$W177)&lt;1,99999999,MIN(W$53:$W177))),"Yes","No"),"")</f>
        <v/>
      </c>
      <c r="AA176" s="130" t="str">
        <f t="shared" si="36"/>
        <v/>
      </c>
      <c r="AB176" s="131" t="str">
        <f t="array" ref="AB176">IF(AA176&lt;=$AA$2,MIN(IF($L$4:$L$503&lt;=AB175,99999999999,$L$4:$L$503)),"")</f>
        <v/>
      </c>
      <c r="AC176" s="130" t="str">
        <f>IF(ISNUMBER(AA176),IF(Dashboard!$H$6&lt;&gt;"Horizontal",AC175+dateDistance,AC175),"")</f>
        <v/>
      </c>
      <c r="AD176" s="130" t="str">
        <f>IF(ISNUMBER(AA176),IF(Dashboard!$H$6="Horizontal",AD175+dateDistance,AD175),"")</f>
        <v/>
      </c>
      <c r="AE176" s="132" t="str">
        <f>IF(ISNUMBER(P176), IF(Dashboard!$H$6="Horizontal",IF(S176="S",INDEX($AC$4:$AC$503,MATCH(P176,$AB$4:$AB$503,0),1)+boxDistance*(T176+IF(Y176="No",IF(ISODD(T176),IF(T176&gt;0,1,-1),0),0))*IF(Y176="No",IF(ISODD(T176),0.5,-0.5),1),timelineStartRow - boxDistance * V176),IF( S176="S",INDEX($AC$4:$AC$503,MATCH(P176,$AB$4:$AB$503,0),1),INDEX($AC$4:$AC$503,MATCH(P176,$AB$4:$AB$503,0),1)&amp;"-"&amp;INDEX($AC$4:$AC$503,MATCH(Q176,$AB$4:$AB$503,0),1))),"")</f>
        <v/>
      </c>
      <c r="AF176" s="132" t="str">
        <f>IF(ISNUMBER(P176), IF(Dashboard!$H$6&lt;&gt;"Horizontal",IF(S176="S",INDEX($AD$4:$AD$503,MATCH(P176,$AB$4:$AB$503,0),1)+boxDistance*(T176+IF(Y176="No",IF(ISODD(T176),IF(T176&gt;0,1,-1),0),0))*IF(Y176="No",IF(ISODD(T176),0.5,-0.5),1),timelineStartColumn-boxDistance * IF(AND(ISNUMBER(V176),V176&gt;1),V176*0.85,1)   ),IF( S176="S",INDEX($AD$4:$AD$503,MATCH(P176,$AB$4:$AB$503,0),1),INDEX($AD$4:$AD$503,MATCH(P176,$AB$4:$AB$503,0),1)&amp;"-"&amp;INDEX($AD$4:$AD$503,MATCH(Q176,$AB$4:$AB$503,0),1))),"")</f>
        <v/>
      </c>
      <c r="AG176" s="133" t="str">
        <f t="shared" si="43"/>
        <v/>
      </c>
      <c r="AH176" s="134" t="str">
        <f t="shared" si="37"/>
        <v/>
      </c>
      <c r="AI176" s="135" t="str">
        <f t="shared" si="38"/>
        <v/>
      </c>
      <c r="AJ176" s="135" t="str">
        <f t="shared" si="44"/>
        <v/>
      </c>
      <c r="AK176" s="126" t="str">
        <f t="shared" si="45"/>
        <v/>
      </c>
      <c r="AL176" s="126" t="str">
        <f ca="1">IFERROR(IF(AK176="","", MATCH(AK176,OFFSET(Icons!$B$5,1,AM176-3,20,1),0)+5),"")</f>
        <v/>
      </c>
      <c r="AM176" s="126" t="str">
        <f t="shared" si="46"/>
        <v/>
      </c>
      <c r="AN176" s="90"/>
    </row>
    <row r="177" spans="5:40" ht="15" customHeight="1" x14ac:dyDescent="0.25">
      <c r="E177" s="126">
        <v>174</v>
      </c>
      <c r="F177" s="126"/>
      <c r="G177" s="127"/>
      <c r="H177" s="127"/>
      <c r="I177" s="126"/>
      <c r="K177" s="137" t="str">
        <f t="shared" si="39"/>
        <v/>
      </c>
      <c r="L177" s="127" t="str">
        <f t="shared" si="34"/>
        <v/>
      </c>
      <c r="N177" s="128" t="str">
        <f t="shared" si="40"/>
        <v/>
      </c>
      <c r="O177" s="126" t="str">
        <f t="array" ref="O177">IFERROR(SMALL(IF(($G$4:$G$253=P177),ROW($G$4:$G$253)-ROW($G$3),"" ),N177),"")</f>
        <v/>
      </c>
      <c r="P177" s="127" t="str">
        <f t="array" ref="P177">IFERROR(SMALL($G$4:$G$253,E177),"")</f>
        <v/>
      </c>
      <c r="Q177" s="127" t="str">
        <f t="shared" si="41"/>
        <v/>
      </c>
      <c r="R177" s="126" t="str">
        <f t="shared" si="42"/>
        <v/>
      </c>
      <c r="S177" s="126" t="str">
        <f t="shared" si="35"/>
        <v/>
      </c>
      <c r="T177" s="128" t="str">
        <f>IF(OR(S177="R",S177=""),"",COUNTIFS($P$4:P177,P177,$S$4:S177,"S")*U177)</f>
        <v/>
      </c>
      <c r="U177" s="128" t="str">
        <f>IF(ISNUMBER(N177),IF($C$11=TRUE,IF(OR(ISODD(COUNTIF($N$4:N177,1)),Y177="Yes"),1,-1),1),"")</f>
        <v/>
      </c>
      <c r="V177" s="128" t="str">
        <f ca="1">IFERROR(IF(AND(S177="R",W177&lt;&gt;""),1,IF(S177="R",MAX(OFFSET(V176,0,0,-1*(ROW(W177)-3-MATCH(MAX($W$4:W176),$W$4:W176,0)),1))+1,"")),"")</f>
        <v/>
      </c>
      <c r="W177" s="129" t="str">
        <f>IFERROR(IF(AND(S177="R", P177&gt;MAX($X$3:X176)),P177,""),"")</f>
        <v/>
      </c>
      <c r="X177" s="129" t="str">
        <f>IFERROR(IF(AND(W177="",Q177&gt;=MAX($X$3:X176)),IF(S177="R",Q177,IF(AND(W177="",P177&lt;=MAX($X$3:X176)),MAX($X$3:X176),"")),IF(W177&lt;&gt;"", Q177,"")),"")</f>
        <v/>
      </c>
      <c r="Y177" s="126" t="str">
        <f>IF(S177="S",IF(OR(P177&lt;=MAX($X$3:X176),P177&gt;=IF(MIN(W$53:$W178)&lt;1,99999999,MIN(W$53:$W178))),"Yes","No"),"")</f>
        <v/>
      </c>
      <c r="AA177" s="130" t="str">
        <f t="shared" si="36"/>
        <v/>
      </c>
      <c r="AB177" s="131" t="str">
        <f t="array" ref="AB177">IF(AA177&lt;=$AA$2,MIN(IF($L$4:$L$503&lt;=AB176,99999999999,$L$4:$L$503)),"")</f>
        <v/>
      </c>
      <c r="AC177" s="130" t="str">
        <f>IF(ISNUMBER(AA177),IF(Dashboard!$H$6&lt;&gt;"Horizontal",AC176+dateDistance,AC176),"")</f>
        <v/>
      </c>
      <c r="AD177" s="130" t="str">
        <f>IF(ISNUMBER(AA177),IF(Dashboard!$H$6="Horizontal",AD176+dateDistance,AD176),"")</f>
        <v/>
      </c>
      <c r="AE177" s="132" t="str">
        <f>IF(ISNUMBER(P177), IF(Dashboard!$H$6="Horizontal",IF(S177="S",INDEX($AC$4:$AC$503,MATCH(P177,$AB$4:$AB$503,0),1)+boxDistance*(T177+IF(Y177="No",IF(ISODD(T177),IF(T177&gt;0,1,-1),0),0))*IF(Y177="No",IF(ISODD(T177),0.5,-0.5),1),timelineStartRow - boxDistance * V177),IF( S177="S",INDEX($AC$4:$AC$503,MATCH(P177,$AB$4:$AB$503,0),1),INDEX($AC$4:$AC$503,MATCH(P177,$AB$4:$AB$503,0),1)&amp;"-"&amp;INDEX($AC$4:$AC$503,MATCH(Q177,$AB$4:$AB$503,0),1))),"")</f>
        <v/>
      </c>
      <c r="AF177" s="132" t="str">
        <f>IF(ISNUMBER(P177), IF(Dashboard!$H$6&lt;&gt;"Horizontal",IF(S177="S",INDEX($AD$4:$AD$503,MATCH(P177,$AB$4:$AB$503,0),1)+boxDistance*(T177+IF(Y177="No",IF(ISODD(T177),IF(T177&gt;0,1,-1),0),0))*IF(Y177="No",IF(ISODD(T177),0.5,-0.5),1),timelineStartColumn-boxDistance * IF(AND(ISNUMBER(V177),V177&gt;1),V177*0.85,1)   ),IF( S177="S",INDEX($AD$4:$AD$503,MATCH(P177,$AB$4:$AB$503,0),1),INDEX($AD$4:$AD$503,MATCH(P177,$AB$4:$AB$503,0),1)&amp;"-"&amp;INDEX($AD$4:$AD$503,MATCH(Q177,$AB$4:$AB$503,0),1))),"")</f>
        <v/>
      </c>
      <c r="AG177" s="133" t="str">
        <f t="shared" si="43"/>
        <v/>
      </c>
      <c r="AH177" s="134" t="str">
        <f t="shared" si="37"/>
        <v/>
      </c>
      <c r="AI177" s="135" t="str">
        <f t="shared" si="38"/>
        <v/>
      </c>
      <c r="AJ177" s="135" t="str">
        <f t="shared" si="44"/>
        <v/>
      </c>
      <c r="AK177" s="126" t="str">
        <f t="shared" si="45"/>
        <v/>
      </c>
      <c r="AL177" s="126" t="str">
        <f ca="1">IFERROR(IF(AK177="","", MATCH(AK177,OFFSET(Icons!$B$5,1,AM177-3,20,1),0)+5),"")</f>
        <v/>
      </c>
      <c r="AM177" s="126" t="str">
        <f t="shared" si="46"/>
        <v/>
      </c>
      <c r="AN177" s="90"/>
    </row>
    <row r="178" spans="5:40" ht="15" customHeight="1" x14ac:dyDescent="0.25">
      <c r="E178" s="126">
        <v>175</v>
      </c>
      <c r="F178" s="126"/>
      <c r="G178" s="127"/>
      <c r="H178" s="127"/>
      <c r="I178" s="126"/>
      <c r="K178" s="137" t="str">
        <f t="shared" si="39"/>
        <v/>
      </c>
      <c r="L178" s="127" t="str">
        <f t="shared" si="34"/>
        <v/>
      </c>
      <c r="N178" s="128" t="str">
        <f t="shared" si="40"/>
        <v/>
      </c>
      <c r="O178" s="126" t="str">
        <f t="array" ref="O178">IFERROR(SMALL(IF(($G$4:$G$253=P178),ROW($G$4:$G$253)-ROW($G$3),"" ),N178),"")</f>
        <v/>
      </c>
      <c r="P178" s="127" t="str">
        <f t="array" ref="P178">IFERROR(SMALL($G$4:$G$253,E178),"")</f>
        <v/>
      </c>
      <c r="Q178" s="127" t="str">
        <f t="shared" si="41"/>
        <v/>
      </c>
      <c r="R178" s="126" t="str">
        <f t="shared" si="42"/>
        <v/>
      </c>
      <c r="S178" s="126" t="str">
        <f t="shared" si="35"/>
        <v/>
      </c>
      <c r="T178" s="128" t="str">
        <f>IF(OR(S178="R",S178=""),"",COUNTIFS($P$4:P178,P178,$S$4:S178,"S")*U178)</f>
        <v/>
      </c>
      <c r="U178" s="128" t="str">
        <f>IF(ISNUMBER(N178),IF($C$11=TRUE,IF(OR(ISODD(COUNTIF($N$4:N178,1)),Y178="Yes"),1,-1),1),"")</f>
        <v/>
      </c>
      <c r="V178" s="128" t="str">
        <f ca="1">IFERROR(IF(AND(S178="R",W178&lt;&gt;""),1,IF(S178="R",MAX(OFFSET(V177,0,0,-1*(ROW(W178)-3-MATCH(MAX($W$4:W177),$W$4:W177,0)),1))+1,"")),"")</f>
        <v/>
      </c>
      <c r="W178" s="129" t="str">
        <f>IFERROR(IF(AND(S178="R", P178&gt;MAX($X$3:X177)),P178,""),"")</f>
        <v/>
      </c>
      <c r="X178" s="129" t="str">
        <f>IFERROR(IF(AND(W178="",Q178&gt;=MAX($X$3:X177)),IF(S178="R",Q178,IF(AND(W178="",P178&lt;=MAX($X$3:X177)),MAX($X$3:X177),"")),IF(W178&lt;&gt;"", Q178,"")),"")</f>
        <v/>
      </c>
      <c r="Y178" s="126" t="str">
        <f>IF(S178="S",IF(OR(P178&lt;=MAX($X$3:X177),P178&gt;=IF(MIN(W$53:$W179)&lt;1,99999999,MIN(W$53:$W179))),"Yes","No"),"")</f>
        <v/>
      </c>
      <c r="AA178" s="130" t="str">
        <f t="shared" si="36"/>
        <v/>
      </c>
      <c r="AB178" s="131" t="str">
        <f t="array" ref="AB178">IF(AA178&lt;=$AA$2,MIN(IF($L$4:$L$503&lt;=AB177,99999999999,$L$4:$L$503)),"")</f>
        <v/>
      </c>
      <c r="AC178" s="130" t="str">
        <f>IF(ISNUMBER(AA178),IF(Dashboard!$H$6&lt;&gt;"Horizontal",AC177+dateDistance,AC177),"")</f>
        <v/>
      </c>
      <c r="AD178" s="130" t="str">
        <f>IF(ISNUMBER(AA178),IF(Dashboard!$H$6="Horizontal",AD177+dateDistance,AD177),"")</f>
        <v/>
      </c>
      <c r="AE178" s="132" t="str">
        <f>IF(ISNUMBER(P178), IF(Dashboard!$H$6="Horizontal",IF(S178="S",INDEX($AC$4:$AC$503,MATCH(P178,$AB$4:$AB$503,0),1)+boxDistance*(T178+IF(Y178="No",IF(ISODD(T178),IF(T178&gt;0,1,-1),0),0))*IF(Y178="No",IF(ISODD(T178),0.5,-0.5),1),timelineStartRow - boxDistance * V178),IF( S178="S",INDEX($AC$4:$AC$503,MATCH(P178,$AB$4:$AB$503,0),1),INDEX($AC$4:$AC$503,MATCH(P178,$AB$4:$AB$503,0),1)&amp;"-"&amp;INDEX($AC$4:$AC$503,MATCH(Q178,$AB$4:$AB$503,0),1))),"")</f>
        <v/>
      </c>
      <c r="AF178" s="132" t="str">
        <f>IF(ISNUMBER(P178), IF(Dashboard!$H$6&lt;&gt;"Horizontal",IF(S178="S",INDEX($AD$4:$AD$503,MATCH(P178,$AB$4:$AB$503,0),1)+boxDistance*(T178+IF(Y178="No",IF(ISODD(T178),IF(T178&gt;0,1,-1),0),0))*IF(Y178="No",IF(ISODD(T178),0.5,-0.5),1),timelineStartColumn-boxDistance * IF(AND(ISNUMBER(V178),V178&gt;1),V178*0.85,1)   ),IF( S178="S",INDEX($AD$4:$AD$503,MATCH(P178,$AB$4:$AB$503,0),1),INDEX($AD$4:$AD$503,MATCH(P178,$AB$4:$AB$503,0),1)&amp;"-"&amp;INDEX($AD$4:$AD$503,MATCH(Q178,$AB$4:$AB$503,0),1))),"")</f>
        <v/>
      </c>
      <c r="AG178" s="133" t="str">
        <f t="shared" si="43"/>
        <v/>
      </c>
      <c r="AH178" s="134" t="str">
        <f t="shared" si="37"/>
        <v/>
      </c>
      <c r="AI178" s="135" t="str">
        <f t="shared" si="38"/>
        <v/>
      </c>
      <c r="AJ178" s="135" t="str">
        <f t="shared" si="44"/>
        <v/>
      </c>
      <c r="AK178" s="126" t="str">
        <f t="shared" si="45"/>
        <v/>
      </c>
      <c r="AL178" s="126" t="str">
        <f ca="1">IFERROR(IF(AK178="","", MATCH(AK178,OFFSET(Icons!$B$5,1,AM178-3,20,1),0)+5),"")</f>
        <v/>
      </c>
      <c r="AM178" s="126" t="str">
        <f t="shared" si="46"/>
        <v/>
      </c>
      <c r="AN178" s="90"/>
    </row>
    <row r="179" spans="5:40" ht="15" customHeight="1" x14ac:dyDescent="0.25">
      <c r="E179" s="126">
        <v>176</v>
      </c>
      <c r="F179" s="126"/>
      <c r="G179" s="127"/>
      <c r="H179" s="127"/>
      <c r="I179" s="126"/>
      <c r="K179" s="137" t="str">
        <f t="shared" si="39"/>
        <v/>
      </c>
      <c r="L179" s="127" t="str">
        <f t="shared" si="34"/>
        <v/>
      </c>
      <c r="N179" s="128" t="str">
        <f t="shared" si="40"/>
        <v/>
      </c>
      <c r="O179" s="126" t="str">
        <f t="array" ref="O179">IFERROR(SMALL(IF(($G$4:$G$253=P179),ROW($G$4:$G$253)-ROW($G$3),"" ),N179),"")</f>
        <v/>
      </c>
      <c r="P179" s="127" t="str">
        <f t="array" ref="P179">IFERROR(SMALL($G$4:$G$253,E179),"")</f>
        <v/>
      </c>
      <c r="Q179" s="127" t="str">
        <f t="shared" si="41"/>
        <v/>
      </c>
      <c r="R179" s="126" t="str">
        <f t="shared" si="42"/>
        <v/>
      </c>
      <c r="S179" s="126" t="str">
        <f t="shared" si="35"/>
        <v/>
      </c>
      <c r="T179" s="128" t="str">
        <f>IF(OR(S179="R",S179=""),"",COUNTIFS($P$4:P179,P179,$S$4:S179,"S")*U179)</f>
        <v/>
      </c>
      <c r="U179" s="128" t="str">
        <f>IF(ISNUMBER(N179),IF($C$11=TRUE,IF(OR(ISODD(COUNTIF($N$4:N179,1)),Y179="Yes"),1,-1),1),"")</f>
        <v/>
      </c>
      <c r="V179" s="128" t="str">
        <f ca="1">IFERROR(IF(AND(S179="R",W179&lt;&gt;""),1,IF(S179="R",MAX(OFFSET(V178,0,0,-1*(ROW(W179)-3-MATCH(MAX($W$4:W178),$W$4:W178,0)),1))+1,"")),"")</f>
        <v/>
      </c>
      <c r="W179" s="129" t="str">
        <f>IFERROR(IF(AND(S179="R", P179&gt;MAX($X$3:X178)),P179,""),"")</f>
        <v/>
      </c>
      <c r="X179" s="129" t="str">
        <f>IFERROR(IF(AND(W179="",Q179&gt;=MAX($X$3:X178)),IF(S179="R",Q179,IF(AND(W179="",P179&lt;=MAX($X$3:X178)),MAX($X$3:X178),"")),IF(W179&lt;&gt;"", Q179,"")),"")</f>
        <v/>
      </c>
      <c r="Y179" s="126" t="str">
        <f>IF(S179="S",IF(OR(P179&lt;=MAX($X$3:X178),P179&gt;=IF(MIN(W$53:$W180)&lt;1,99999999,MIN(W$53:$W180))),"Yes","No"),"")</f>
        <v/>
      </c>
      <c r="AA179" s="130" t="str">
        <f t="shared" si="36"/>
        <v/>
      </c>
      <c r="AB179" s="131" t="str">
        <f t="array" ref="AB179">IF(AA179&lt;=$AA$2,MIN(IF($L$4:$L$503&lt;=AB178,99999999999,$L$4:$L$503)),"")</f>
        <v/>
      </c>
      <c r="AC179" s="130" t="str">
        <f>IF(ISNUMBER(AA179),IF(Dashboard!$H$6&lt;&gt;"Horizontal",AC178+dateDistance,AC178),"")</f>
        <v/>
      </c>
      <c r="AD179" s="130" t="str">
        <f>IF(ISNUMBER(AA179),IF(Dashboard!$H$6="Horizontal",AD178+dateDistance,AD178),"")</f>
        <v/>
      </c>
      <c r="AE179" s="132" t="str">
        <f>IF(ISNUMBER(P179), IF(Dashboard!$H$6="Horizontal",IF(S179="S",INDEX($AC$4:$AC$503,MATCH(P179,$AB$4:$AB$503,0),1)+boxDistance*(T179+IF(Y179="No",IF(ISODD(T179),IF(T179&gt;0,1,-1),0),0))*IF(Y179="No",IF(ISODD(T179),0.5,-0.5),1),timelineStartRow - boxDistance * V179),IF( S179="S",INDEX($AC$4:$AC$503,MATCH(P179,$AB$4:$AB$503,0),1),INDEX($AC$4:$AC$503,MATCH(P179,$AB$4:$AB$503,0),1)&amp;"-"&amp;INDEX($AC$4:$AC$503,MATCH(Q179,$AB$4:$AB$503,0),1))),"")</f>
        <v/>
      </c>
      <c r="AF179" s="132" t="str">
        <f>IF(ISNUMBER(P179), IF(Dashboard!$H$6&lt;&gt;"Horizontal",IF(S179="S",INDEX($AD$4:$AD$503,MATCH(P179,$AB$4:$AB$503,0),1)+boxDistance*(T179+IF(Y179="No",IF(ISODD(T179),IF(T179&gt;0,1,-1),0),0))*IF(Y179="No",IF(ISODD(T179),0.5,-0.5),1),timelineStartColumn-boxDistance * IF(AND(ISNUMBER(V179),V179&gt;1),V179*0.85,1)   ),IF( S179="S",INDEX($AD$4:$AD$503,MATCH(P179,$AB$4:$AB$503,0),1),INDEX($AD$4:$AD$503,MATCH(P179,$AB$4:$AB$503,0),1)&amp;"-"&amp;INDEX($AD$4:$AD$503,MATCH(Q179,$AB$4:$AB$503,0),1))),"")</f>
        <v/>
      </c>
      <c r="AG179" s="133" t="str">
        <f t="shared" si="43"/>
        <v/>
      </c>
      <c r="AH179" s="134" t="str">
        <f t="shared" si="37"/>
        <v/>
      </c>
      <c r="AI179" s="135" t="str">
        <f t="shared" si="38"/>
        <v/>
      </c>
      <c r="AJ179" s="135" t="str">
        <f t="shared" si="44"/>
        <v/>
      </c>
      <c r="AK179" s="126" t="str">
        <f t="shared" si="45"/>
        <v/>
      </c>
      <c r="AL179" s="126" t="str">
        <f ca="1">IFERROR(IF(AK179="","", MATCH(AK179,OFFSET(Icons!$B$5,1,AM179-3,20,1),0)+5),"")</f>
        <v/>
      </c>
      <c r="AM179" s="126" t="str">
        <f t="shared" si="46"/>
        <v/>
      </c>
      <c r="AN179" s="90"/>
    </row>
    <row r="180" spans="5:40" ht="15" customHeight="1" x14ac:dyDescent="0.25">
      <c r="E180" s="126">
        <v>177</v>
      </c>
      <c r="F180" s="126"/>
      <c r="G180" s="127"/>
      <c r="H180" s="127"/>
      <c r="I180" s="126"/>
      <c r="K180" s="137" t="str">
        <f t="shared" si="39"/>
        <v/>
      </c>
      <c r="L180" s="127" t="str">
        <f t="shared" si="34"/>
        <v/>
      </c>
      <c r="N180" s="128" t="str">
        <f t="shared" si="40"/>
        <v/>
      </c>
      <c r="O180" s="126" t="str">
        <f t="array" ref="O180">IFERROR(SMALL(IF(($G$4:$G$253=P180),ROW($G$4:$G$253)-ROW($G$3),"" ),N180),"")</f>
        <v/>
      </c>
      <c r="P180" s="127" t="str">
        <f t="array" ref="P180">IFERROR(SMALL($G$4:$G$253,E180),"")</f>
        <v/>
      </c>
      <c r="Q180" s="127" t="str">
        <f t="shared" si="41"/>
        <v/>
      </c>
      <c r="R180" s="126" t="str">
        <f t="shared" si="42"/>
        <v/>
      </c>
      <c r="S180" s="126" t="str">
        <f t="shared" si="35"/>
        <v/>
      </c>
      <c r="T180" s="128" t="str">
        <f>IF(OR(S180="R",S180=""),"",COUNTIFS($P$4:P180,P180,$S$4:S180,"S")*U180)</f>
        <v/>
      </c>
      <c r="U180" s="128" t="str">
        <f>IF(ISNUMBER(N180),IF($C$11=TRUE,IF(OR(ISODD(COUNTIF($N$4:N180,1)),Y180="Yes"),1,-1),1),"")</f>
        <v/>
      </c>
      <c r="V180" s="128" t="str">
        <f ca="1">IFERROR(IF(AND(S180="R",W180&lt;&gt;""),1,IF(S180="R",MAX(OFFSET(V179,0,0,-1*(ROW(W180)-3-MATCH(MAX($W$4:W179),$W$4:W179,0)),1))+1,"")),"")</f>
        <v/>
      </c>
      <c r="W180" s="129" t="str">
        <f>IFERROR(IF(AND(S180="R", P180&gt;MAX($X$3:X179)),P180,""),"")</f>
        <v/>
      </c>
      <c r="X180" s="129" t="str">
        <f>IFERROR(IF(AND(W180="",Q180&gt;=MAX($X$3:X179)),IF(S180="R",Q180,IF(AND(W180="",P180&lt;=MAX($X$3:X179)),MAX($X$3:X179),"")),IF(W180&lt;&gt;"", Q180,"")),"")</f>
        <v/>
      </c>
      <c r="Y180" s="126" t="str">
        <f>IF(S180="S",IF(OR(P180&lt;=MAX($X$3:X179),P180&gt;=IF(MIN(W$53:$W181)&lt;1,99999999,MIN(W$53:$W181))),"Yes","No"),"")</f>
        <v/>
      </c>
      <c r="AA180" s="130" t="str">
        <f t="shared" si="36"/>
        <v/>
      </c>
      <c r="AB180" s="131" t="str">
        <f t="array" ref="AB180">IF(AA180&lt;=$AA$2,MIN(IF($L$4:$L$503&lt;=AB179,99999999999,$L$4:$L$503)),"")</f>
        <v/>
      </c>
      <c r="AC180" s="130" t="str">
        <f>IF(ISNUMBER(AA180),IF(Dashboard!$H$6&lt;&gt;"Horizontal",AC179+dateDistance,AC179),"")</f>
        <v/>
      </c>
      <c r="AD180" s="130" t="str">
        <f>IF(ISNUMBER(AA180),IF(Dashboard!$H$6="Horizontal",AD179+dateDistance,AD179),"")</f>
        <v/>
      </c>
      <c r="AE180" s="132" t="str">
        <f>IF(ISNUMBER(P180), IF(Dashboard!$H$6="Horizontal",IF(S180="S",INDEX($AC$4:$AC$503,MATCH(P180,$AB$4:$AB$503,0),1)+boxDistance*(T180+IF(Y180="No",IF(ISODD(T180),IF(T180&gt;0,1,-1),0),0))*IF(Y180="No",IF(ISODD(T180),0.5,-0.5),1),timelineStartRow - boxDistance * V180),IF( S180="S",INDEX($AC$4:$AC$503,MATCH(P180,$AB$4:$AB$503,0),1),INDEX($AC$4:$AC$503,MATCH(P180,$AB$4:$AB$503,0),1)&amp;"-"&amp;INDEX($AC$4:$AC$503,MATCH(Q180,$AB$4:$AB$503,0),1))),"")</f>
        <v/>
      </c>
      <c r="AF180" s="132" t="str">
        <f>IF(ISNUMBER(P180), IF(Dashboard!$H$6&lt;&gt;"Horizontal",IF(S180="S",INDEX($AD$4:$AD$503,MATCH(P180,$AB$4:$AB$503,0),1)+boxDistance*(T180+IF(Y180="No",IF(ISODD(T180),IF(T180&gt;0,1,-1),0),0))*IF(Y180="No",IF(ISODD(T180),0.5,-0.5),1),timelineStartColumn-boxDistance * IF(AND(ISNUMBER(V180),V180&gt;1),V180*0.85,1)   ),IF( S180="S",INDEX($AD$4:$AD$503,MATCH(P180,$AB$4:$AB$503,0),1),INDEX($AD$4:$AD$503,MATCH(P180,$AB$4:$AB$503,0),1)&amp;"-"&amp;INDEX($AD$4:$AD$503,MATCH(Q180,$AB$4:$AB$503,0),1))),"")</f>
        <v/>
      </c>
      <c r="AG180" s="133" t="str">
        <f t="shared" si="43"/>
        <v/>
      </c>
      <c r="AH180" s="134" t="str">
        <f t="shared" si="37"/>
        <v/>
      </c>
      <c r="AI180" s="135" t="str">
        <f t="shared" si="38"/>
        <v/>
      </c>
      <c r="AJ180" s="135" t="str">
        <f t="shared" si="44"/>
        <v/>
      </c>
      <c r="AK180" s="126" t="str">
        <f t="shared" si="45"/>
        <v/>
      </c>
      <c r="AL180" s="126" t="str">
        <f ca="1">IFERROR(IF(AK180="","", MATCH(AK180,OFFSET(Icons!$B$5,1,AM180-3,20,1),0)+5),"")</f>
        <v/>
      </c>
      <c r="AM180" s="126" t="str">
        <f t="shared" si="46"/>
        <v/>
      </c>
      <c r="AN180" s="90"/>
    </row>
    <row r="181" spans="5:40" ht="15" customHeight="1" x14ac:dyDescent="0.25">
      <c r="E181" s="126">
        <v>178</v>
      </c>
      <c r="F181" s="126"/>
      <c r="G181" s="127"/>
      <c r="H181" s="127"/>
      <c r="I181" s="126"/>
      <c r="K181" s="137" t="str">
        <f t="shared" si="39"/>
        <v/>
      </c>
      <c r="L181" s="127" t="str">
        <f t="shared" si="34"/>
        <v/>
      </c>
      <c r="N181" s="128" t="str">
        <f t="shared" si="40"/>
        <v/>
      </c>
      <c r="O181" s="126" t="str">
        <f t="array" ref="O181">IFERROR(SMALL(IF(($G$4:$G$253=P181),ROW($G$4:$G$253)-ROW($G$3),"" ),N181),"")</f>
        <v/>
      </c>
      <c r="P181" s="127" t="str">
        <f t="array" ref="P181">IFERROR(SMALL($G$4:$G$253,E181),"")</f>
        <v/>
      </c>
      <c r="Q181" s="127" t="str">
        <f t="shared" si="41"/>
        <v/>
      </c>
      <c r="R181" s="126" t="str">
        <f t="shared" si="42"/>
        <v/>
      </c>
      <c r="S181" s="126" t="str">
        <f t="shared" si="35"/>
        <v/>
      </c>
      <c r="T181" s="128" t="str">
        <f>IF(OR(S181="R",S181=""),"",COUNTIFS($P$4:P181,P181,$S$4:S181,"S")*U181)</f>
        <v/>
      </c>
      <c r="U181" s="128" t="str">
        <f>IF(ISNUMBER(N181),IF($C$11=TRUE,IF(OR(ISODD(COUNTIF($N$4:N181,1)),Y181="Yes"),1,-1),1),"")</f>
        <v/>
      </c>
      <c r="V181" s="128" t="str">
        <f ca="1">IFERROR(IF(AND(S181="R",W181&lt;&gt;""),1,IF(S181="R",MAX(OFFSET(V180,0,0,-1*(ROW(W181)-3-MATCH(MAX($W$4:W180),$W$4:W180,0)),1))+1,"")),"")</f>
        <v/>
      </c>
      <c r="W181" s="129" t="str">
        <f>IFERROR(IF(AND(S181="R", P181&gt;MAX($X$3:X180)),P181,""),"")</f>
        <v/>
      </c>
      <c r="X181" s="129" t="str">
        <f>IFERROR(IF(AND(W181="",Q181&gt;=MAX($X$3:X180)),IF(S181="R",Q181,IF(AND(W181="",P181&lt;=MAX($X$3:X180)),MAX($X$3:X180),"")),IF(W181&lt;&gt;"", Q181,"")),"")</f>
        <v/>
      </c>
      <c r="Y181" s="126" t="str">
        <f>IF(S181="S",IF(OR(P181&lt;=MAX($X$3:X180),P181&gt;=IF(MIN(W$53:$W182)&lt;1,99999999,MIN(W$53:$W182))),"Yes","No"),"")</f>
        <v/>
      </c>
      <c r="AA181" s="130" t="str">
        <f t="shared" si="36"/>
        <v/>
      </c>
      <c r="AB181" s="131" t="str">
        <f t="array" ref="AB181">IF(AA181&lt;=$AA$2,MIN(IF($L$4:$L$503&lt;=AB180,99999999999,$L$4:$L$503)),"")</f>
        <v/>
      </c>
      <c r="AC181" s="130" t="str">
        <f>IF(ISNUMBER(AA181),IF(Dashboard!$H$6&lt;&gt;"Horizontal",AC180+dateDistance,AC180),"")</f>
        <v/>
      </c>
      <c r="AD181" s="130" t="str">
        <f>IF(ISNUMBER(AA181),IF(Dashboard!$H$6="Horizontal",AD180+dateDistance,AD180),"")</f>
        <v/>
      </c>
      <c r="AE181" s="132" t="str">
        <f>IF(ISNUMBER(P181), IF(Dashboard!$H$6="Horizontal",IF(S181="S",INDEX($AC$4:$AC$503,MATCH(P181,$AB$4:$AB$503,0),1)+boxDistance*(T181+IF(Y181="No",IF(ISODD(T181),IF(T181&gt;0,1,-1),0),0))*IF(Y181="No",IF(ISODD(T181),0.5,-0.5),1),timelineStartRow - boxDistance * V181),IF( S181="S",INDEX($AC$4:$AC$503,MATCH(P181,$AB$4:$AB$503,0),1),INDEX($AC$4:$AC$503,MATCH(P181,$AB$4:$AB$503,0),1)&amp;"-"&amp;INDEX($AC$4:$AC$503,MATCH(Q181,$AB$4:$AB$503,0),1))),"")</f>
        <v/>
      </c>
      <c r="AF181" s="132" t="str">
        <f>IF(ISNUMBER(P181), IF(Dashboard!$H$6&lt;&gt;"Horizontal",IF(S181="S",INDEX($AD$4:$AD$503,MATCH(P181,$AB$4:$AB$503,0),1)+boxDistance*(T181+IF(Y181="No",IF(ISODD(T181),IF(T181&gt;0,1,-1),0),0))*IF(Y181="No",IF(ISODD(T181),0.5,-0.5),1),timelineStartColumn-boxDistance * IF(AND(ISNUMBER(V181),V181&gt;1),V181*0.85,1)   ),IF( S181="S",INDEX($AD$4:$AD$503,MATCH(P181,$AB$4:$AB$503,0),1),INDEX($AD$4:$AD$503,MATCH(P181,$AB$4:$AB$503,0),1)&amp;"-"&amp;INDEX($AD$4:$AD$503,MATCH(Q181,$AB$4:$AB$503,0),1))),"")</f>
        <v/>
      </c>
      <c r="AG181" s="133" t="str">
        <f t="shared" si="43"/>
        <v/>
      </c>
      <c r="AH181" s="134" t="str">
        <f t="shared" si="37"/>
        <v/>
      </c>
      <c r="AI181" s="135" t="str">
        <f t="shared" si="38"/>
        <v/>
      </c>
      <c r="AJ181" s="135" t="str">
        <f t="shared" si="44"/>
        <v/>
      </c>
      <c r="AK181" s="126" t="str">
        <f t="shared" si="45"/>
        <v/>
      </c>
      <c r="AL181" s="126" t="str">
        <f ca="1">IFERROR(IF(AK181="","", MATCH(AK181,OFFSET(Icons!$B$5,1,AM181-3,20,1),0)+5),"")</f>
        <v/>
      </c>
      <c r="AM181" s="126" t="str">
        <f t="shared" si="46"/>
        <v/>
      </c>
      <c r="AN181" s="90"/>
    </row>
    <row r="182" spans="5:40" ht="15" customHeight="1" x14ac:dyDescent="0.25">
      <c r="E182" s="126">
        <v>179</v>
      </c>
      <c r="F182" s="126"/>
      <c r="G182" s="127"/>
      <c r="H182" s="127"/>
      <c r="I182" s="126"/>
      <c r="K182" s="137" t="str">
        <f t="shared" si="39"/>
        <v/>
      </c>
      <c r="L182" s="127" t="str">
        <f t="shared" si="34"/>
        <v/>
      </c>
      <c r="N182" s="128" t="str">
        <f t="shared" si="40"/>
        <v/>
      </c>
      <c r="O182" s="126" t="str">
        <f t="array" ref="O182">IFERROR(SMALL(IF(($G$4:$G$253=P182),ROW($G$4:$G$253)-ROW($G$3),"" ),N182),"")</f>
        <v/>
      </c>
      <c r="P182" s="127" t="str">
        <f t="array" ref="P182">IFERROR(SMALL($G$4:$G$253,E182),"")</f>
        <v/>
      </c>
      <c r="Q182" s="127" t="str">
        <f t="shared" si="41"/>
        <v/>
      </c>
      <c r="R182" s="126" t="str">
        <f t="shared" si="42"/>
        <v/>
      </c>
      <c r="S182" s="126" t="str">
        <f t="shared" si="35"/>
        <v/>
      </c>
      <c r="T182" s="128" t="str">
        <f>IF(OR(S182="R",S182=""),"",COUNTIFS($P$4:P182,P182,$S$4:S182,"S")*U182)</f>
        <v/>
      </c>
      <c r="U182" s="128" t="str">
        <f>IF(ISNUMBER(N182),IF($C$11=TRUE,IF(OR(ISODD(COUNTIF($N$4:N182,1)),Y182="Yes"),1,-1),1),"")</f>
        <v/>
      </c>
      <c r="V182" s="128" t="str">
        <f ca="1">IFERROR(IF(AND(S182="R",W182&lt;&gt;""),1,IF(S182="R",MAX(OFFSET(V181,0,0,-1*(ROW(W182)-3-MATCH(MAX($W$4:W181),$W$4:W181,0)),1))+1,"")),"")</f>
        <v/>
      </c>
      <c r="W182" s="129" t="str">
        <f>IFERROR(IF(AND(S182="R", P182&gt;MAX($X$3:X181)),P182,""),"")</f>
        <v/>
      </c>
      <c r="X182" s="129" t="str">
        <f>IFERROR(IF(AND(W182="",Q182&gt;=MAX($X$3:X181)),IF(S182="R",Q182,IF(AND(W182="",P182&lt;=MAX($X$3:X181)),MAX($X$3:X181),"")),IF(W182&lt;&gt;"", Q182,"")),"")</f>
        <v/>
      </c>
      <c r="Y182" s="126" t="str">
        <f>IF(S182="S",IF(OR(P182&lt;=MAX($X$3:X181),P182&gt;=IF(MIN(W$53:$W183)&lt;1,99999999,MIN(W$53:$W183))),"Yes","No"),"")</f>
        <v/>
      </c>
      <c r="AA182" s="130" t="str">
        <f t="shared" si="36"/>
        <v/>
      </c>
      <c r="AB182" s="131" t="str">
        <f t="array" ref="AB182">IF(AA182&lt;=$AA$2,MIN(IF($L$4:$L$503&lt;=AB181,99999999999,$L$4:$L$503)),"")</f>
        <v/>
      </c>
      <c r="AC182" s="130" t="str">
        <f>IF(ISNUMBER(AA182),IF(Dashboard!$H$6&lt;&gt;"Horizontal",AC181+dateDistance,AC181),"")</f>
        <v/>
      </c>
      <c r="AD182" s="130" t="str">
        <f>IF(ISNUMBER(AA182),IF(Dashboard!$H$6="Horizontal",AD181+dateDistance,AD181),"")</f>
        <v/>
      </c>
      <c r="AE182" s="132" t="str">
        <f>IF(ISNUMBER(P182), IF(Dashboard!$H$6="Horizontal",IF(S182="S",INDEX($AC$4:$AC$503,MATCH(P182,$AB$4:$AB$503,0),1)+boxDistance*(T182+IF(Y182="No",IF(ISODD(T182),IF(T182&gt;0,1,-1),0),0))*IF(Y182="No",IF(ISODD(T182),0.5,-0.5),1),timelineStartRow - boxDistance * V182),IF( S182="S",INDEX($AC$4:$AC$503,MATCH(P182,$AB$4:$AB$503,0),1),INDEX($AC$4:$AC$503,MATCH(P182,$AB$4:$AB$503,0),1)&amp;"-"&amp;INDEX($AC$4:$AC$503,MATCH(Q182,$AB$4:$AB$503,0),1))),"")</f>
        <v/>
      </c>
      <c r="AF182" s="132" t="str">
        <f>IF(ISNUMBER(P182), IF(Dashboard!$H$6&lt;&gt;"Horizontal",IF(S182="S",INDEX($AD$4:$AD$503,MATCH(P182,$AB$4:$AB$503,0),1)+boxDistance*(T182+IF(Y182="No",IF(ISODD(T182),IF(T182&gt;0,1,-1),0),0))*IF(Y182="No",IF(ISODD(T182),0.5,-0.5),1),timelineStartColumn-boxDistance * IF(AND(ISNUMBER(V182),V182&gt;1),V182*0.85,1)   ),IF( S182="S",INDEX($AD$4:$AD$503,MATCH(P182,$AB$4:$AB$503,0),1),INDEX($AD$4:$AD$503,MATCH(P182,$AB$4:$AB$503,0),1)&amp;"-"&amp;INDEX($AD$4:$AD$503,MATCH(Q182,$AB$4:$AB$503,0),1))),"")</f>
        <v/>
      </c>
      <c r="AG182" s="133" t="str">
        <f t="shared" si="43"/>
        <v/>
      </c>
      <c r="AH182" s="134" t="str">
        <f t="shared" si="37"/>
        <v/>
      </c>
      <c r="AI182" s="135" t="str">
        <f t="shared" si="38"/>
        <v/>
      </c>
      <c r="AJ182" s="135" t="str">
        <f t="shared" si="44"/>
        <v/>
      </c>
      <c r="AK182" s="126" t="str">
        <f t="shared" si="45"/>
        <v/>
      </c>
      <c r="AL182" s="126" t="str">
        <f ca="1">IFERROR(IF(AK182="","", MATCH(AK182,OFFSET(Icons!$B$5,1,AM182-3,20,1),0)+5),"")</f>
        <v/>
      </c>
      <c r="AM182" s="126" t="str">
        <f t="shared" si="46"/>
        <v/>
      </c>
      <c r="AN182" s="90"/>
    </row>
    <row r="183" spans="5:40" ht="15" customHeight="1" x14ac:dyDescent="0.25">
      <c r="E183" s="126">
        <v>180</v>
      </c>
      <c r="F183" s="126"/>
      <c r="G183" s="127"/>
      <c r="H183" s="127"/>
      <c r="I183" s="126"/>
      <c r="K183" s="137" t="str">
        <f t="shared" si="39"/>
        <v/>
      </c>
      <c r="L183" s="127" t="str">
        <f t="shared" si="34"/>
        <v/>
      </c>
      <c r="N183" s="128" t="str">
        <f t="shared" si="40"/>
        <v/>
      </c>
      <c r="O183" s="126" t="str">
        <f t="array" ref="O183">IFERROR(SMALL(IF(($G$4:$G$253=P183),ROW($G$4:$G$253)-ROW($G$3),"" ),N183),"")</f>
        <v/>
      </c>
      <c r="P183" s="127" t="str">
        <f t="array" ref="P183">IFERROR(SMALL($G$4:$G$253,E183),"")</f>
        <v/>
      </c>
      <c r="Q183" s="127" t="str">
        <f t="shared" si="41"/>
        <v/>
      </c>
      <c r="R183" s="126" t="str">
        <f t="shared" si="42"/>
        <v/>
      </c>
      <c r="S183" s="126" t="str">
        <f t="shared" si="35"/>
        <v/>
      </c>
      <c r="T183" s="128" t="str">
        <f>IF(OR(S183="R",S183=""),"",COUNTIFS($P$4:P183,P183,$S$4:S183,"S")*U183)</f>
        <v/>
      </c>
      <c r="U183" s="128" t="str">
        <f>IF(ISNUMBER(N183),IF($C$11=TRUE,IF(OR(ISODD(COUNTIF($N$4:N183,1)),Y183="Yes"),1,-1),1),"")</f>
        <v/>
      </c>
      <c r="V183" s="128" t="str">
        <f ca="1">IFERROR(IF(AND(S183="R",W183&lt;&gt;""),1,IF(S183="R",MAX(OFFSET(V182,0,0,-1*(ROW(W183)-3-MATCH(MAX($W$4:W182),$W$4:W182,0)),1))+1,"")),"")</f>
        <v/>
      </c>
      <c r="W183" s="129" t="str">
        <f>IFERROR(IF(AND(S183="R", P183&gt;MAX($X$3:X182)),P183,""),"")</f>
        <v/>
      </c>
      <c r="X183" s="129" t="str">
        <f>IFERROR(IF(AND(W183="",Q183&gt;=MAX($X$3:X182)),IF(S183="R",Q183,IF(AND(W183="",P183&lt;=MAX($X$3:X182)),MAX($X$3:X182),"")),IF(W183&lt;&gt;"", Q183,"")),"")</f>
        <v/>
      </c>
      <c r="Y183" s="126" t="str">
        <f>IF(S183="S",IF(OR(P183&lt;=MAX($X$3:X182),P183&gt;=IF(MIN(W$53:$W184)&lt;1,99999999,MIN(W$53:$W184))),"Yes","No"),"")</f>
        <v/>
      </c>
      <c r="AA183" s="130" t="str">
        <f t="shared" si="36"/>
        <v/>
      </c>
      <c r="AB183" s="131" t="str">
        <f t="array" ref="AB183">IF(AA183&lt;=$AA$2,MIN(IF($L$4:$L$503&lt;=AB182,99999999999,$L$4:$L$503)),"")</f>
        <v/>
      </c>
      <c r="AC183" s="130" t="str">
        <f>IF(ISNUMBER(AA183),IF(Dashboard!$H$6&lt;&gt;"Horizontal",AC182+dateDistance,AC182),"")</f>
        <v/>
      </c>
      <c r="AD183" s="130" t="str">
        <f>IF(ISNUMBER(AA183),IF(Dashboard!$H$6="Horizontal",AD182+dateDistance,AD182),"")</f>
        <v/>
      </c>
      <c r="AE183" s="132" t="str">
        <f>IF(ISNUMBER(P183), IF(Dashboard!$H$6="Horizontal",IF(S183="S",INDEX($AC$4:$AC$503,MATCH(P183,$AB$4:$AB$503,0),1)+boxDistance*(T183+IF(Y183="No",IF(ISODD(T183),IF(T183&gt;0,1,-1),0),0))*IF(Y183="No",IF(ISODD(T183),0.5,-0.5),1),timelineStartRow - boxDistance * V183),IF( S183="S",INDEX($AC$4:$AC$503,MATCH(P183,$AB$4:$AB$503,0),1),INDEX($AC$4:$AC$503,MATCH(P183,$AB$4:$AB$503,0),1)&amp;"-"&amp;INDEX($AC$4:$AC$503,MATCH(Q183,$AB$4:$AB$503,0),1))),"")</f>
        <v/>
      </c>
      <c r="AF183" s="132" t="str">
        <f>IF(ISNUMBER(P183), IF(Dashboard!$H$6&lt;&gt;"Horizontal",IF(S183="S",INDEX($AD$4:$AD$503,MATCH(P183,$AB$4:$AB$503,0),1)+boxDistance*(T183+IF(Y183="No",IF(ISODD(T183),IF(T183&gt;0,1,-1),0),0))*IF(Y183="No",IF(ISODD(T183),0.5,-0.5),1),timelineStartColumn-boxDistance * IF(AND(ISNUMBER(V183),V183&gt;1),V183*0.85,1)   ),IF( S183="S",INDEX($AD$4:$AD$503,MATCH(P183,$AB$4:$AB$503,0),1),INDEX($AD$4:$AD$503,MATCH(P183,$AB$4:$AB$503,0),1)&amp;"-"&amp;INDEX($AD$4:$AD$503,MATCH(Q183,$AB$4:$AB$503,0),1))),"")</f>
        <v/>
      </c>
      <c r="AG183" s="133" t="str">
        <f t="shared" si="43"/>
        <v/>
      </c>
      <c r="AH183" s="134" t="str">
        <f t="shared" si="37"/>
        <v/>
      </c>
      <c r="AI183" s="135" t="str">
        <f t="shared" si="38"/>
        <v/>
      </c>
      <c r="AJ183" s="135" t="str">
        <f t="shared" si="44"/>
        <v/>
      </c>
      <c r="AK183" s="126" t="str">
        <f t="shared" si="45"/>
        <v/>
      </c>
      <c r="AL183" s="126" t="str">
        <f ca="1">IFERROR(IF(AK183="","", MATCH(AK183,OFFSET(Icons!$B$5,1,AM183-3,20,1),0)+5),"")</f>
        <v/>
      </c>
      <c r="AM183" s="126" t="str">
        <f t="shared" si="46"/>
        <v/>
      </c>
      <c r="AN183" s="90"/>
    </row>
    <row r="184" spans="5:40" ht="15" customHeight="1" x14ac:dyDescent="0.25">
      <c r="E184" s="126">
        <v>181</v>
      </c>
      <c r="F184" s="126"/>
      <c r="G184" s="127"/>
      <c r="H184" s="127"/>
      <c r="I184" s="126"/>
      <c r="K184" s="137" t="str">
        <f t="shared" si="39"/>
        <v/>
      </c>
      <c r="L184" s="127" t="str">
        <f t="shared" si="34"/>
        <v/>
      </c>
      <c r="N184" s="128" t="str">
        <f t="shared" si="40"/>
        <v/>
      </c>
      <c r="O184" s="126" t="str">
        <f t="array" ref="O184">IFERROR(SMALL(IF(($G$4:$G$253=P184),ROW($G$4:$G$253)-ROW($G$3),"" ),N184),"")</f>
        <v/>
      </c>
      <c r="P184" s="127" t="str">
        <f t="array" ref="P184">IFERROR(SMALL($G$4:$G$253,E184),"")</f>
        <v/>
      </c>
      <c r="Q184" s="127" t="str">
        <f t="shared" si="41"/>
        <v/>
      </c>
      <c r="R184" s="126" t="str">
        <f t="shared" si="42"/>
        <v/>
      </c>
      <c r="S184" s="126" t="str">
        <f t="shared" si="35"/>
        <v/>
      </c>
      <c r="T184" s="128" t="str">
        <f>IF(OR(S184="R",S184=""),"",COUNTIFS($P$4:P184,P184,$S$4:S184,"S")*U184)</f>
        <v/>
      </c>
      <c r="U184" s="128" t="str">
        <f>IF(ISNUMBER(N184),IF($C$11=TRUE,IF(OR(ISODD(COUNTIF($N$4:N184,1)),Y184="Yes"),1,-1),1),"")</f>
        <v/>
      </c>
      <c r="V184" s="128" t="str">
        <f ca="1">IFERROR(IF(AND(S184="R",W184&lt;&gt;""),1,IF(S184="R",MAX(OFFSET(V183,0,0,-1*(ROW(W184)-3-MATCH(MAX($W$4:W183),$W$4:W183,0)),1))+1,"")),"")</f>
        <v/>
      </c>
      <c r="W184" s="129" t="str">
        <f>IFERROR(IF(AND(S184="R", P184&gt;MAX($X$3:X183)),P184,""),"")</f>
        <v/>
      </c>
      <c r="X184" s="129" t="str">
        <f>IFERROR(IF(AND(W184="",Q184&gt;=MAX($X$3:X183)),IF(S184="R",Q184,IF(AND(W184="",P184&lt;=MAX($X$3:X183)),MAX($X$3:X183),"")),IF(W184&lt;&gt;"", Q184,"")),"")</f>
        <v/>
      </c>
      <c r="Y184" s="126" t="str">
        <f>IF(S184="S",IF(OR(P184&lt;=MAX($X$3:X183),P184&gt;=IF(MIN(W$53:$W185)&lt;1,99999999,MIN(W$53:$W185))),"Yes","No"),"")</f>
        <v/>
      </c>
      <c r="AA184" s="130" t="str">
        <f t="shared" si="36"/>
        <v/>
      </c>
      <c r="AB184" s="131" t="str">
        <f t="array" ref="AB184">IF(AA184&lt;=$AA$2,MIN(IF($L$4:$L$503&lt;=AB183,99999999999,$L$4:$L$503)),"")</f>
        <v/>
      </c>
      <c r="AC184" s="130" t="str">
        <f>IF(ISNUMBER(AA184),IF(Dashboard!$H$6&lt;&gt;"Horizontal",AC183+dateDistance,AC183),"")</f>
        <v/>
      </c>
      <c r="AD184" s="130" t="str">
        <f>IF(ISNUMBER(AA184),IF(Dashboard!$H$6="Horizontal",AD183+dateDistance,AD183),"")</f>
        <v/>
      </c>
      <c r="AE184" s="132" t="str">
        <f>IF(ISNUMBER(P184), IF(Dashboard!$H$6="Horizontal",IF(S184="S",INDEX($AC$4:$AC$503,MATCH(P184,$AB$4:$AB$503,0),1)+boxDistance*(T184+IF(Y184="No",IF(ISODD(T184),IF(T184&gt;0,1,-1),0),0))*IF(Y184="No",IF(ISODD(T184),0.5,-0.5),1),timelineStartRow - boxDistance * V184),IF( S184="S",INDEX($AC$4:$AC$503,MATCH(P184,$AB$4:$AB$503,0),1),INDEX($AC$4:$AC$503,MATCH(P184,$AB$4:$AB$503,0),1)&amp;"-"&amp;INDEX($AC$4:$AC$503,MATCH(Q184,$AB$4:$AB$503,0),1))),"")</f>
        <v/>
      </c>
      <c r="AF184" s="132" t="str">
        <f>IF(ISNUMBER(P184), IF(Dashboard!$H$6&lt;&gt;"Horizontal",IF(S184="S",INDEX($AD$4:$AD$503,MATCH(P184,$AB$4:$AB$503,0),1)+boxDistance*(T184+IF(Y184="No",IF(ISODD(T184),IF(T184&gt;0,1,-1),0),0))*IF(Y184="No",IF(ISODD(T184),0.5,-0.5),1),timelineStartColumn-boxDistance * IF(AND(ISNUMBER(V184),V184&gt;1),V184*0.85,1)   ),IF( S184="S",INDEX($AD$4:$AD$503,MATCH(P184,$AB$4:$AB$503,0),1),INDEX($AD$4:$AD$503,MATCH(P184,$AB$4:$AB$503,0),1)&amp;"-"&amp;INDEX($AD$4:$AD$503,MATCH(Q184,$AB$4:$AB$503,0),1))),"")</f>
        <v/>
      </c>
      <c r="AG184" s="133" t="str">
        <f t="shared" si="43"/>
        <v/>
      </c>
      <c r="AH184" s="134" t="str">
        <f t="shared" si="37"/>
        <v/>
      </c>
      <c r="AI184" s="135" t="str">
        <f t="shared" si="38"/>
        <v/>
      </c>
      <c r="AJ184" s="135" t="str">
        <f t="shared" si="44"/>
        <v/>
      </c>
      <c r="AK184" s="126" t="str">
        <f t="shared" si="45"/>
        <v/>
      </c>
      <c r="AL184" s="126" t="str">
        <f ca="1">IFERROR(IF(AK184="","", MATCH(AK184,OFFSET(Icons!$B$5,1,AM184-3,20,1),0)+5),"")</f>
        <v/>
      </c>
      <c r="AM184" s="126" t="str">
        <f t="shared" si="46"/>
        <v/>
      </c>
      <c r="AN184" s="90"/>
    </row>
    <row r="185" spans="5:40" ht="15" customHeight="1" x14ac:dyDescent="0.25">
      <c r="E185" s="126">
        <v>182</v>
      </c>
      <c r="F185" s="126"/>
      <c r="G185" s="127"/>
      <c r="H185" s="127"/>
      <c r="I185" s="126"/>
      <c r="K185" s="137" t="str">
        <f t="shared" si="39"/>
        <v/>
      </c>
      <c r="L185" s="127" t="str">
        <f t="shared" si="34"/>
        <v/>
      </c>
      <c r="N185" s="128" t="str">
        <f t="shared" si="40"/>
        <v/>
      </c>
      <c r="O185" s="126" t="str">
        <f t="array" ref="O185">IFERROR(SMALL(IF(($G$4:$G$253=P185),ROW($G$4:$G$253)-ROW($G$3),"" ),N185),"")</f>
        <v/>
      </c>
      <c r="P185" s="127" t="str">
        <f t="array" ref="P185">IFERROR(SMALL($G$4:$G$253,E185),"")</f>
        <v/>
      </c>
      <c r="Q185" s="127" t="str">
        <f t="shared" si="41"/>
        <v/>
      </c>
      <c r="R185" s="126" t="str">
        <f t="shared" si="42"/>
        <v/>
      </c>
      <c r="S185" s="126" t="str">
        <f t="shared" si="35"/>
        <v/>
      </c>
      <c r="T185" s="128" t="str">
        <f>IF(OR(S185="R",S185=""),"",COUNTIFS($P$4:P185,P185,$S$4:S185,"S")*U185)</f>
        <v/>
      </c>
      <c r="U185" s="128" t="str">
        <f>IF(ISNUMBER(N185),IF($C$11=TRUE,IF(OR(ISODD(COUNTIF($N$4:N185,1)),Y185="Yes"),1,-1),1),"")</f>
        <v/>
      </c>
      <c r="V185" s="128" t="str">
        <f ca="1">IFERROR(IF(AND(S185="R",W185&lt;&gt;""),1,IF(S185="R",MAX(OFFSET(V184,0,0,-1*(ROW(W185)-3-MATCH(MAX($W$4:W184),$W$4:W184,0)),1))+1,"")),"")</f>
        <v/>
      </c>
      <c r="W185" s="129" t="str">
        <f>IFERROR(IF(AND(S185="R", P185&gt;MAX($X$3:X184)),P185,""),"")</f>
        <v/>
      </c>
      <c r="X185" s="129" t="str">
        <f>IFERROR(IF(AND(W185="",Q185&gt;=MAX($X$3:X184)),IF(S185="R",Q185,IF(AND(W185="",P185&lt;=MAX($X$3:X184)),MAX($X$3:X184),"")),IF(W185&lt;&gt;"", Q185,"")),"")</f>
        <v/>
      </c>
      <c r="Y185" s="126" t="str">
        <f>IF(S185="S",IF(OR(P185&lt;=MAX($X$3:X184),P185&gt;=IF(MIN(W$53:$W186)&lt;1,99999999,MIN(W$53:$W186))),"Yes","No"),"")</f>
        <v/>
      </c>
      <c r="AA185" s="130" t="str">
        <f t="shared" si="36"/>
        <v/>
      </c>
      <c r="AB185" s="131" t="str">
        <f t="array" ref="AB185">IF(AA185&lt;=$AA$2,MIN(IF($L$4:$L$503&lt;=AB184,99999999999,$L$4:$L$503)),"")</f>
        <v/>
      </c>
      <c r="AC185" s="130" t="str">
        <f>IF(ISNUMBER(AA185),IF(Dashboard!$H$6&lt;&gt;"Horizontal",AC184+dateDistance,AC184),"")</f>
        <v/>
      </c>
      <c r="AD185" s="130" t="str">
        <f>IF(ISNUMBER(AA185),IF(Dashboard!$H$6="Horizontal",AD184+dateDistance,AD184),"")</f>
        <v/>
      </c>
      <c r="AE185" s="132" t="str">
        <f>IF(ISNUMBER(P185), IF(Dashboard!$H$6="Horizontal",IF(S185="S",INDEX($AC$4:$AC$503,MATCH(P185,$AB$4:$AB$503,0),1)+boxDistance*(T185+IF(Y185="No",IF(ISODD(T185),IF(T185&gt;0,1,-1),0),0))*IF(Y185="No",IF(ISODD(T185),0.5,-0.5),1),timelineStartRow - boxDistance * V185),IF( S185="S",INDEX($AC$4:$AC$503,MATCH(P185,$AB$4:$AB$503,0),1),INDEX($AC$4:$AC$503,MATCH(P185,$AB$4:$AB$503,0),1)&amp;"-"&amp;INDEX($AC$4:$AC$503,MATCH(Q185,$AB$4:$AB$503,0),1))),"")</f>
        <v/>
      </c>
      <c r="AF185" s="132" t="str">
        <f>IF(ISNUMBER(P185), IF(Dashboard!$H$6&lt;&gt;"Horizontal",IF(S185="S",INDEX($AD$4:$AD$503,MATCH(P185,$AB$4:$AB$503,0),1)+boxDistance*(T185+IF(Y185="No",IF(ISODD(T185),IF(T185&gt;0,1,-1),0),0))*IF(Y185="No",IF(ISODD(T185),0.5,-0.5),1),timelineStartColumn-boxDistance * IF(AND(ISNUMBER(V185),V185&gt;1),V185*0.85,1)   ),IF( S185="S",INDEX($AD$4:$AD$503,MATCH(P185,$AB$4:$AB$503,0),1),INDEX($AD$4:$AD$503,MATCH(P185,$AB$4:$AB$503,0),1)&amp;"-"&amp;INDEX($AD$4:$AD$503,MATCH(Q185,$AB$4:$AB$503,0),1))),"")</f>
        <v/>
      </c>
      <c r="AG185" s="133" t="str">
        <f t="shared" si="43"/>
        <v/>
      </c>
      <c r="AH185" s="134" t="str">
        <f t="shared" si="37"/>
        <v/>
      </c>
      <c r="AI185" s="135" t="str">
        <f t="shared" si="38"/>
        <v/>
      </c>
      <c r="AJ185" s="135" t="str">
        <f t="shared" si="44"/>
        <v/>
      </c>
      <c r="AK185" s="126" t="str">
        <f t="shared" si="45"/>
        <v/>
      </c>
      <c r="AL185" s="126" t="str">
        <f ca="1">IFERROR(IF(AK185="","", MATCH(AK185,OFFSET(Icons!$B$5,1,AM185-3,20,1),0)+5),"")</f>
        <v/>
      </c>
      <c r="AM185" s="126" t="str">
        <f t="shared" si="46"/>
        <v/>
      </c>
      <c r="AN185" s="90"/>
    </row>
    <row r="186" spans="5:40" ht="15" customHeight="1" x14ac:dyDescent="0.25">
      <c r="E186" s="126">
        <v>183</v>
      </c>
      <c r="F186" s="126"/>
      <c r="G186" s="127"/>
      <c r="H186" s="127"/>
      <c r="I186" s="126"/>
      <c r="K186" s="137" t="str">
        <f t="shared" si="39"/>
        <v/>
      </c>
      <c r="L186" s="127" t="str">
        <f t="shared" si="34"/>
        <v/>
      </c>
      <c r="N186" s="128" t="str">
        <f t="shared" si="40"/>
        <v/>
      </c>
      <c r="O186" s="126" t="str">
        <f t="array" ref="O186">IFERROR(SMALL(IF(($G$4:$G$253=P186),ROW($G$4:$G$253)-ROW($G$3),"" ),N186),"")</f>
        <v/>
      </c>
      <c r="P186" s="127" t="str">
        <f t="array" ref="P186">IFERROR(SMALL($G$4:$G$253,E186),"")</f>
        <v/>
      </c>
      <c r="Q186" s="127" t="str">
        <f t="shared" si="41"/>
        <v/>
      </c>
      <c r="R186" s="126" t="str">
        <f t="shared" si="42"/>
        <v/>
      </c>
      <c r="S186" s="126" t="str">
        <f t="shared" si="35"/>
        <v/>
      </c>
      <c r="T186" s="128" t="str">
        <f>IF(OR(S186="R",S186=""),"",COUNTIFS($P$4:P186,P186,$S$4:S186,"S")*U186)</f>
        <v/>
      </c>
      <c r="U186" s="128" t="str">
        <f>IF(ISNUMBER(N186),IF($C$11=TRUE,IF(OR(ISODD(COUNTIF($N$4:N186,1)),Y186="Yes"),1,-1),1),"")</f>
        <v/>
      </c>
      <c r="V186" s="128" t="str">
        <f ca="1">IFERROR(IF(AND(S186="R",W186&lt;&gt;""),1,IF(S186="R",MAX(OFFSET(V185,0,0,-1*(ROW(W186)-3-MATCH(MAX($W$4:W185),$W$4:W185,0)),1))+1,"")),"")</f>
        <v/>
      </c>
      <c r="W186" s="129" t="str">
        <f>IFERROR(IF(AND(S186="R", P186&gt;MAX($X$3:X185)),P186,""),"")</f>
        <v/>
      </c>
      <c r="X186" s="129" t="str">
        <f>IFERROR(IF(AND(W186="",Q186&gt;=MAX($X$3:X185)),IF(S186="R",Q186,IF(AND(W186="",P186&lt;=MAX($X$3:X185)),MAX($X$3:X185),"")),IF(W186&lt;&gt;"", Q186,"")),"")</f>
        <v/>
      </c>
      <c r="Y186" s="126" t="str">
        <f>IF(S186="S",IF(OR(P186&lt;=MAX($X$3:X185),P186&gt;=IF(MIN(W$53:$W187)&lt;1,99999999,MIN(W$53:$W187))),"Yes","No"),"")</f>
        <v/>
      </c>
      <c r="AA186" s="130" t="str">
        <f t="shared" si="36"/>
        <v/>
      </c>
      <c r="AB186" s="131" t="str">
        <f t="array" ref="AB186">IF(AA186&lt;=$AA$2,MIN(IF($L$4:$L$503&lt;=AB185,99999999999,$L$4:$L$503)),"")</f>
        <v/>
      </c>
      <c r="AC186" s="130" t="str">
        <f>IF(ISNUMBER(AA186),IF(Dashboard!$H$6&lt;&gt;"Horizontal",AC185+dateDistance,AC185),"")</f>
        <v/>
      </c>
      <c r="AD186" s="130" t="str">
        <f>IF(ISNUMBER(AA186),IF(Dashboard!$H$6="Horizontal",AD185+dateDistance,AD185),"")</f>
        <v/>
      </c>
      <c r="AE186" s="132" t="str">
        <f>IF(ISNUMBER(P186), IF(Dashboard!$H$6="Horizontal",IF(S186="S",INDEX($AC$4:$AC$503,MATCH(P186,$AB$4:$AB$503,0),1)+boxDistance*(T186+IF(Y186="No",IF(ISODD(T186),IF(T186&gt;0,1,-1),0),0))*IF(Y186="No",IF(ISODD(T186),0.5,-0.5),1),timelineStartRow - boxDistance * V186),IF( S186="S",INDEX($AC$4:$AC$503,MATCH(P186,$AB$4:$AB$503,0),1),INDEX($AC$4:$AC$503,MATCH(P186,$AB$4:$AB$503,0),1)&amp;"-"&amp;INDEX($AC$4:$AC$503,MATCH(Q186,$AB$4:$AB$503,0),1))),"")</f>
        <v/>
      </c>
      <c r="AF186" s="132" t="str">
        <f>IF(ISNUMBER(P186), IF(Dashboard!$H$6&lt;&gt;"Horizontal",IF(S186="S",INDEX($AD$4:$AD$503,MATCH(P186,$AB$4:$AB$503,0),1)+boxDistance*(T186+IF(Y186="No",IF(ISODD(T186),IF(T186&gt;0,1,-1),0),0))*IF(Y186="No",IF(ISODD(T186),0.5,-0.5),1),timelineStartColumn-boxDistance * IF(AND(ISNUMBER(V186),V186&gt;1),V186*0.85,1)   ),IF( S186="S",INDEX($AD$4:$AD$503,MATCH(P186,$AB$4:$AB$503,0),1),INDEX($AD$4:$AD$503,MATCH(P186,$AB$4:$AB$503,0),1)&amp;"-"&amp;INDEX($AD$4:$AD$503,MATCH(Q186,$AB$4:$AB$503,0),1))),"")</f>
        <v/>
      </c>
      <c r="AG186" s="133" t="str">
        <f t="shared" si="43"/>
        <v/>
      </c>
      <c r="AH186" s="134" t="str">
        <f t="shared" si="37"/>
        <v/>
      </c>
      <c r="AI186" s="135" t="str">
        <f t="shared" si="38"/>
        <v/>
      </c>
      <c r="AJ186" s="135" t="str">
        <f t="shared" si="44"/>
        <v/>
      </c>
      <c r="AK186" s="126" t="str">
        <f t="shared" si="45"/>
        <v/>
      </c>
      <c r="AL186" s="126" t="str">
        <f ca="1">IFERROR(IF(AK186="","", MATCH(AK186,OFFSET(Icons!$B$5,1,AM186-3,20,1),0)+5),"")</f>
        <v/>
      </c>
      <c r="AM186" s="126" t="str">
        <f t="shared" si="46"/>
        <v/>
      </c>
      <c r="AN186" s="90"/>
    </row>
    <row r="187" spans="5:40" ht="15" customHeight="1" x14ac:dyDescent="0.25">
      <c r="E187" s="126">
        <v>184</v>
      </c>
      <c r="F187" s="126"/>
      <c r="G187" s="127"/>
      <c r="H187" s="127"/>
      <c r="I187" s="126"/>
      <c r="K187" s="137" t="str">
        <f t="shared" si="39"/>
        <v/>
      </c>
      <c r="L187" s="127" t="str">
        <f t="shared" si="34"/>
        <v/>
      </c>
      <c r="N187" s="128" t="str">
        <f t="shared" si="40"/>
        <v/>
      </c>
      <c r="O187" s="126" t="str">
        <f t="array" ref="O187">IFERROR(SMALL(IF(($G$4:$G$253=P187),ROW($G$4:$G$253)-ROW($G$3),"" ),N187),"")</f>
        <v/>
      </c>
      <c r="P187" s="127" t="str">
        <f t="array" ref="P187">IFERROR(SMALL($G$4:$G$253,E187),"")</f>
        <v/>
      </c>
      <c r="Q187" s="127" t="str">
        <f t="shared" si="41"/>
        <v/>
      </c>
      <c r="R187" s="126" t="str">
        <f t="shared" si="42"/>
        <v/>
      </c>
      <c r="S187" s="126" t="str">
        <f t="shared" si="35"/>
        <v/>
      </c>
      <c r="T187" s="128" t="str">
        <f>IF(OR(S187="R",S187=""),"",COUNTIFS($P$4:P187,P187,$S$4:S187,"S")*U187)</f>
        <v/>
      </c>
      <c r="U187" s="128" t="str">
        <f>IF(ISNUMBER(N187),IF($C$11=TRUE,IF(OR(ISODD(COUNTIF($N$4:N187,1)),Y187="Yes"),1,-1),1),"")</f>
        <v/>
      </c>
      <c r="V187" s="128" t="str">
        <f ca="1">IFERROR(IF(AND(S187="R",W187&lt;&gt;""),1,IF(S187="R",MAX(OFFSET(V186,0,0,-1*(ROW(W187)-3-MATCH(MAX($W$4:W186),$W$4:W186,0)),1))+1,"")),"")</f>
        <v/>
      </c>
      <c r="W187" s="129" t="str">
        <f>IFERROR(IF(AND(S187="R", P187&gt;MAX($X$3:X186)),P187,""),"")</f>
        <v/>
      </c>
      <c r="X187" s="129" t="str">
        <f>IFERROR(IF(AND(W187="",Q187&gt;=MAX($X$3:X186)),IF(S187="R",Q187,IF(AND(W187="",P187&lt;=MAX($X$3:X186)),MAX($X$3:X186),"")),IF(W187&lt;&gt;"", Q187,"")),"")</f>
        <v/>
      </c>
      <c r="Y187" s="126" t="str">
        <f>IF(S187="S",IF(OR(P187&lt;=MAX($X$3:X186),P187&gt;=IF(MIN(W$53:$W188)&lt;1,99999999,MIN(W$53:$W188))),"Yes","No"),"")</f>
        <v/>
      </c>
      <c r="AA187" s="130" t="str">
        <f t="shared" si="36"/>
        <v/>
      </c>
      <c r="AB187" s="131" t="str">
        <f t="array" ref="AB187">IF(AA187&lt;=$AA$2,MIN(IF($L$4:$L$503&lt;=AB186,99999999999,$L$4:$L$503)),"")</f>
        <v/>
      </c>
      <c r="AC187" s="130" t="str">
        <f>IF(ISNUMBER(AA187),IF(Dashboard!$H$6&lt;&gt;"Horizontal",AC186+dateDistance,AC186),"")</f>
        <v/>
      </c>
      <c r="AD187" s="130" t="str">
        <f>IF(ISNUMBER(AA187),IF(Dashboard!$H$6="Horizontal",AD186+dateDistance,AD186),"")</f>
        <v/>
      </c>
      <c r="AE187" s="132" t="str">
        <f>IF(ISNUMBER(P187), IF(Dashboard!$H$6="Horizontal",IF(S187="S",INDEX($AC$4:$AC$503,MATCH(P187,$AB$4:$AB$503,0),1)+boxDistance*(T187+IF(Y187="No",IF(ISODD(T187),IF(T187&gt;0,1,-1),0),0))*IF(Y187="No",IF(ISODD(T187),0.5,-0.5),1),timelineStartRow - boxDistance * V187),IF( S187="S",INDEX($AC$4:$AC$503,MATCH(P187,$AB$4:$AB$503,0),1),INDEX($AC$4:$AC$503,MATCH(P187,$AB$4:$AB$503,0),1)&amp;"-"&amp;INDEX($AC$4:$AC$503,MATCH(Q187,$AB$4:$AB$503,0),1))),"")</f>
        <v/>
      </c>
      <c r="AF187" s="132" t="str">
        <f>IF(ISNUMBER(P187), IF(Dashboard!$H$6&lt;&gt;"Horizontal",IF(S187="S",INDEX($AD$4:$AD$503,MATCH(P187,$AB$4:$AB$503,0),1)+boxDistance*(T187+IF(Y187="No",IF(ISODD(T187),IF(T187&gt;0,1,-1),0),0))*IF(Y187="No",IF(ISODD(T187),0.5,-0.5),1),timelineStartColumn-boxDistance * IF(AND(ISNUMBER(V187),V187&gt;1),V187*0.85,1)   ),IF( S187="S",INDEX($AD$4:$AD$503,MATCH(P187,$AB$4:$AB$503,0),1),INDEX($AD$4:$AD$503,MATCH(P187,$AB$4:$AB$503,0),1)&amp;"-"&amp;INDEX($AD$4:$AD$503,MATCH(Q187,$AB$4:$AB$503,0),1))),"")</f>
        <v/>
      </c>
      <c r="AG187" s="133" t="str">
        <f t="shared" si="43"/>
        <v/>
      </c>
      <c r="AH187" s="134" t="str">
        <f t="shared" si="37"/>
        <v/>
      </c>
      <c r="AI187" s="135" t="str">
        <f t="shared" si="38"/>
        <v/>
      </c>
      <c r="AJ187" s="135" t="str">
        <f t="shared" si="44"/>
        <v/>
      </c>
      <c r="AK187" s="126" t="str">
        <f t="shared" si="45"/>
        <v/>
      </c>
      <c r="AL187" s="126" t="str">
        <f ca="1">IFERROR(IF(AK187="","", MATCH(AK187,OFFSET(Icons!$B$5,1,AM187-3,20,1),0)+5),"")</f>
        <v/>
      </c>
      <c r="AM187" s="126" t="str">
        <f t="shared" si="46"/>
        <v/>
      </c>
      <c r="AN187" s="90"/>
    </row>
    <row r="188" spans="5:40" ht="15" customHeight="1" x14ac:dyDescent="0.25">
      <c r="E188" s="126">
        <v>185</v>
      </c>
      <c r="F188" s="126"/>
      <c r="G188" s="127"/>
      <c r="H188" s="127"/>
      <c r="I188" s="126"/>
      <c r="K188" s="137" t="str">
        <f t="shared" si="39"/>
        <v/>
      </c>
      <c r="L188" s="127" t="str">
        <f t="shared" si="34"/>
        <v/>
      </c>
      <c r="N188" s="128" t="str">
        <f t="shared" si="40"/>
        <v/>
      </c>
      <c r="O188" s="126" t="str">
        <f t="array" ref="O188">IFERROR(SMALL(IF(($G$4:$G$253=P188),ROW($G$4:$G$253)-ROW($G$3),"" ),N188),"")</f>
        <v/>
      </c>
      <c r="P188" s="127" t="str">
        <f t="array" ref="P188">IFERROR(SMALL($G$4:$G$253,E188),"")</f>
        <v/>
      </c>
      <c r="Q188" s="127" t="str">
        <f t="shared" si="41"/>
        <v/>
      </c>
      <c r="R188" s="126" t="str">
        <f t="shared" si="42"/>
        <v/>
      </c>
      <c r="S188" s="126" t="str">
        <f t="shared" si="35"/>
        <v/>
      </c>
      <c r="T188" s="128" t="str">
        <f>IF(OR(S188="R",S188=""),"",COUNTIFS($P$4:P188,P188,$S$4:S188,"S")*U188)</f>
        <v/>
      </c>
      <c r="U188" s="128" t="str">
        <f>IF(ISNUMBER(N188),IF($C$11=TRUE,IF(OR(ISODD(COUNTIF($N$4:N188,1)),Y188="Yes"),1,-1),1),"")</f>
        <v/>
      </c>
      <c r="V188" s="128" t="str">
        <f ca="1">IFERROR(IF(AND(S188="R",W188&lt;&gt;""),1,IF(S188="R",MAX(OFFSET(V187,0,0,-1*(ROW(W188)-3-MATCH(MAX($W$4:W187),$W$4:W187,0)),1))+1,"")),"")</f>
        <v/>
      </c>
      <c r="W188" s="129" t="str">
        <f>IFERROR(IF(AND(S188="R", P188&gt;MAX($X$3:X187)),P188,""),"")</f>
        <v/>
      </c>
      <c r="X188" s="129" t="str">
        <f>IFERROR(IF(AND(W188="",Q188&gt;=MAX($X$3:X187)),IF(S188="R",Q188,IF(AND(W188="",P188&lt;=MAX($X$3:X187)),MAX($X$3:X187),"")),IF(W188&lt;&gt;"", Q188,"")),"")</f>
        <v/>
      </c>
      <c r="Y188" s="126" t="str">
        <f>IF(S188="S",IF(OR(P188&lt;=MAX($X$3:X187),P188&gt;=IF(MIN(W$53:$W189)&lt;1,99999999,MIN(W$53:$W189))),"Yes","No"),"")</f>
        <v/>
      </c>
      <c r="AA188" s="130" t="str">
        <f t="shared" si="36"/>
        <v/>
      </c>
      <c r="AB188" s="131" t="str">
        <f t="array" ref="AB188">IF(AA188&lt;=$AA$2,MIN(IF($L$4:$L$503&lt;=AB187,99999999999,$L$4:$L$503)),"")</f>
        <v/>
      </c>
      <c r="AC188" s="130" t="str">
        <f>IF(ISNUMBER(AA188),IF(Dashboard!$H$6&lt;&gt;"Horizontal",AC187+dateDistance,AC187),"")</f>
        <v/>
      </c>
      <c r="AD188" s="130" t="str">
        <f>IF(ISNUMBER(AA188),IF(Dashboard!$H$6="Horizontal",AD187+dateDistance,AD187),"")</f>
        <v/>
      </c>
      <c r="AE188" s="132" t="str">
        <f>IF(ISNUMBER(P188), IF(Dashboard!$H$6="Horizontal",IF(S188="S",INDEX($AC$4:$AC$503,MATCH(P188,$AB$4:$AB$503,0),1)+boxDistance*(T188+IF(Y188="No",IF(ISODD(T188),IF(T188&gt;0,1,-1),0),0))*IF(Y188="No",IF(ISODD(T188),0.5,-0.5),1),timelineStartRow - boxDistance * V188),IF( S188="S",INDEX($AC$4:$AC$503,MATCH(P188,$AB$4:$AB$503,0),1),INDEX($AC$4:$AC$503,MATCH(P188,$AB$4:$AB$503,0),1)&amp;"-"&amp;INDEX($AC$4:$AC$503,MATCH(Q188,$AB$4:$AB$503,0),1))),"")</f>
        <v/>
      </c>
      <c r="AF188" s="132" t="str">
        <f>IF(ISNUMBER(P188), IF(Dashboard!$H$6&lt;&gt;"Horizontal",IF(S188="S",INDEX($AD$4:$AD$503,MATCH(P188,$AB$4:$AB$503,0),1)+boxDistance*(T188+IF(Y188="No",IF(ISODD(T188),IF(T188&gt;0,1,-1),0),0))*IF(Y188="No",IF(ISODD(T188),0.5,-0.5),1),timelineStartColumn-boxDistance * IF(AND(ISNUMBER(V188),V188&gt;1),V188*0.85,1)   ),IF( S188="S",INDEX($AD$4:$AD$503,MATCH(P188,$AB$4:$AB$503,0),1),INDEX($AD$4:$AD$503,MATCH(P188,$AB$4:$AB$503,0),1)&amp;"-"&amp;INDEX($AD$4:$AD$503,MATCH(Q188,$AB$4:$AB$503,0),1))),"")</f>
        <v/>
      </c>
      <c r="AG188" s="133" t="str">
        <f t="shared" si="43"/>
        <v/>
      </c>
      <c r="AH188" s="134" t="str">
        <f t="shared" si="37"/>
        <v/>
      </c>
      <c r="AI188" s="135" t="str">
        <f t="shared" si="38"/>
        <v/>
      </c>
      <c r="AJ188" s="135" t="str">
        <f t="shared" si="44"/>
        <v/>
      </c>
      <c r="AK188" s="126" t="str">
        <f t="shared" si="45"/>
        <v/>
      </c>
      <c r="AL188" s="126" t="str">
        <f ca="1">IFERROR(IF(AK188="","", MATCH(AK188,OFFSET(Icons!$B$5,1,AM188-3,20,1),0)+5),"")</f>
        <v/>
      </c>
      <c r="AM188" s="126" t="str">
        <f t="shared" si="46"/>
        <v/>
      </c>
      <c r="AN188" s="90"/>
    </row>
    <row r="189" spans="5:40" ht="15" customHeight="1" x14ac:dyDescent="0.25">
      <c r="E189" s="126">
        <v>186</v>
      </c>
      <c r="F189" s="126"/>
      <c r="G189" s="127"/>
      <c r="H189" s="127"/>
      <c r="I189" s="126"/>
      <c r="K189" s="137" t="str">
        <f t="shared" si="39"/>
        <v/>
      </c>
      <c r="L189" s="127" t="str">
        <f t="shared" si="34"/>
        <v/>
      </c>
      <c r="N189" s="128" t="str">
        <f t="shared" si="40"/>
        <v/>
      </c>
      <c r="O189" s="126" t="str">
        <f t="array" ref="O189">IFERROR(SMALL(IF(($G$4:$G$253=P189),ROW($G$4:$G$253)-ROW($G$3),"" ),N189),"")</f>
        <v/>
      </c>
      <c r="P189" s="127" t="str">
        <f t="array" ref="P189">IFERROR(SMALL($G$4:$G$253,E189),"")</f>
        <v/>
      </c>
      <c r="Q189" s="127" t="str">
        <f t="shared" si="41"/>
        <v/>
      </c>
      <c r="R189" s="126" t="str">
        <f t="shared" si="42"/>
        <v/>
      </c>
      <c r="S189" s="126" t="str">
        <f t="shared" si="35"/>
        <v/>
      </c>
      <c r="T189" s="128" t="str">
        <f>IF(OR(S189="R",S189=""),"",COUNTIFS($P$4:P189,P189,$S$4:S189,"S")*U189)</f>
        <v/>
      </c>
      <c r="U189" s="128" t="str">
        <f>IF(ISNUMBER(N189),IF($C$11=TRUE,IF(OR(ISODD(COUNTIF($N$4:N189,1)),Y189="Yes"),1,-1),1),"")</f>
        <v/>
      </c>
      <c r="V189" s="128" t="str">
        <f ca="1">IFERROR(IF(AND(S189="R",W189&lt;&gt;""),1,IF(S189="R",MAX(OFFSET(V188,0,0,-1*(ROW(W189)-3-MATCH(MAX($W$4:W188),$W$4:W188,0)),1))+1,"")),"")</f>
        <v/>
      </c>
      <c r="W189" s="129" t="str">
        <f>IFERROR(IF(AND(S189="R", P189&gt;MAX($X$3:X188)),P189,""),"")</f>
        <v/>
      </c>
      <c r="X189" s="129" t="str">
        <f>IFERROR(IF(AND(W189="",Q189&gt;=MAX($X$3:X188)),IF(S189="R",Q189,IF(AND(W189="",P189&lt;=MAX($X$3:X188)),MAX($X$3:X188),"")),IF(W189&lt;&gt;"", Q189,"")),"")</f>
        <v/>
      </c>
      <c r="Y189" s="126" t="str">
        <f>IF(S189="S",IF(OR(P189&lt;=MAX($X$3:X188),P189&gt;=IF(MIN(W$53:$W190)&lt;1,99999999,MIN(W$53:$W190))),"Yes","No"),"")</f>
        <v/>
      </c>
      <c r="AA189" s="130" t="str">
        <f t="shared" si="36"/>
        <v/>
      </c>
      <c r="AB189" s="131" t="str">
        <f t="array" ref="AB189">IF(AA189&lt;=$AA$2,MIN(IF($L$4:$L$503&lt;=AB188,99999999999,$L$4:$L$503)),"")</f>
        <v/>
      </c>
      <c r="AC189" s="130" t="str">
        <f>IF(ISNUMBER(AA189),IF(Dashboard!$H$6&lt;&gt;"Horizontal",AC188+dateDistance,AC188),"")</f>
        <v/>
      </c>
      <c r="AD189" s="130" t="str">
        <f>IF(ISNUMBER(AA189),IF(Dashboard!$H$6="Horizontal",AD188+dateDistance,AD188),"")</f>
        <v/>
      </c>
      <c r="AE189" s="132" t="str">
        <f>IF(ISNUMBER(P189), IF(Dashboard!$H$6="Horizontal",IF(S189="S",INDEX($AC$4:$AC$503,MATCH(P189,$AB$4:$AB$503,0),1)+boxDistance*(T189+IF(Y189="No",IF(ISODD(T189),IF(T189&gt;0,1,-1),0),0))*IF(Y189="No",IF(ISODD(T189),0.5,-0.5),1),timelineStartRow - boxDistance * V189),IF( S189="S",INDEX($AC$4:$AC$503,MATCH(P189,$AB$4:$AB$503,0),1),INDEX($AC$4:$AC$503,MATCH(P189,$AB$4:$AB$503,0),1)&amp;"-"&amp;INDEX($AC$4:$AC$503,MATCH(Q189,$AB$4:$AB$503,0),1))),"")</f>
        <v/>
      </c>
      <c r="AF189" s="132" t="str">
        <f>IF(ISNUMBER(P189), IF(Dashboard!$H$6&lt;&gt;"Horizontal",IF(S189="S",INDEX($AD$4:$AD$503,MATCH(P189,$AB$4:$AB$503,0),1)+boxDistance*(T189+IF(Y189="No",IF(ISODD(T189),IF(T189&gt;0,1,-1),0),0))*IF(Y189="No",IF(ISODD(T189),0.5,-0.5),1),timelineStartColumn-boxDistance * IF(AND(ISNUMBER(V189),V189&gt;1),V189*0.85,1)   ),IF( S189="S",INDEX($AD$4:$AD$503,MATCH(P189,$AB$4:$AB$503,0),1),INDEX($AD$4:$AD$503,MATCH(P189,$AB$4:$AB$503,0),1)&amp;"-"&amp;INDEX($AD$4:$AD$503,MATCH(Q189,$AB$4:$AB$503,0),1))),"")</f>
        <v/>
      </c>
      <c r="AG189" s="133" t="str">
        <f t="shared" si="43"/>
        <v/>
      </c>
      <c r="AH189" s="134" t="str">
        <f t="shared" si="37"/>
        <v/>
      </c>
      <c r="AI189" s="135" t="str">
        <f t="shared" si="38"/>
        <v/>
      </c>
      <c r="AJ189" s="135" t="str">
        <f t="shared" si="44"/>
        <v/>
      </c>
      <c r="AK189" s="126" t="str">
        <f t="shared" si="45"/>
        <v/>
      </c>
      <c r="AL189" s="126" t="str">
        <f ca="1">IFERROR(IF(AK189="","", MATCH(AK189,OFFSET(Icons!$B$5,1,AM189-3,20,1),0)+5),"")</f>
        <v/>
      </c>
      <c r="AM189" s="126" t="str">
        <f t="shared" si="46"/>
        <v/>
      </c>
      <c r="AN189" s="90"/>
    </row>
    <row r="190" spans="5:40" ht="15" customHeight="1" x14ac:dyDescent="0.25">
      <c r="E190" s="126">
        <v>187</v>
      </c>
      <c r="F190" s="126"/>
      <c r="G190" s="127"/>
      <c r="H190" s="127"/>
      <c r="I190" s="126"/>
      <c r="K190" s="137" t="str">
        <f t="shared" si="39"/>
        <v/>
      </c>
      <c r="L190" s="127" t="str">
        <f t="shared" si="34"/>
        <v/>
      </c>
      <c r="N190" s="128" t="str">
        <f t="shared" si="40"/>
        <v/>
      </c>
      <c r="O190" s="126" t="str">
        <f t="array" ref="O190">IFERROR(SMALL(IF(($G$4:$G$253=P190),ROW($G$4:$G$253)-ROW($G$3),"" ),N190),"")</f>
        <v/>
      </c>
      <c r="P190" s="127" t="str">
        <f t="array" ref="P190">IFERROR(SMALL($G$4:$G$253,E190),"")</f>
        <v/>
      </c>
      <c r="Q190" s="127" t="str">
        <f t="shared" si="41"/>
        <v/>
      </c>
      <c r="R190" s="126" t="str">
        <f t="shared" si="42"/>
        <v/>
      </c>
      <c r="S190" s="126" t="str">
        <f t="shared" si="35"/>
        <v/>
      </c>
      <c r="T190" s="128" t="str">
        <f>IF(OR(S190="R",S190=""),"",COUNTIFS($P$4:P190,P190,$S$4:S190,"S")*U190)</f>
        <v/>
      </c>
      <c r="U190" s="128" t="str">
        <f>IF(ISNUMBER(N190),IF($C$11=TRUE,IF(OR(ISODD(COUNTIF($N$4:N190,1)),Y190="Yes"),1,-1),1),"")</f>
        <v/>
      </c>
      <c r="V190" s="128" t="str">
        <f ca="1">IFERROR(IF(AND(S190="R",W190&lt;&gt;""),1,IF(S190="R",MAX(OFFSET(V189,0,0,-1*(ROW(W190)-3-MATCH(MAX($W$4:W189),$W$4:W189,0)),1))+1,"")),"")</f>
        <v/>
      </c>
      <c r="W190" s="129" t="str">
        <f>IFERROR(IF(AND(S190="R", P190&gt;MAX($X$3:X189)),P190,""),"")</f>
        <v/>
      </c>
      <c r="X190" s="129" t="str">
        <f>IFERROR(IF(AND(W190="",Q190&gt;=MAX($X$3:X189)),IF(S190="R",Q190,IF(AND(W190="",P190&lt;=MAX($X$3:X189)),MAX($X$3:X189),"")),IF(W190&lt;&gt;"", Q190,"")),"")</f>
        <v/>
      </c>
      <c r="Y190" s="126" t="str">
        <f>IF(S190="S",IF(OR(P190&lt;=MAX($X$3:X189),P190&gt;=IF(MIN(W$53:$W191)&lt;1,99999999,MIN(W$53:$W191))),"Yes","No"),"")</f>
        <v/>
      </c>
      <c r="AA190" s="130" t="str">
        <f t="shared" si="36"/>
        <v/>
      </c>
      <c r="AB190" s="131" t="str">
        <f t="array" ref="AB190">IF(AA190&lt;=$AA$2,MIN(IF($L$4:$L$503&lt;=AB189,99999999999,$L$4:$L$503)),"")</f>
        <v/>
      </c>
      <c r="AC190" s="130" t="str">
        <f>IF(ISNUMBER(AA190),IF(Dashboard!$H$6&lt;&gt;"Horizontal",AC189+dateDistance,AC189),"")</f>
        <v/>
      </c>
      <c r="AD190" s="130" t="str">
        <f>IF(ISNUMBER(AA190),IF(Dashboard!$H$6="Horizontal",AD189+dateDistance,AD189),"")</f>
        <v/>
      </c>
      <c r="AE190" s="132" t="str">
        <f>IF(ISNUMBER(P190), IF(Dashboard!$H$6="Horizontal",IF(S190="S",INDEX($AC$4:$AC$503,MATCH(P190,$AB$4:$AB$503,0),1)+boxDistance*(T190+IF(Y190="No",IF(ISODD(T190),IF(T190&gt;0,1,-1),0),0))*IF(Y190="No",IF(ISODD(T190),0.5,-0.5),1),timelineStartRow - boxDistance * V190),IF( S190="S",INDEX($AC$4:$AC$503,MATCH(P190,$AB$4:$AB$503,0),1),INDEX($AC$4:$AC$503,MATCH(P190,$AB$4:$AB$503,0),1)&amp;"-"&amp;INDEX($AC$4:$AC$503,MATCH(Q190,$AB$4:$AB$503,0),1))),"")</f>
        <v/>
      </c>
      <c r="AF190" s="132" t="str">
        <f>IF(ISNUMBER(P190), IF(Dashboard!$H$6&lt;&gt;"Horizontal",IF(S190="S",INDEX($AD$4:$AD$503,MATCH(P190,$AB$4:$AB$503,0),1)+boxDistance*(T190+IF(Y190="No",IF(ISODD(T190),IF(T190&gt;0,1,-1),0),0))*IF(Y190="No",IF(ISODD(T190),0.5,-0.5),1),timelineStartColumn-boxDistance * IF(AND(ISNUMBER(V190),V190&gt;1),V190*0.85,1)   ),IF( S190="S",INDEX($AD$4:$AD$503,MATCH(P190,$AB$4:$AB$503,0),1),INDEX($AD$4:$AD$503,MATCH(P190,$AB$4:$AB$503,0),1)&amp;"-"&amp;INDEX($AD$4:$AD$503,MATCH(Q190,$AB$4:$AB$503,0),1))),"")</f>
        <v/>
      </c>
      <c r="AG190" s="133" t="str">
        <f t="shared" si="43"/>
        <v/>
      </c>
      <c r="AH190" s="134" t="str">
        <f t="shared" si="37"/>
        <v/>
      </c>
      <c r="AI190" s="135" t="str">
        <f t="shared" si="38"/>
        <v/>
      </c>
      <c r="AJ190" s="135" t="str">
        <f t="shared" si="44"/>
        <v/>
      </c>
      <c r="AK190" s="126" t="str">
        <f t="shared" si="45"/>
        <v/>
      </c>
      <c r="AL190" s="126" t="str">
        <f ca="1">IFERROR(IF(AK190="","", MATCH(AK190,OFFSET(Icons!$B$5,1,AM190-3,20,1),0)+5),"")</f>
        <v/>
      </c>
      <c r="AM190" s="126" t="str">
        <f t="shared" si="46"/>
        <v/>
      </c>
      <c r="AN190" s="90"/>
    </row>
    <row r="191" spans="5:40" ht="15" customHeight="1" x14ac:dyDescent="0.25">
      <c r="E191" s="126">
        <v>188</v>
      </c>
      <c r="F191" s="126"/>
      <c r="G191" s="127"/>
      <c r="H191" s="127"/>
      <c r="I191" s="126"/>
      <c r="K191" s="137" t="str">
        <f t="shared" si="39"/>
        <v/>
      </c>
      <c r="L191" s="127" t="str">
        <f t="shared" si="34"/>
        <v/>
      </c>
      <c r="N191" s="128" t="str">
        <f t="shared" si="40"/>
        <v/>
      </c>
      <c r="O191" s="126" t="str">
        <f t="array" ref="O191">IFERROR(SMALL(IF(($G$4:$G$253=P191),ROW($G$4:$G$253)-ROW($G$3),"" ),N191),"")</f>
        <v/>
      </c>
      <c r="P191" s="127" t="str">
        <f t="array" ref="P191">IFERROR(SMALL($G$4:$G$253,E191),"")</f>
        <v/>
      </c>
      <c r="Q191" s="127" t="str">
        <f t="shared" si="41"/>
        <v/>
      </c>
      <c r="R191" s="126" t="str">
        <f t="shared" si="42"/>
        <v/>
      </c>
      <c r="S191" s="126" t="str">
        <f t="shared" si="35"/>
        <v/>
      </c>
      <c r="T191" s="128" t="str">
        <f>IF(OR(S191="R",S191=""),"",COUNTIFS($P$4:P191,P191,$S$4:S191,"S")*U191)</f>
        <v/>
      </c>
      <c r="U191" s="128" t="str">
        <f>IF(ISNUMBER(N191),IF($C$11=TRUE,IF(OR(ISODD(COUNTIF($N$4:N191,1)),Y191="Yes"),1,-1),1),"")</f>
        <v/>
      </c>
      <c r="V191" s="128" t="str">
        <f ca="1">IFERROR(IF(AND(S191="R",W191&lt;&gt;""),1,IF(S191="R",MAX(OFFSET(V190,0,0,-1*(ROW(W191)-3-MATCH(MAX($W$4:W190),$W$4:W190,0)),1))+1,"")),"")</f>
        <v/>
      </c>
      <c r="W191" s="129" t="str">
        <f>IFERROR(IF(AND(S191="R", P191&gt;MAX($X$3:X190)),P191,""),"")</f>
        <v/>
      </c>
      <c r="X191" s="129" t="str">
        <f>IFERROR(IF(AND(W191="",Q191&gt;=MAX($X$3:X190)),IF(S191="R",Q191,IF(AND(W191="",P191&lt;=MAX($X$3:X190)),MAX($X$3:X190),"")),IF(W191&lt;&gt;"", Q191,"")),"")</f>
        <v/>
      </c>
      <c r="Y191" s="126" t="str">
        <f>IF(S191="S",IF(OR(P191&lt;=MAX($X$3:X190),P191&gt;=IF(MIN(W$53:$W192)&lt;1,99999999,MIN(W$53:$W192))),"Yes","No"),"")</f>
        <v/>
      </c>
      <c r="AA191" s="130" t="str">
        <f t="shared" si="36"/>
        <v/>
      </c>
      <c r="AB191" s="131" t="str">
        <f t="array" ref="AB191">IF(AA191&lt;=$AA$2,MIN(IF($L$4:$L$503&lt;=AB190,99999999999,$L$4:$L$503)),"")</f>
        <v/>
      </c>
      <c r="AC191" s="130" t="str">
        <f>IF(ISNUMBER(AA191),IF(Dashboard!$H$6&lt;&gt;"Horizontal",AC190+dateDistance,AC190),"")</f>
        <v/>
      </c>
      <c r="AD191" s="130" t="str">
        <f>IF(ISNUMBER(AA191),IF(Dashboard!$H$6="Horizontal",AD190+dateDistance,AD190),"")</f>
        <v/>
      </c>
      <c r="AE191" s="132" t="str">
        <f>IF(ISNUMBER(P191), IF(Dashboard!$H$6="Horizontal",IF(S191="S",INDEX($AC$4:$AC$503,MATCH(P191,$AB$4:$AB$503,0),1)+boxDistance*(T191+IF(Y191="No",IF(ISODD(T191),IF(T191&gt;0,1,-1),0),0))*IF(Y191="No",IF(ISODD(T191),0.5,-0.5),1),timelineStartRow - boxDistance * V191),IF( S191="S",INDEX($AC$4:$AC$503,MATCH(P191,$AB$4:$AB$503,0),1),INDEX($AC$4:$AC$503,MATCH(P191,$AB$4:$AB$503,0),1)&amp;"-"&amp;INDEX($AC$4:$AC$503,MATCH(Q191,$AB$4:$AB$503,0),1))),"")</f>
        <v/>
      </c>
      <c r="AF191" s="132" t="str">
        <f>IF(ISNUMBER(P191), IF(Dashboard!$H$6&lt;&gt;"Horizontal",IF(S191="S",INDEX($AD$4:$AD$503,MATCH(P191,$AB$4:$AB$503,0),1)+boxDistance*(T191+IF(Y191="No",IF(ISODD(T191),IF(T191&gt;0,1,-1),0),0))*IF(Y191="No",IF(ISODD(T191),0.5,-0.5),1),timelineStartColumn-boxDistance * IF(AND(ISNUMBER(V191),V191&gt;1),V191*0.85,1)   ),IF( S191="S",INDEX($AD$4:$AD$503,MATCH(P191,$AB$4:$AB$503,0),1),INDEX($AD$4:$AD$503,MATCH(P191,$AB$4:$AB$503,0),1)&amp;"-"&amp;INDEX($AD$4:$AD$503,MATCH(Q191,$AB$4:$AB$503,0),1))),"")</f>
        <v/>
      </c>
      <c r="AG191" s="133" t="str">
        <f t="shared" si="43"/>
        <v/>
      </c>
      <c r="AH191" s="134" t="str">
        <f t="shared" si="37"/>
        <v/>
      </c>
      <c r="AI191" s="135" t="str">
        <f t="shared" si="38"/>
        <v/>
      </c>
      <c r="AJ191" s="135" t="str">
        <f t="shared" si="44"/>
        <v/>
      </c>
      <c r="AK191" s="126" t="str">
        <f t="shared" si="45"/>
        <v/>
      </c>
      <c r="AL191" s="126" t="str">
        <f ca="1">IFERROR(IF(AK191="","", MATCH(AK191,OFFSET(Icons!$B$5,1,AM191-3,20,1),0)+5),"")</f>
        <v/>
      </c>
      <c r="AM191" s="126" t="str">
        <f t="shared" si="46"/>
        <v/>
      </c>
      <c r="AN191" s="90"/>
    </row>
    <row r="192" spans="5:40" ht="15" customHeight="1" x14ac:dyDescent="0.25">
      <c r="E192" s="126">
        <v>189</v>
      </c>
      <c r="F192" s="126"/>
      <c r="G192" s="127"/>
      <c r="H192" s="127"/>
      <c r="I192" s="126"/>
      <c r="K192" s="137" t="str">
        <f t="shared" si="39"/>
        <v/>
      </c>
      <c r="L192" s="127" t="str">
        <f t="shared" si="34"/>
        <v/>
      </c>
      <c r="N192" s="128" t="str">
        <f t="shared" si="40"/>
        <v/>
      </c>
      <c r="O192" s="126" t="str">
        <f t="array" ref="O192">IFERROR(SMALL(IF(($G$4:$G$253=P192),ROW($G$4:$G$253)-ROW($G$3),"" ),N192),"")</f>
        <v/>
      </c>
      <c r="P192" s="127" t="str">
        <f t="array" ref="P192">IFERROR(SMALL($G$4:$G$253,E192),"")</f>
        <v/>
      </c>
      <c r="Q192" s="127" t="str">
        <f t="shared" si="41"/>
        <v/>
      </c>
      <c r="R192" s="126" t="str">
        <f t="shared" si="42"/>
        <v/>
      </c>
      <c r="S192" s="126" t="str">
        <f t="shared" si="35"/>
        <v/>
      </c>
      <c r="T192" s="128" t="str">
        <f>IF(OR(S192="R",S192=""),"",COUNTIFS($P$4:P192,P192,$S$4:S192,"S")*U192)</f>
        <v/>
      </c>
      <c r="U192" s="128" t="str">
        <f>IF(ISNUMBER(N192),IF($C$11=TRUE,IF(OR(ISODD(COUNTIF($N$4:N192,1)),Y192="Yes"),1,-1),1),"")</f>
        <v/>
      </c>
      <c r="V192" s="128" t="str">
        <f ca="1">IFERROR(IF(AND(S192="R",W192&lt;&gt;""),1,IF(S192="R",MAX(OFFSET(V191,0,0,-1*(ROW(W192)-3-MATCH(MAX($W$4:W191),$W$4:W191,0)),1))+1,"")),"")</f>
        <v/>
      </c>
      <c r="W192" s="129" t="str">
        <f>IFERROR(IF(AND(S192="R", P192&gt;MAX($X$3:X191)),P192,""),"")</f>
        <v/>
      </c>
      <c r="X192" s="129" t="str">
        <f>IFERROR(IF(AND(W192="",Q192&gt;=MAX($X$3:X191)),IF(S192="R",Q192,IF(AND(W192="",P192&lt;=MAX($X$3:X191)),MAX($X$3:X191),"")),IF(W192&lt;&gt;"", Q192,"")),"")</f>
        <v/>
      </c>
      <c r="Y192" s="126" t="str">
        <f>IF(S192="S",IF(OR(P192&lt;=MAX($X$3:X191),P192&gt;=IF(MIN(W$53:$W193)&lt;1,99999999,MIN(W$53:$W193))),"Yes","No"),"")</f>
        <v/>
      </c>
      <c r="AA192" s="130" t="str">
        <f t="shared" si="36"/>
        <v/>
      </c>
      <c r="AB192" s="131" t="str">
        <f t="array" ref="AB192">IF(AA192&lt;=$AA$2,MIN(IF($L$4:$L$503&lt;=AB191,99999999999,$L$4:$L$503)),"")</f>
        <v/>
      </c>
      <c r="AC192" s="130" t="str">
        <f>IF(ISNUMBER(AA192),IF(Dashboard!$H$6&lt;&gt;"Horizontal",AC191+dateDistance,AC191),"")</f>
        <v/>
      </c>
      <c r="AD192" s="130" t="str">
        <f>IF(ISNUMBER(AA192),IF(Dashboard!$H$6="Horizontal",AD191+dateDistance,AD191),"")</f>
        <v/>
      </c>
      <c r="AE192" s="132" t="str">
        <f>IF(ISNUMBER(P192), IF(Dashboard!$H$6="Horizontal",IF(S192="S",INDEX($AC$4:$AC$503,MATCH(P192,$AB$4:$AB$503,0),1)+boxDistance*(T192+IF(Y192="No",IF(ISODD(T192),IF(T192&gt;0,1,-1),0),0))*IF(Y192="No",IF(ISODD(T192),0.5,-0.5),1),timelineStartRow - boxDistance * V192),IF( S192="S",INDEX($AC$4:$AC$503,MATCH(P192,$AB$4:$AB$503,0),1),INDEX($AC$4:$AC$503,MATCH(P192,$AB$4:$AB$503,0),1)&amp;"-"&amp;INDEX($AC$4:$AC$503,MATCH(Q192,$AB$4:$AB$503,0),1))),"")</f>
        <v/>
      </c>
      <c r="AF192" s="132" t="str">
        <f>IF(ISNUMBER(P192), IF(Dashboard!$H$6&lt;&gt;"Horizontal",IF(S192="S",INDEX($AD$4:$AD$503,MATCH(P192,$AB$4:$AB$503,0),1)+boxDistance*(T192+IF(Y192="No",IF(ISODD(T192),IF(T192&gt;0,1,-1),0),0))*IF(Y192="No",IF(ISODD(T192),0.5,-0.5),1),timelineStartColumn-boxDistance * IF(AND(ISNUMBER(V192),V192&gt;1),V192*0.85,1)   ),IF( S192="S",INDEX($AD$4:$AD$503,MATCH(P192,$AB$4:$AB$503,0),1),INDEX($AD$4:$AD$503,MATCH(P192,$AB$4:$AB$503,0),1)&amp;"-"&amp;INDEX($AD$4:$AD$503,MATCH(Q192,$AB$4:$AB$503,0),1))),"")</f>
        <v/>
      </c>
      <c r="AG192" s="133" t="str">
        <f t="shared" si="43"/>
        <v/>
      </c>
      <c r="AH192" s="134" t="str">
        <f t="shared" si="37"/>
        <v/>
      </c>
      <c r="AI192" s="135" t="str">
        <f t="shared" si="38"/>
        <v/>
      </c>
      <c r="AJ192" s="135" t="str">
        <f t="shared" si="44"/>
        <v/>
      </c>
      <c r="AK192" s="126" t="str">
        <f t="shared" si="45"/>
        <v/>
      </c>
      <c r="AL192" s="126" t="str">
        <f ca="1">IFERROR(IF(AK192="","", MATCH(AK192,OFFSET(Icons!$B$5,1,AM192-3,20,1),0)+5),"")</f>
        <v/>
      </c>
      <c r="AM192" s="126" t="str">
        <f t="shared" si="46"/>
        <v/>
      </c>
      <c r="AN192" s="90"/>
    </row>
    <row r="193" spans="5:40" ht="15" customHeight="1" x14ac:dyDescent="0.25">
      <c r="E193" s="126">
        <v>190</v>
      </c>
      <c r="F193" s="126"/>
      <c r="G193" s="127"/>
      <c r="H193" s="127"/>
      <c r="I193" s="126"/>
      <c r="K193" s="137" t="str">
        <f t="shared" si="39"/>
        <v/>
      </c>
      <c r="L193" s="127" t="str">
        <f t="shared" si="34"/>
        <v/>
      </c>
      <c r="N193" s="128" t="str">
        <f t="shared" si="40"/>
        <v/>
      </c>
      <c r="O193" s="126" t="str">
        <f t="array" ref="O193">IFERROR(SMALL(IF(($G$4:$G$253=P193),ROW($G$4:$G$253)-ROW($G$3),"" ),N193),"")</f>
        <v/>
      </c>
      <c r="P193" s="127" t="str">
        <f t="array" ref="P193">IFERROR(SMALL($G$4:$G$253,E193),"")</f>
        <v/>
      </c>
      <c r="Q193" s="127" t="str">
        <f t="shared" si="41"/>
        <v/>
      </c>
      <c r="R193" s="126" t="str">
        <f t="shared" si="42"/>
        <v/>
      </c>
      <c r="S193" s="126" t="str">
        <f t="shared" si="35"/>
        <v/>
      </c>
      <c r="T193" s="128" t="str">
        <f>IF(OR(S193="R",S193=""),"",COUNTIFS($P$4:P193,P193,$S$4:S193,"S")*U193)</f>
        <v/>
      </c>
      <c r="U193" s="128" t="str">
        <f>IF(ISNUMBER(N193),IF($C$11=TRUE,IF(OR(ISODD(COUNTIF($N$4:N193,1)),Y193="Yes"),1,-1),1),"")</f>
        <v/>
      </c>
      <c r="V193" s="128" t="str">
        <f ca="1">IFERROR(IF(AND(S193="R",W193&lt;&gt;""),1,IF(S193="R",MAX(OFFSET(V192,0,0,-1*(ROW(W193)-3-MATCH(MAX($W$4:W192),$W$4:W192,0)),1))+1,"")),"")</f>
        <v/>
      </c>
      <c r="W193" s="129" t="str">
        <f>IFERROR(IF(AND(S193="R", P193&gt;MAX($X$3:X192)),P193,""),"")</f>
        <v/>
      </c>
      <c r="X193" s="129" t="str">
        <f>IFERROR(IF(AND(W193="",Q193&gt;=MAX($X$3:X192)),IF(S193="R",Q193,IF(AND(W193="",P193&lt;=MAX($X$3:X192)),MAX($X$3:X192),"")),IF(W193&lt;&gt;"", Q193,"")),"")</f>
        <v/>
      </c>
      <c r="Y193" s="126" t="str">
        <f>IF(S193="S",IF(OR(P193&lt;=MAX($X$3:X192),P193&gt;=IF(MIN(W$53:$W194)&lt;1,99999999,MIN(W$53:$W194))),"Yes","No"),"")</f>
        <v/>
      </c>
      <c r="AA193" s="130" t="str">
        <f t="shared" si="36"/>
        <v/>
      </c>
      <c r="AB193" s="131" t="str">
        <f t="array" ref="AB193">IF(AA193&lt;=$AA$2,MIN(IF($L$4:$L$503&lt;=AB192,99999999999,$L$4:$L$503)),"")</f>
        <v/>
      </c>
      <c r="AC193" s="130" t="str">
        <f>IF(ISNUMBER(AA193),IF(Dashboard!$H$6&lt;&gt;"Horizontal",AC192+dateDistance,AC192),"")</f>
        <v/>
      </c>
      <c r="AD193" s="130" t="str">
        <f>IF(ISNUMBER(AA193),IF(Dashboard!$H$6="Horizontal",AD192+dateDistance,AD192),"")</f>
        <v/>
      </c>
      <c r="AE193" s="132" t="str">
        <f>IF(ISNUMBER(P193), IF(Dashboard!$H$6="Horizontal",IF(S193="S",INDEX($AC$4:$AC$503,MATCH(P193,$AB$4:$AB$503,0),1)+boxDistance*(T193+IF(Y193="No",IF(ISODD(T193),IF(T193&gt;0,1,-1),0),0))*IF(Y193="No",IF(ISODD(T193),0.5,-0.5),1),timelineStartRow - boxDistance * V193),IF( S193="S",INDEX($AC$4:$AC$503,MATCH(P193,$AB$4:$AB$503,0),1),INDEX($AC$4:$AC$503,MATCH(P193,$AB$4:$AB$503,0),1)&amp;"-"&amp;INDEX($AC$4:$AC$503,MATCH(Q193,$AB$4:$AB$503,0),1))),"")</f>
        <v/>
      </c>
      <c r="AF193" s="132" t="str">
        <f>IF(ISNUMBER(P193), IF(Dashboard!$H$6&lt;&gt;"Horizontal",IF(S193="S",INDEX($AD$4:$AD$503,MATCH(P193,$AB$4:$AB$503,0),1)+boxDistance*(T193+IF(Y193="No",IF(ISODD(T193),IF(T193&gt;0,1,-1),0),0))*IF(Y193="No",IF(ISODD(T193),0.5,-0.5),1),timelineStartColumn-boxDistance * IF(AND(ISNUMBER(V193),V193&gt;1),V193*0.85,1)   ),IF( S193="S",INDEX($AD$4:$AD$503,MATCH(P193,$AB$4:$AB$503,0),1),INDEX($AD$4:$AD$503,MATCH(P193,$AB$4:$AB$503,0),1)&amp;"-"&amp;INDEX($AD$4:$AD$503,MATCH(Q193,$AB$4:$AB$503,0),1))),"")</f>
        <v/>
      </c>
      <c r="AG193" s="133" t="str">
        <f t="shared" si="43"/>
        <v/>
      </c>
      <c r="AH193" s="134" t="str">
        <f t="shared" si="37"/>
        <v/>
      </c>
      <c r="AI193" s="135" t="str">
        <f t="shared" si="38"/>
        <v/>
      </c>
      <c r="AJ193" s="135" t="str">
        <f t="shared" si="44"/>
        <v/>
      </c>
      <c r="AK193" s="126" t="str">
        <f t="shared" si="45"/>
        <v/>
      </c>
      <c r="AL193" s="126" t="str">
        <f ca="1">IFERROR(IF(AK193="","", MATCH(AK193,OFFSET(Icons!$B$5,1,AM193-3,20,1),0)+5),"")</f>
        <v/>
      </c>
      <c r="AM193" s="126" t="str">
        <f t="shared" si="46"/>
        <v/>
      </c>
      <c r="AN193" s="90"/>
    </row>
    <row r="194" spans="5:40" ht="15" customHeight="1" x14ac:dyDescent="0.25">
      <c r="E194" s="126">
        <v>191</v>
      </c>
      <c r="F194" s="126"/>
      <c r="G194" s="127"/>
      <c r="H194" s="127"/>
      <c r="I194" s="126"/>
      <c r="K194" s="137" t="str">
        <f t="shared" si="39"/>
        <v/>
      </c>
      <c r="L194" s="127" t="str">
        <f t="shared" si="34"/>
        <v/>
      </c>
      <c r="N194" s="128" t="str">
        <f t="shared" si="40"/>
        <v/>
      </c>
      <c r="O194" s="126" t="str">
        <f t="array" ref="O194">IFERROR(SMALL(IF(($G$4:$G$253=P194),ROW($G$4:$G$253)-ROW($G$3),"" ),N194),"")</f>
        <v/>
      </c>
      <c r="P194" s="127" t="str">
        <f t="array" ref="P194">IFERROR(SMALL($G$4:$G$253,E194),"")</f>
        <v/>
      </c>
      <c r="Q194" s="127" t="str">
        <f t="shared" si="41"/>
        <v/>
      </c>
      <c r="R194" s="126" t="str">
        <f t="shared" si="42"/>
        <v/>
      </c>
      <c r="S194" s="126" t="str">
        <f t="shared" si="35"/>
        <v/>
      </c>
      <c r="T194" s="128" t="str">
        <f>IF(OR(S194="R",S194=""),"",COUNTIFS($P$4:P194,P194,$S$4:S194,"S")*U194)</f>
        <v/>
      </c>
      <c r="U194" s="128" t="str">
        <f>IF(ISNUMBER(N194),IF($C$11=TRUE,IF(OR(ISODD(COUNTIF($N$4:N194,1)),Y194="Yes"),1,-1),1),"")</f>
        <v/>
      </c>
      <c r="V194" s="128" t="str">
        <f ca="1">IFERROR(IF(AND(S194="R",W194&lt;&gt;""),1,IF(S194="R",MAX(OFFSET(V193,0,0,-1*(ROW(W194)-3-MATCH(MAX($W$4:W193),$W$4:W193,0)),1))+1,"")),"")</f>
        <v/>
      </c>
      <c r="W194" s="129" t="str">
        <f>IFERROR(IF(AND(S194="R", P194&gt;MAX($X$3:X193)),P194,""),"")</f>
        <v/>
      </c>
      <c r="X194" s="129" t="str">
        <f>IFERROR(IF(AND(W194="",Q194&gt;=MAX($X$3:X193)),IF(S194="R",Q194,IF(AND(W194="",P194&lt;=MAX($X$3:X193)),MAX($X$3:X193),"")),IF(W194&lt;&gt;"", Q194,"")),"")</f>
        <v/>
      </c>
      <c r="Y194" s="126" t="str">
        <f>IF(S194="S",IF(OR(P194&lt;=MAX($X$3:X193),P194&gt;=IF(MIN(W$53:$W195)&lt;1,99999999,MIN(W$53:$W195))),"Yes","No"),"")</f>
        <v/>
      </c>
      <c r="AA194" s="130" t="str">
        <f t="shared" si="36"/>
        <v/>
      </c>
      <c r="AB194" s="131" t="str">
        <f t="array" ref="AB194">IF(AA194&lt;=$AA$2,MIN(IF($L$4:$L$503&lt;=AB193,99999999999,$L$4:$L$503)),"")</f>
        <v/>
      </c>
      <c r="AC194" s="130" t="str">
        <f>IF(ISNUMBER(AA194),IF(Dashboard!$H$6&lt;&gt;"Horizontal",AC193+dateDistance,AC193),"")</f>
        <v/>
      </c>
      <c r="AD194" s="130" t="str">
        <f>IF(ISNUMBER(AA194),IF(Dashboard!$H$6="Horizontal",AD193+dateDistance,AD193),"")</f>
        <v/>
      </c>
      <c r="AE194" s="132" t="str">
        <f>IF(ISNUMBER(P194), IF(Dashboard!$H$6="Horizontal",IF(S194="S",INDEX($AC$4:$AC$503,MATCH(P194,$AB$4:$AB$503,0),1)+boxDistance*(T194+IF(Y194="No",IF(ISODD(T194),IF(T194&gt;0,1,-1),0),0))*IF(Y194="No",IF(ISODD(T194),0.5,-0.5),1),timelineStartRow - boxDistance * V194),IF( S194="S",INDEX($AC$4:$AC$503,MATCH(P194,$AB$4:$AB$503,0),1),INDEX($AC$4:$AC$503,MATCH(P194,$AB$4:$AB$503,0),1)&amp;"-"&amp;INDEX($AC$4:$AC$503,MATCH(Q194,$AB$4:$AB$503,0),1))),"")</f>
        <v/>
      </c>
      <c r="AF194" s="132" t="str">
        <f>IF(ISNUMBER(P194), IF(Dashboard!$H$6&lt;&gt;"Horizontal",IF(S194="S",INDEX($AD$4:$AD$503,MATCH(P194,$AB$4:$AB$503,0),1)+boxDistance*(T194+IF(Y194="No",IF(ISODD(T194),IF(T194&gt;0,1,-1),0),0))*IF(Y194="No",IF(ISODD(T194),0.5,-0.5),1),timelineStartColumn-boxDistance * IF(AND(ISNUMBER(V194),V194&gt;1),V194*0.85,1)   ),IF( S194="S",INDEX($AD$4:$AD$503,MATCH(P194,$AB$4:$AB$503,0),1),INDEX($AD$4:$AD$503,MATCH(P194,$AB$4:$AB$503,0),1)&amp;"-"&amp;INDEX($AD$4:$AD$503,MATCH(Q194,$AB$4:$AB$503,0),1))),"")</f>
        <v/>
      </c>
      <c r="AG194" s="133" t="str">
        <f t="shared" si="43"/>
        <v/>
      </c>
      <c r="AH194" s="134" t="str">
        <f t="shared" si="37"/>
        <v/>
      </c>
      <c r="AI194" s="135" t="str">
        <f t="shared" si="38"/>
        <v/>
      </c>
      <c r="AJ194" s="135" t="str">
        <f t="shared" si="44"/>
        <v/>
      </c>
      <c r="AK194" s="126" t="str">
        <f t="shared" si="45"/>
        <v/>
      </c>
      <c r="AL194" s="126" t="str">
        <f ca="1">IFERROR(IF(AK194="","", MATCH(AK194,OFFSET(Icons!$B$5,1,AM194-3,20,1),0)+5),"")</f>
        <v/>
      </c>
      <c r="AM194" s="126" t="str">
        <f t="shared" si="46"/>
        <v/>
      </c>
      <c r="AN194" s="90"/>
    </row>
    <row r="195" spans="5:40" ht="15" customHeight="1" x14ac:dyDescent="0.25">
      <c r="E195" s="126">
        <v>192</v>
      </c>
      <c r="F195" s="126"/>
      <c r="G195" s="127"/>
      <c r="H195" s="127"/>
      <c r="I195" s="126"/>
      <c r="K195" s="137" t="str">
        <f t="shared" si="39"/>
        <v/>
      </c>
      <c r="L195" s="127" t="str">
        <f t="shared" si="34"/>
        <v/>
      </c>
      <c r="N195" s="128" t="str">
        <f t="shared" si="40"/>
        <v/>
      </c>
      <c r="O195" s="126" t="str">
        <f t="array" ref="O195">IFERROR(SMALL(IF(($G$4:$G$253=P195),ROW($G$4:$G$253)-ROW($G$3),"" ),N195),"")</f>
        <v/>
      </c>
      <c r="P195" s="127" t="str">
        <f t="array" ref="P195">IFERROR(SMALL($G$4:$G$253,E195),"")</f>
        <v/>
      </c>
      <c r="Q195" s="127" t="str">
        <f t="shared" si="41"/>
        <v/>
      </c>
      <c r="R195" s="126" t="str">
        <f t="shared" si="42"/>
        <v/>
      </c>
      <c r="S195" s="126" t="str">
        <f t="shared" si="35"/>
        <v/>
      </c>
      <c r="T195" s="128" t="str">
        <f>IF(OR(S195="R",S195=""),"",COUNTIFS($P$4:P195,P195,$S$4:S195,"S")*U195)</f>
        <v/>
      </c>
      <c r="U195" s="128" t="str">
        <f>IF(ISNUMBER(N195),IF($C$11=TRUE,IF(OR(ISODD(COUNTIF($N$4:N195,1)),Y195="Yes"),1,-1),1),"")</f>
        <v/>
      </c>
      <c r="V195" s="128" t="str">
        <f ca="1">IFERROR(IF(AND(S195="R",W195&lt;&gt;""),1,IF(S195="R",MAX(OFFSET(V194,0,0,-1*(ROW(W195)-3-MATCH(MAX($W$4:W194),$W$4:W194,0)),1))+1,"")),"")</f>
        <v/>
      </c>
      <c r="W195" s="129" t="str">
        <f>IFERROR(IF(AND(S195="R", P195&gt;MAX($X$3:X194)),P195,""),"")</f>
        <v/>
      </c>
      <c r="X195" s="129" t="str">
        <f>IFERROR(IF(AND(W195="",Q195&gt;=MAX($X$3:X194)),IF(S195="R",Q195,IF(AND(W195="",P195&lt;=MAX($X$3:X194)),MAX($X$3:X194),"")),IF(W195&lt;&gt;"", Q195,"")),"")</f>
        <v/>
      </c>
      <c r="Y195" s="126" t="str">
        <f>IF(S195="S",IF(OR(P195&lt;=MAX($X$3:X194),P195&gt;=IF(MIN(W$53:$W196)&lt;1,99999999,MIN(W$53:$W196))),"Yes","No"),"")</f>
        <v/>
      </c>
      <c r="AA195" s="130" t="str">
        <f t="shared" si="36"/>
        <v/>
      </c>
      <c r="AB195" s="131" t="str">
        <f t="array" ref="AB195">IF(AA195&lt;=$AA$2,MIN(IF($L$4:$L$503&lt;=AB194,99999999999,$L$4:$L$503)),"")</f>
        <v/>
      </c>
      <c r="AC195" s="130" t="str">
        <f>IF(ISNUMBER(AA195),IF(Dashboard!$H$6&lt;&gt;"Horizontal",AC194+dateDistance,AC194),"")</f>
        <v/>
      </c>
      <c r="AD195" s="130" t="str">
        <f>IF(ISNUMBER(AA195),IF(Dashboard!$H$6="Horizontal",AD194+dateDistance,AD194),"")</f>
        <v/>
      </c>
      <c r="AE195" s="132" t="str">
        <f>IF(ISNUMBER(P195), IF(Dashboard!$H$6="Horizontal",IF(S195="S",INDEX($AC$4:$AC$503,MATCH(P195,$AB$4:$AB$503,0),1)+boxDistance*(T195+IF(Y195="No",IF(ISODD(T195),IF(T195&gt;0,1,-1),0),0))*IF(Y195="No",IF(ISODD(T195),0.5,-0.5),1),timelineStartRow - boxDistance * V195),IF( S195="S",INDEX($AC$4:$AC$503,MATCH(P195,$AB$4:$AB$503,0),1),INDEX($AC$4:$AC$503,MATCH(P195,$AB$4:$AB$503,0),1)&amp;"-"&amp;INDEX($AC$4:$AC$503,MATCH(Q195,$AB$4:$AB$503,0),1))),"")</f>
        <v/>
      </c>
      <c r="AF195" s="132" t="str">
        <f>IF(ISNUMBER(P195), IF(Dashboard!$H$6&lt;&gt;"Horizontal",IF(S195="S",INDEX($AD$4:$AD$503,MATCH(P195,$AB$4:$AB$503,0),1)+boxDistance*(T195+IF(Y195="No",IF(ISODD(T195),IF(T195&gt;0,1,-1),0),0))*IF(Y195="No",IF(ISODD(T195),0.5,-0.5),1),timelineStartColumn-boxDistance * IF(AND(ISNUMBER(V195),V195&gt;1),V195*0.85,1)   ),IF( S195="S",INDEX($AD$4:$AD$503,MATCH(P195,$AB$4:$AB$503,0),1),INDEX($AD$4:$AD$503,MATCH(P195,$AB$4:$AB$503,0),1)&amp;"-"&amp;INDEX($AD$4:$AD$503,MATCH(Q195,$AB$4:$AB$503,0),1))),"")</f>
        <v/>
      </c>
      <c r="AG195" s="133" t="str">
        <f t="shared" si="43"/>
        <v/>
      </c>
      <c r="AH195" s="134" t="str">
        <f t="shared" si="37"/>
        <v/>
      </c>
      <c r="AI195" s="135" t="str">
        <f t="shared" si="38"/>
        <v/>
      </c>
      <c r="AJ195" s="135" t="str">
        <f t="shared" si="44"/>
        <v/>
      </c>
      <c r="AK195" s="126" t="str">
        <f t="shared" si="45"/>
        <v/>
      </c>
      <c r="AL195" s="126" t="str">
        <f ca="1">IFERROR(IF(AK195="","", MATCH(AK195,OFFSET(Icons!$B$5,1,AM195-3,20,1),0)+5),"")</f>
        <v/>
      </c>
      <c r="AM195" s="126" t="str">
        <f t="shared" si="46"/>
        <v/>
      </c>
      <c r="AN195" s="90"/>
    </row>
    <row r="196" spans="5:40" ht="15" customHeight="1" x14ac:dyDescent="0.25">
      <c r="E196" s="126">
        <v>193</v>
      </c>
      <c r="F196" s="126"/>
      <c r="G196" s="127"/>
      <c r="H196" s="127"/>
      <c r="I196" s="126"/>
      <c r="K196" s="137" t="str">
        <f t="shared" si="39"/>
        <v/>
      </c>
      <c r="L196" s="127" t="str">
        <f t="shared" ref="L196:L259" si="47">IFERROR(IF(K196&lt;=$G$2,SMALL($G$4:$G$253,K196),SMALL($H$4:$H$253,K196-$G$2)),"")</f>
        <v/>
      </c>
      <c r="N196" s="128" t="str">
        <f t="shared" si="40"/>
        <v/>
      </c>
      <c r="O196" s="126" t="str">
        <f t="array" ref="O196">IFERROR(SMALL(IF(($G$4:$G$253=P196),ROW($G$4:$G$253)-ROW($G$3),"" ),N196),"")</f>
        <v/>
      </c>
      <c r="P196" s="127" t="str">
        <f t="array" ref="P196">IFERROR(SMALL($G$4:$G$253,E196),"")</f>
        <v/>
      </c>
      <c r="Q196" s="127" t="str">
        <f t="shared" si="41"/>
        <v/>
      </c>
      <c r="R196" s="126" t="str">
        <f t="shared" si="42"/>
        <v/>
      </c>
      <c r="S196" s="126" t="str">
        <f t="shared" ref="S196:S253" si="48">IF(AND(Q196&lt;&gt;"",Q196&gt;P196),"R",IF(P196="","","S"))</f>
        <v/>
      </c>
      <c r="T196" s="128" t="str">
        <f>IF(OR(S196="R",S196=""),"",COUNTIFS($P$4:P196,P196,$S$4:S196,"S")*U196)</f>
        <v/>
      </c>
      <c r="U196" s="128" t="str">
        <f>IF(ISNUMBER(N196),IF($C$11=TRUE,IF(OR(ISODD(COUNTIF($N$4:N196,1)),Y196="Yes"),1,-1),1),"")</f>
        <v/>
      </c>
      <c r="V196" s="128" t="str">
        <f ca="1">IFERROR(IF(AND(S196="R",W196&lt;&gt;""),1,IF(S196="R",MAX(OFFSET(V195,0,0,-1*(ROW(W196)-3-MATCH(MAX($W$4:W195),$W$4:W195,0)),1))+1,"")),"")</f>
        <v/>
      </c>
      <c r="W196" s="129" t="str">
        <f>IFERROR(IF(AND(S196="R", P196&gt;MAX($X$3:X195)),P196,""),"")</f>
        <v/>
      </c>
      <c r="X196" s="129" t="str">
        <f>IFERROR(IF(AND(W196="",Q196&gt;=MAX($X$3:X195)),IF(S196="R",Q196,IF(AND(W196="",P196&lt;=MAX($X$3:X195)),MAX($X$3:X195),"")),IF(W196&lt;&gt;"", Q196,"")),"")</f>
        <v/>
      </c>
      <c r="Y196" s="126" t="str">
        <f>IF(S196="S",IF(OR(P196&lt;=MAX($X$3:X195),P196&gt;=IF(MIN(W$53:$W197)&lt;1,99999999,MIN(W$53:$W197))),"Yes","No"),"")</f>
        <v/>
      </c>
      <c r="AA196" s="130" t="str">
        <f t="shared" ref="AA196:AA259" si="49">IFERROR(IF(AA195+1&gt;$AA$2,"",AA195+1),"")</f>
        <v/>
      </c>
      <c r="AB196" s="131" t="str">
        <f t="array" ref="AB196">IF(AA196&lt;=$AA$2,MIN(IF($L$4:$L$503&lt;=AB195,99999999999,$L$4:$L$503)),"")</f>
        <v/>
      </c>
      <c r="AC196" s="130" t="str">
        <f>IF(ISNUMBER(AA196),IF(Dashboard!$H$6&lt;&gt;"Horizontal",AC195+dateDistance,AC195),"")</f>
        <v/>
      </c>
      <c r="AD196" s="130" t="str">
        <f>IF(ISNUMBER(AA196),IF(Dashboard!$H$6="Horizontal",AD195+dateDistance,AD195),"")</f>
        <v/>
      </c>
      <c r="AE196" s="132" t="str">
        <f>IF(ISNUMBER(P196), IF(Dashboard!$H$6="Horizontal",IF(S196="S",INDEX($AC$4:$AC$503,MATCH(P196,$AB$4:$AB$503,0),1)+boxDistance*(T196+IF(Y196="No",IF(ISODD(T196),IF(T196&gt;0,1,-1),0),0))*IF(Y196="No",IF(ISODD(T196),0.5,-0.5),1),timelineStartRow - boxDistance * V196),IF( S196="S",INDEX($AC$4:$AC$503,MATCH(P196,$AB$4:$AB$503,0),1),INDEX($AC$4:$AC$503,MATCH(P196,$AB$4:$AB$503,0),1)&amp;"-"&amp;INDEX($AC$4:$AC$503,MATCH(Q196,$AB$4:$AB$503,0),1))),"")</f>
        <v/>
      </c>
      <c r="AF196" s="132" t="str">
        <f>IF(ISNUMBER(P196), IF(Dashboard!$H$6&lt;&gt;"Horizontal",IF(S196="S",INDEX($AD$4:$AD$503,MATCH(P196,$AB$4:$AB$503,0),1)+boxDistance*(T196+IF(Y196="No",IF(ISODD(T196),IF(T196&gt;0,1,-1),0),0))*IF(Y196="No",IF(ISODD(T196),0.5,-0.5),1),timelineStartColumn-boxDistance * IF(AND(ISNUMBER(V196),V196&gt;1),V196*0.85,1)   ),IF( S196="S",INDEX($AD$4:$AD$503,MATCH(P196,$AB$4:$AB$503,0),1),INDEX($AD$4:$AD$503,MATCH(P196,$AB$4:$AB$503,0),1)&amp;"-"&amp;INDEX($AD$4:$AD$503,MATCH(Q196,$AB$4:$AB$503,0),1))),"")</f>
        <v/>
      </c>
      <c r="AG196" s="133" t="str">
        <f t="shared" si="43"/>
        <v/>
      </c>
      <c r="AH196" s="134" t="str">
        <f t="shared" ref="AH196:AH253" si="50">IF(direction&lt;&gt;"Vertical",IF(S196="R","",IF(AF196&lt;&gt;AF197,"x",IF(AND(AF196&lt;&gt;AF198,Y196="No"),"x",""))),IF(S196="R","",IF(AE196&lt;&gt;AE197,"x",IF(AND(AE196&lt;&gt;AE198,Y196="No"),"x",""))))</f>
        <v/>
      </c>
      <c r="AI196" s="135" t="str">
        <f t="shared" ref="AI196:AI253" si="51">IF(OR(AH196="x",S196="R"),MATCH(P196,$AB$4:$AB$503,0),"")</f>
        <v/>
      </c>
      <c r="AJ196" s="135" t="str">
        <f t="shared" si="44"/>
        <v/>
      </c>
      <c r="AK196" s="126" t="str">
        <f t="shared" si="45"/>
        <v/>
      </c>
      <c r="AL196" s="126" t="str">
        <f ca="1">IFERROR(IF(AK196="","", MATCH(AK196,OFFSET(Icons!$B$5,1,AM196-3,20,1),0)+5),"")</f>
        <v/>
      </c>
      <c r="AM196" s="126" t="str">
        <f t="shared" si="46"/>
        <v/>
      </c>
      <c r="AN196" s="90"/>
    </row>
    <row r="197" spans="5:40" ht="15" customHeight="1" x14ac:dyDescent="0.25">
      <c r="E197" s="126">
        <v>194</v>
      </c>
      <c r="F197" s="126"/>
      <c r="G197" s="127"/>
      <c r="H197" s="127"/>
      <c r="I197" s="126"/>
      <c r="K197" s="137" t="str">
        <f t="shared" ref="K197:K260" si="52">IFERROR(IF(K196+1&gt;$G$2+$H$2,"",K196+1),"")</f>
        <v/>
      </c>
      <c r="L197" s="127" t="str">
        <f t="shared" si="47"/>
        <v/>
      </c>
      <c r="N197" s="128" t="str">
        <f t="shared" ref="N197:N253" si="53">IF(P197&lt;&gt;"",IF(P197=P196,N196+1,1),"")</f>
        <v/>
      </c>
      <c r="O197" s="126" t="str">
        <f t="array" ref="O197">IFERROR(SMALL(IF(($G$4:$G$253=P197),ROW($G$4:$G$253)-ROW($G$3),"" ),N197),"")</f>
        <v/>
      </c>
      <c r="P197" s="127" t="str">
        <f t="array" ref="P197">IFERROR(SMALL($G$4:$G$253,E197),"")</f>
        <v/>
      </c>
      <c r="Q197" s="127" t="str">
        <f t="shared" ref="Q197:Q253" si="54">IFERROR(INDEX(H$4:H$253,$O197,1),"")</f>
        <v/>
      </c>
      <c r="R197" s="126" t="str">
        <f t="shared" ref="R197:R253" si="55">IFERROR(INDEX(I$4:I$53,$O197,1),"")</f>
        <v/>
      </c>
      <c r="S197" s="126" t="str">
        <f t="shared" si="48"/>
        <v/>
      </c>
      <c r="T197" s="128" t="str">
        <f>IF(OR(S197="R",S197=""),"",COUNTIFS($P$4:P197,P197,$S$4:S197,"S")*U197)</f>
        <v/>
      </c>
      <c r="U197" s="128" t="str">
        <f>IF(ISNUMBER(N197),IF($C$11=TRUE,IF(OR(ISODD(COUNTIF($N$4:N197,1)),Y197="Yes"),1,-1),1),"")</f>
        <v/>
      </c>
      <c r="V197" s="128" t="str">
        <f ca="1">IFERROR(IF(AND(S197="R",W197&lt;&gt;""),1,IF(S197="R",MAX(OFFSET(V196,0,0,-1*(ROW(W197)-3-MATCH(MAX($W$4:W196),$W$4:W196,0)),1))+1,"")),"")</f>
        <v/>
      </c>
      <c r="W197" s="129" t="str">
        <f>IFERROR(IF(AND(S197="R", P197&gt;MAX($X$3:X196)),P197,""),"")</f>
        <v/>
      </c>
      <c r="X197" s="129" t="str">
        <f>IFERROR(IF(AND(W197="",Q197&gt;=MAX($X$3:X196)),IF(S197="R",Q197,IF(AND(W197="",P197&lt;=MAX($X$3:X196)),MAX($X$3:X196),"")),IF(W197&lt;&gt;"", Q197,"")),"")</f>
        <v/>
      </c>
      <c r="Y197" s="126" t="str">
        <f>IF(S197="S",IF(OR(P197&lt;=MAX($X$3:X196),P197&gt;=IF(MIN(W$53:$W198)&lt;1,99999999,MIN(W$53:$W198))),"Yes","No"),"")</f>
        <v/>
      </c>
      <c r="AA197" s="130" t="str">
        <f t="shared" si="49"/>
        <v/>
      </c>
      <c r="AB197" s="131" t="str">
        <f t="array" ref="AB197">IF(AA197&lt;=$AA$2,MIN(IF($L$4:$L$503&lt;=AB196,99999999999,$L$4:$L$503)),"")</f>
        <v/>
      </c>
      <c r="AC197" s="130" t="str">
        <f>IF(ISNUMBER(AA197),IF(Dashboard!$H$6&lt;&gt;"Horizontal",AC196+dateDistance,AC196),"")</f>
        <v/>
      </c>
      <c r="AD197" s="130" t="str">
        <f>IF(ISNUMBER(AA197),IF(Dashboard!$H$6="Horizontal",AD196+dateDistance,AD196),"")</f>
        <v/>
      </c>
      <c r="AE197" s="132" t="str">
        <f>IF(ISNUMBER(P197), IF(Dashboard!$H$6="Horizontal",IF(S197="S",INDEX($AC$4:$AC$503,MATCH(P197,$AB$4:$AB$503,0),1)+boxDistance*(T197+IF(Y197="No",IF(ISODD(T197),IF(T197&gt;0,1,-1),0),0))*IF(Y197="No",IF(ISODD(T197),0.5,-0.5),1),timelineStartRow - boxDistance * V197),IF( S197="S",INDEX($AC$4:$AC$503,MATCH(P197,$AB$4:$AB$503,0),1),INDEX($AC$4:$AC$503,MATCH(P197,$AB$4:$AB$503,0),1)&amp;"-"&amp;INDEX($AC$4:$AC$503,MATCH(Q197,$AB$4:$AB$503,0),1))),"")</f>
        <v/>
      </c>
      <c r="AF197" s="132" t="str">
        <f>IF(ISNUMBER(P197), IF(Dashboard!$H$6&lt;&gt;"Horizontal",IF(S197="S",INDEX($AD$4:$AD$503,MATCH(P197,$AB$4:$AB$503,0),1)+boxDistance*(T197+IF(Y197="No",IF(ISODD(T197),IF(T197&gt;0,1,-1),0),0))*IF(Y197="No",IF(ISODD(T197),0.5,-0.5),1),timelineStartColumn-boxDistance * IF(AND(ISNUMBER(V197),V197&gt;1),V197*0.85,1)   ),IF( S197="S",INDEX($AD$4:$AD$503,MATCH(P197,$AB$4:$AB$503,0),1),INDEX($AD$4:$AD$503,MATCH(P197,$AB$4:$AB$503,0),1)&amp;"-"&amp;INDEX($AD$4:$AD$503,MATCH(Q197,$AB$4:$AB$503,0),1))),"")</f>
        <v/>
      </c>
      <c r="AG197" s="133" t="str">
        <f t="shared" ref="AG197:AG253" si="56">IFERROR(INDEX($F$4:$F$253,O197,1),"")</f>
        <v/>
      </c>
      <c r="AH197" s="134" t="str">
        <f t="shared" si="50"/>
        <v/>
      </c>
      <c r="AI197" s="135" t="str">
        <f t="shared" si="51"/>
        <v/>
      </c>
      <c r="AJ197" s="135" t="str">
        <f t="shared" ref="AJ197:AJ253" si="57">IF(S197="R",MATCH(Q197,$AB$4:$AB$503,0),"")</f>
        <v/>
      </c>
      <c r="AK197" s="126" t="str">
        <f t="shared" ref="AK197:AK253" si="58">IFERROR(INDEX($I$4:$I$253,O197,1),"")</f>
        <v/>
      </c>
      <c r="AL197" s="126" t="str">
        <f ca="1">IFERROR(IF(AK197="","", MATCH(AK197,OFFSET(Icons!$B$5,1,AM197-3,20,1),0)+5),"")</f>
        <v/>
      </c>
      <c r="AM197" s="126" t="str">
        <f t="shared" ref="AM197:AM253" si="59">IFERROR(IF(AK197="","",INDEX($AW$4:$AW$103,MATCH(AK197,$AX$4:$AX$103,0),1)),"")</f>
        <v/>
      </c>
      <c r="AN197" s="90"/>
    </row>
    <row r="198" spans="5:40" ht="15" customHeight="1" x14ac:dyDescent="0.25">
      <c r="E198" s="126">
        <v>195</v>
      </c>
      <c r="F198" s="126"/>
      <c r="G198" s="127"/>
      <c r="H198" s="127"/>
      <c r="I198" s="126"/>
      <c r="K198" s="137" t="str">
        <f t="shared" si="52"/>
        <v/>
      </c>
      <c r="L198" s="127" t="str">
        <f t="shared" si="47"/>
        <v/>
      </c>
      <c r="N198" s="128" t="str">
        <f t="shared" si="53"/>
        <v/>
      </c>
      <c r="O198" s="126" t="str">
        <f t="array" ref="O198">IFERROR(SMALL(IF(($G$4:$G$253=P198),ROW($G$4:$G$253)-ROW($G$3),"" ),N198),"")</f>
        <v/>
      </c>
      <c r="P198" s="127" t="str">
        <f t="array" ref="P198">IFERROR(SMALL($G$4:$G$253,E198),"")</f>
        <v/>
      </c>
      <c r="Q198" s="127" t="str">
        <f t="shared" si="54"/>
        <v/>
      </c>
      <c r="R198" s="126" t="str">
        <f t="shared" si="55"/>
        <v/>
      </c>
      <c r="S198" s="126" t="str">
        <f t="shared" si="48"/>
        <v/>
      </c>
      <c r="T198" s="128" t="str">
        <f>IF(OR(S198="R",S198=""),"",COUNTIFS($P$4:P198,P198,$S$4:S198,"S")*U198)</f>
        <v/>
      </c>
      <c r="U198" s="128" t="str">
        <f>IF(ISNUMBER(N198),IF($C$11=TRUE,IF(OR(ISODD(COUNTIF($N$4:N198,1)),Y198="Yes"),1,-1),1),"")</f>
        <v/>
      </c>
      <c r="V198" s="128" t="str">
        <f ca="1">IFERROR(IF(AND(S198="R",W198&lt;&gt;""),1,IF(S198="R",MAX(OFFSET(V197,0,0,-1*(ROW(W198)-3-MATCH(MAX($W$4:W197),$W$4:W197,0)),1))+1,"")),"")</f>
        <v/>
      </c>
      <c r="W198" s="129" t="str">
        <f>IFERROR(IF(AND(S198="R", P198&gt;MAX($X$3:X197)),P198,""),"")</f>
        <v/>
      </c>
      <c r="X198" s="129" t="str">
        <f>IFERROR(IF(AND(W198="",Q198&gt;=MAX($X$3:X197)),IF(S198="R",Q198,IF(AND(W198="",P198&lt;=MAX($X$3:X197)),MAX($X$3:X197),"")),IF(W198&lt;&gt;"", Q198,"")),"")</f>
        <v/>
      </c>
      <c r="Y198" s="126" t="str">
        <f>IF(S198="S",IF(OR(P198&lt;=MAX($X$3:X197),P198&gt;=IF(MIN(W$53:$W199)&lt;1,99999999,MIN(W$53:$W199))),"Yes","No"),"")</f>
        <v/>
      </c>
      <c r="AA198" s="130" t="str">
        <f t="shared" si="49"/>
        <v/>
      </c>
      <c r="AB198" s="131" t="str">
        <f t="array" ref="AB198">IF(AA198&lt;=$AA$2,MIN(IF($L$4:$L$503&lt;=AB197,99999999999,$L$4:$L$503)),"")</f>
        <v/>
      </c>
      <c r="AC198" s="130" t="str">
        <f>IF(ISNUMBER(AA198),IF(Dashboard!$H$6&lt;&gt;"Horizontal",AC197+dateDistance,AC197),"")</f>
        <v/>
      </c>
      <c r="AD198" s="130" t="str">
        <f>IF(ISNUMBER(AA198),IF(Dashboard!$H$6="Horizontal",AD197+dateDistance,AD197),"")</f>
        <v/>
      </c>
      <c r="AE198" s="132" t="str">
        <f>IF(ISNUMBER(P198), IF(Dashboard!$H$6="Horizontal",IF(S198="S",INDEX($AC$4:$AC$503,MATCH(P198,$AB$4:$AB$503,0),1)+boxDistance*(T198+IF(Y198="No",IF(ISODD(T198),IF(T198&gt;0,1,-1),0),0))*IF(Y198="No",IF(ISODD(T198),0.5,-0.5),1),timelineStartRow - boxDistance * V198),IF( S198="S",INDEX($AC$4:$AC$503,MATCH(P198,$AB$4:$AB$503,0),1),INDEX($AC$4:$AC$503,MATCH(P198,$AB$4:$AB$503,0),1)&amp;"-"&amp;INDEX($AC$4:$AC$503,MATCH(Q198,$AB$4:$AB$503,0),1))),"")</f>
        <v/>
      </c>
      <c r="AF198" s="132" t="str">
        <f>IF(ISNUMBER(P198), IF(Dashboard!$H$6&lt;&gt;"Horizontal",IF(S198="S",INDEX($AD$4:$AD$503,MATCH(P198,$AB$4:$AB$503,0),1)+boxDistance*(T198+IF(Y198="No",IF(ISODD(T198),IF(T198&gt;0,1,-1),0),0))*IF(Y198="No",IF(ISODD(T198),0.5,-0.5),1),timelineStartColumn-boxDistance * IF(AND(ISNUMBER(V198),V198&gt;1),V198*0.85,1)   ),IF( S198="S",INDEX($AD$4:$AD$503,MATCH(P198,$AB$4:$AB$503,0),1),INDEX($AD$4:$AD$503,MATCH(P198,$AB$4:$AB$503,0),1)&amp;"-"&amp;INDEX($AD$4:$AD$503,MATCH(Q198,$AB$4:$AB$503,0),1))),"")</f>
        <v/>
      </c>
      <c r="AG198" s="133" t="str">
        <f t="shared" si="56"/>
        <v/>
      </c>
      <c r="AH198" s="134" t="str">
        <f t="shared" si="50"/>
        <v/>
      </c>
      <c r="AI198" s="135" t="str">
        <f t="shared" si="51"/>
        <v/>
      </c>
      <c r="AJ198" s="135" t="str">
        <f t="shared" si="57"/>
        <v/>
      </c>
      <c r="AK198" s="126" t="str">
        <f t="shared" si="58"/>
        <v/>
      </c>
      <c r="AL198" s="126" t="str">
        <f ca="1">IFERROR(IF(AK198="","", MATCH(AK198,OFFSET(Icons!$B$5,1,AM198-3,20,1),0)+5),"")</f>
        <v/>
      </c>
      <c r="AM198" s="126" t="str">
        <f t="shared" si="59"/>
        <v/>
      </c>
      <c r="AN198" s="90"/>
    </row>
    <row r="199" spans="5:40" ht="15" customHeight="1" x14ac:dyDescent="0.25">
      <c r="E199" s="126">
        <v>196</v>
      </c>
      <c r="F199" s="126"/>
      <c r="G199" s="127"/>
      <c r="H199" s="127"/>
      <c r="I199" s="126"/>
      <c r="K199" s="137" t="str">
        <f t="shared" si="52"/>
        <v/>
      </c>
      <c r="L199" s="127" t="str">
        <f t="shared" si="47"/>
        <v/>
      </c>
      <c r="N199" s="128" t="str">
        <f t="shared" si="53"/>
        <v/>
      </c>
      <c r="O199" s="126" t="str">
        <f t="array" ref="O199">IFERROR(SMALL(IF(($G$4:$G$253=P199),ROW($G$4:$G$253)-ROW($G$3),"" ),N199),"")</f>
        <v/>
      </c>
      <c r="P199" s="127" t="str">
        <f t="array" ref="P199">IFERROR(SMALL($G$4:$G$253,E199),"")</f>
        <v/>
      </c>
      <c r="Q199" s="127" t="str">
        <f t="shared" si="54"/>
        <v/>
      </c>
      <c r="R199" s="126" t="str">
        <f t="shared" si="55"/>
        <v/>
      </c>
      <c r="S199" s="126" t="str">
        <f t="shared" si="48"/>
        <v/>
      </c>
      <c r="T199" s="128" t="str">
        <f>IF(OR(S199="R",S199=""),"",COUNTIFS($P$4:P199,P199,$S$4:S199,"S")*U199)</f>
        <v/>
      </c>
      <c r="U199" s="128" t="str">
        <f>IF(ISNUMBER(N199),IF($C$11=TRUE,IF(OR(ISODD(COUNTIF($N$4:N199,1)),Y199="Yes"),1,-1),1),"")</f>
        <v/>
      </c>
      <c r="V199" s="128" t="str">
        <f ca="1">IFERROR(IF(AND(S199="R",W199&lt;&gt;""),1,IF(S199="R",MAX(OFFSET(V198,0,0,-1*(ROW(W199)-3-MATCH(MAX($W$4:W198),$W$4:W198,0)),1))+1,"")),"")</f>
        <v/>
      </c>
      <c r="W199" s="129" t="str">
        <f>IFERROR(IF(AND(S199="R", P199&gt;MAX($X$3:X198)),P199,""),"")</f>
        <v/>
      </c>
      <c r="X199" s="129" t="str">
        <f>IFERROR(IF(AND(W199="",Q199&gt;=MAX($X$3:X198)),IF(S199="R",Q199,IF(AND(W199="",P199&lt;=MAX($X$3:X198)),MAX($X$3:X198),"")),IF(W199&lt;&gt;"", Q199,"")),"")</f>
        <v/>
      </c>
      <c r="Y199" s="126" t="str">
        <f>IF(S199="S",IF(OR(P199&lt;=MAX($X$3:X198),P199&gt;=IF(MIN(W$53:$W200)&lt;1,99999999,MIN(W$53:$W200))),"Yes","No"),"")</f>
        <v/>
      </c>
      <c r="AA199" s="130" t="str">
        <f t="shared" si="49"/>
        <v/>
      </c>
      <c r="AB199" s="131" t="str">
        <f t="array" ref="AB199">IF(AA199&lt;=$AA$2,MIN(IF($L$4:$L$503&lt;=AB198,99999999999,$L$4:$L$503)),"")</f>
        <v/>
      </c>
      <c r="AC199" s="130" t="str">
        <f>IF(ISNUMBER(AA199),IF(Dashboard!$H$6&lt;&gt;"Horizontal",AC198+dateDistance,AC198),"")</f>
        <v/>
      </c>
      <c r="AD199" s="130" t="str">
        <f>IF(ISNUMBER(AA199),IF(Dashboard!$H$6="Horizontal",AD198+dateDistance,AD198),"")</f>
        <v/>
      </c>
      <c r="AE199" s="132" t="str">
        <f>IF(ISNUMBER(P199), IF(Dashboard!$H$6="Horizontal",IF(S199="S",INDEX($AC$4:$AC$503,MATCH(P199,$AB$4:$AB$503,0),1)+boxDistance*(T199+IF(Y199="No",IF(ISODD(T199),IF(T199&gt;0,1,-1),0),0))*IF(Y199="No",IF(ISODD(T199),0.5,-0.5),1),timelineStartRow - boxDistance * V199),IF( S199="S",INDEX($AC$4:$AC$503,MATCH(P199,$AB$4:$AB$503,0),1),INDEX($AC$4:$AC$503,MATCH(P199,$AB$4:$AB$503,0),1)&amp;"-"&amp;INDEX($AC$4:$AC$503,MATCH(Q199,$AB$4:$AB$503,0),1))),"")</f>
        <v/>
      </c>
      <c r="AF199" s="132" t="str">
        <f>IF(ISNUMBER(P199), IF(Dashboard!$H$6&lt;&gt;"Horizontal",IF(S199="S",INDEX($AD$4:$AD$503,MATCH(P199,$AB$4:$AB$503,0),1)+boxDistance*(T199+IF(Y199="No",IF(ISODD(T199),IF(T199&gt;0,1,-1),0),0))*IF(Y199="No",IF(ISODD(T199),0.5,-0.5),1),timelineStartColumn-boxDistance * IF(AND(ISNUMBER(V199),V199&gt;1),V199*0.85,1)   ),IF( S199="S",INDEX($AD$4:$AD$503,MATCH(P199,$AB$4:$AB$503,0),1),INDEX($AD$4:$AD$503,MATCH(P199,$AB$4:$AB$503,0),1)&amp;"-"&amp;INDEX($AD$4:$AD$503,MATCH(Q199,$AB$4:$AB$503,0),1))),"")</f>
        <v/>
      </c>
      <c r="AG199" s="133" t="str">
        <f t="shared" si="56"/>
        <v/>
      </c>
      <c r="AH199" s="134" t="str">
        <f t="shared" si="50"/>
        <v/>
      </c>
      <c r="AI199" s="135" t="str">
        <f t="shared" si="51"/>
        <v/>
      </c>
      <c r="AJ199" s="135" t="str">
        <f t="shared" si="57"/>
        <v/>
      </c>
      <c r="AK199" s="126" t="str">
        <f t="shared" si="58"/>
        <v/>
      </c>
      <c r="AL199" s="126" t="str">
        <f ca="1">IFERROR(IF(AK199="","", MATCH(AK199,OFFSET(Icons!$B$5,1,AM199-3,20,1),0)+5),"")</f>
        <v/>
      </c>
      <c r="AM199" s="126" t="str">
        <f t="shared" si="59"/>
        <v/>
      </c>
      <c r="AN199" s="90"/>
    </row>
    <row r="200" spans="5:40" ht="15" customHeight="1" x14ac:dyDescent="0.25">
      <c r="E200" s="126">
        <v>197</v>
      </c>
      <c r="F200" s="126"/>
      <c r="G200" s="127"/>
      <c r="H200" s="127"/>
      <c r="I200" s="126"/>
      <c r="K200" s="137" t="str">
        <f t="shared" si="52"/>
        <v/>
      </c>
      <c r="L200" s="127" t="str">
        <f t="shared" si="47"/>
        <v/>
      </c>
      <c r="N200" s="128" t="str">
        <f t="shared" si="53"/>
        <v/>
      </c>
      <c r="O200" s="126" t="str">
        <f t="array" ref="O200">IFERROR(SMALL(IF(($G$4:$G$253=P200),ROW($G$4:$G$253)-ROW($G$3),"" ),N200),"")</f>
        <v/>
      </c>
      <c r="P200" s="127" t="str">
        <f t="array" ref="P200">IFERROR(SMALL($G$4:$G$253,E200),"")</f>
        <v/>
      </c>
      <c r="Q200" s="127" t="str">
        <f t="shared" si="54"/>
        <v/>
      </c>
      <c r="R200" s="126" t="str">
        <f t="shared" si="55"/>
        <v/>
      </c>
      <c r="S200" s="126" t="str">
        <f t="shared" si="48"/>
        <v/>
      </c>
      <c r="T200" s="128" t="str">
        <f>IF(OR(S200="R",S200=""),"",COUNTIFS($P$4:P200,P200,$S$4:S200,"S")*U200)</f>
        <v/>
      </c>
      <c r="U200" s="128" t="str">
        <f>IF(ISNUMBER(N200),IF($C$11=TRUE,IF(OR(ISODD(COUNTIF($N$4:N200,1)),Y200="Yes"),1,-1),1),"")</f>
        <v/>
      </c>
      <c r="V200" s="128" t="str">
        <f ca="1">IFERROR(IF(AND(S200="R",W200&lt;&gt;""),1,IF(S200="R",MAX(OFFSET(V199,0,0,-1*(ROW(W200)-3-MATCH(MAX($W$4:W199),$W$4:W199,0)),1))+1,"")),"")</f>
        <v/>
      </c>
      <c r="W200" s="129" t="str">
        <f>IFERROR(IF(AND(S200="R", P200&gt;MAX($X$3:X199)),P200,""),"")</f>
        <v/>
      </c>
      <c r="X200" s="129" t="str">
        <f>IFERROR(IF(AND(W200="",Q200&gt;=MAX($X$3:X199)),IF(S200="R",Q200,IF(AND(W200="",P200&lt;=MAX($X$3:X199)),MAX($X$3:X199),"")),IF(W200&lt;&gt;"", Q200,"")),"")</f>
        <v/>
      </c>
      <c r="Y200" s="126" t="str">
        <f>IF(S200="S",IF(OR(P200&lt;=MAX($X$3:X199),P200&gt;=IF(MIN(W$53:$W201)&lt;1,99999999,MIN(W$53:$W201))),"Yes","No"),"")</f>
        <v/>
      </c>
      <c r="AA200" s="130" t="str">
        <f t="shared" si="49"/>
        <v/>
      </c>
      <c r="AB200" s="131" t="str">
        <f t="array" ref="AB200">IF(AA200&lt;=$AA$2,MIN(IF($L$4:$L$503&lt;=AB199,99999999999,$L$4:$L$503)),"")</f>
        <v/>
      </c>
      <c r="AC200" s="130" t="str">
        <f>IF(ISNUMBER(AA200),IF(Dashboard!$H$6&lt;&gt;"Horizontal",AC199+dateDistance,AC199),"")</f>
        <v/>
      </c>
      <c r="AD200" s="130" t="str">
        <f>IF(ISNUMBER(AA200),IF(Dashboard!$H$6="Horizontal",AD199+dateDistance,AD199),"")</f>
        <v/>
      </c>
      <c r="AE200" s="132" t="str">
        <f>IF(ISNUMBER(P200), IF(Dashboard!$H$6="Horizontal",IF(S200="S",INDEX($AC$4:$AC$503,MATCH(P200,$AB$4:$AB$503,0),1)+boxDistance*(T200+IF(Y200="No",IF(ISODD(T200),IF(T200&gt;0,1,-1),0),0))*IF(Y200="No",IF(ISODD(T200),0.5,-0.5),1),timelineStartRow - boxDistance * V200),IF( S200="S",INDEX($AC$4:$AC$503,MATCH(P200,$AB$4:$AB$503,0),1),INDEX($AC$4:$AC$503,MATCH(P200,$AB$4:$AB$503,0),1)&amp;"-"&amp;INDEX($AC$4:$AC$503,MATCH(Q200,$AB$4:$AB$503,0),1))),"")</f>
        <v/>
      </c>
      <c r="AF200" s="132" t="str">
        <f>IF(ISNUMBER(P200), IF(Dashboard!$H$6&lt;&gt;"Horizontal",IF(S200="S",INDEX($AD$4:$AD$503,MATCH(P200,$AB$4:$AB$503,0),1)+boxDistance*(T200+IF(Y200="No",IF(ISODD(T200),IF(T200&gt;0,1,-1),0),0))*IF(Y200="No",IF(ISODD(T200),0.5,-0.5),1),timelineStartColumn-boxDistance * IF(AND(ISNUMBER(V200),V200&gt;1),V200*0.85,1)   ),IF( S200="S",INDEX($AD$4:$AD$503,MATCH(P200,$AB$4:$AB$503,0),1),INDEX($AD$4:$AD$503,MATCH(P200,$AB$4:$AB$503,0),1)&amp;"-"&amp;INDEX($AD$4:$AD$503,MATCH(Q200,$AB$4:$AB$503,0),1))),"")</f>
        <v/>
      </c>
      <c r="AG200" s="133" t="str">
        <f t="shared" si="56"/>
        <v/>
      </c>
      <c r="AH200" s="134" t="str">
        <f t="shared" si="50"/>
        <v/>
      </c>
      <c r="AI200" s="135" t="str">
        <f t="shared" si="51"/>
        <v/>
      </c>
      <c r="AJ200" s="135" t="str">
        <f t="shared" si="57"/>
        <v/>
      </c>
      <c r="AK200" s="126" t="str">
        <f t="shared" si="58"/>
        <v/>
      </c>
      <c r="AL200" s="126" t="str">
        <f ca="1">IFERROR(IF(AK200="","", MATCH(AK200,OFFSET(Icons!$B$5,1,AM200-3,20,1),0)+5),"")</f>
        <v/>
      </c>
      <c r="AM200" s="126" t="str">
        <f t="shared" si="59"/>
        <v/>
      </c>
      <c r="AN200" s="90"/>
    </row>
    <row r="201" spans="5:40" ht="15" customHeight="1" x14ac:dyDescent="0.25">
      <c r="E201" s="126">
        <v>198</v>
      </c>
      <c r="F201" s="126"/>
      <c r="G201" s="127"/>
      <c r="H201" s="127"/>
      <c r="I201" s="126"/>
      <c r="K201" s="137" t="str">
        <f t="shared" si="52"/>
        <v/>
      </c>
      <c r="L201" s="127" t="str">
        <f t="shared" si="47"/>
        <v/>
      </c>
      <c r="N201" s="128" t="str">
        <f t="shared" si="53"/>
        <v/>
      </c>
      <c r="O201" s="126" t="str">
        <f t="array" ref="O201">IFERROR(SMALL(IF(($G$4:$G$253=P201),ROW($G$4:$G$253)-ROW($G$3),"" ),N201),"")</f>
        <v/>
      </c>
      <c r="P201" s="127" t="str">
        <f t="array" ref="P201">IFERROR(SMALL($G$4:$G$253,E201),"")</f>
        <v/>
      </c>
      <c r="Q201" s="127" t="str">
        <f t="shared" si="54"/>
        <v/>
      </c>
      <c r="R201" s="126" t="str">
        <f t="shared" si="55"/>
        <v/>
      </c>
      <c r="S201" s="126" t="str">
        <f t="shared" si="48"/>
        <v/>
      </c>
      <c r="T201" s="128" t="str">
        <f>IF(OR(S201="R",S201=""),"",COUNTIFS($P$4:P201,P201,$S$4:S201,"S")*U201)</f>
        <v/>
      </c>
      <c r="U201" s="128" t="str">
        <f>IF(ISNUMBER(N201),IF($C$11=TRUE,IF(OR(ISODD(COUNTIF($N$4:N201,1)),Y201="Yes"),1,-1),1),"")</f>
        <v/>
      </c>
      <c r="V201" s="128" t="str">
        <f ca="1">IFERROR(IF(AND(S201="R",W201&lt;&gt;""),1,IF(S201="R",MAX(OFFSET(V200,0,0,-1*(ROW(W201)-3-MATCH(MAX($W$4:W200),$W$4:W200,0)),1))+1,"")),"")</f>
        <v/>
      </c>
      <c r="W201" s="129" t="str">
        <f>IFERROR(IF(AND(S201="R", P201&gt;MAX($X$3:X200)),P201,""),"")</f>
        <v/>
      </c>
      <c r="X201" s="129" t="str">
        <f>IFERROR(IF(AND(W201="",Q201&gt;=MAX($X$3:X200)),IF(S201="R",Q201,IF(AND(W201="",P201&lt;=MAX($X$3:X200)),MAX($X$3:X200),"")),IF(W201&lt;&gt;"", Q201,"")),"")</f>
        <v/>
      </c>
      <c r="Y201" s="126" t="str">
        <f>IF(S201="S",IF(OR(P201&lt;=MAX($X$3:X200),P201&gt;=IF(MIN(W$53:$W202)&lt;1,99999999,MIN(W$53:$W202))),"Yes","No"),"")</f>
        <v/>
      </c>
      <c r="AA201" s="130" t="str">
        <f t="shared" si="49"/>
        <v/>
      </c>
      <c r="AB201" s="131" t="str">
        <f t="array" ref="AB201">IF(AA201&lt;=$AA$2,MIN(IF($L$4:$L$503&lt;=AB200,99999999999,$L$4:$L$503)),"")</f>
        <v/>
      </c>
      <c r="AC201" s="130" t="str">
        <f>IF(ISNUMBER(AA201),IF(Dashboard!$H$6&lt;&gt;"Horizontal",AC200+dateDistance,AC200),"")</f>
        <v/>
      </c>
      <c r="AD201" s="130" t="str">
        <f>IF(ISNUMBER(AA201),IF(Dashboard!$H$6="Horizontal",AD200+dateDistance,AD200),"")</f>
        <v/>
      </c>
      <c r="AE201" s="132" t="str">
        <f>IF(ISNUMBER(P201), IF(Dashboard!$H$6="Horizontal",IF(S201="S",INDEX($AC$4:$AC$503,MATCH(P201,$AB$4:$AB$503,0),1)+boxDistance*(T201+IF(Y201="No",IF(ISODD(T201),IF(T201&gt;0,1,-1),0),0))*IF(Y201="No",IF(ISODD(T201),0.5,-0.5),1),timelineStartRow - boxDistance * V201),IF( S201="S",INDEX($AC$4:$AC$503,MATCH(P201,$AB$4:$AB$503,0),1),INDEX($AC$4:$AC$503,MATCH(P201,$AB$4:$AB$503,0),1)&amp;"-"&amp;INDEX($AC$4:$AC$503,MATCH(Q201,$AB$4:$AB$503,0),1))),"")</f>
        <v/>
      </c>
      <c r="AF201" s="132" t="str">
        <f>IF(ISNUMBER(P201), IF(Dashboard!$H$6&lt;&gt;"Horizontal",IF(S201="S",INDEX($AD$4:$AD$503,MATCH(P201,$AB$4:$AB$503,0),1)+boxDistance*(T201+IF(Y201="No",IF(ISODD(T201),IF(T201&gt;0,1,-1),0),0))*IF(Y201="No",IF(ISODD(T201),0.5,-0.5),1),timelineStartColumn-boxDistance * IF(AND(ISNUMBER(V201),V201&gt;1),V201*0.85,1)   ),IF( S201="S",INDEX($AD$4:$AD$503,MATCH(P201,$AB$4:$AB$503,0),1),INDEX($AD$4:$AD$503,MATCH(P201,$AB$4:$AB$503,0),1)&amp;"-"&amp;INDEX($AD$4:$AD$503,MATCH(Q201,$AB$4:$AB$503,0),1))),"")</f>
        <v/>
      </c>
      <c r="AG201" s="133" t="str">
        <f t="shared" si="56"/>
        <v/>
      </c>
      <c r="AH201" s="134" t="str">
        <f t="shared" si="50"/>
        <v/>
      </c>
      <c r="AI201" s="135" t="str">
        <f t="shared" si="51"/>
        <v/>
      </c>
      <c r="AJ201" s="135" t="str">
        <f t="shared" si="57"/>
        <v/>
      </c>
      <c r="AK201" s="126" t="str">
        <f t="shared" si="58"/>
        <v/>
      </c>
      <c r="AL201" s="126" t="str">
        <f ca="1">IFERROR(IF(AK201="","", MATCH(AK201,OFFSET(Icons!$B$5,1,AM201-3,20,1),0)+5),"")</f>
        <v/>
      </c>
      <c r="AM201" s="126" t="str">
        <f t="shared" si="59"/>
        <v/>
      </c>
      <c r="AN201" s="90"/>
    </row>
    <row r="202" spans="5:40" ht="15" customHeight="1" x14ac:dyDescent="0.25">
      <c r="E202" s="126">
        <v>199</v>
      </c>
      <c r="F202" s="126"/>
      <c r="G202" s="127"/>
      <c r="H202" s="127"/>
      <c r="I202" s="126"/>
      <c r="K202" s="137" t="str">
        <f t="shared" si="52"/>
        <v/>
      </c>
      <c r="L202" s="127" t="str">
        <f t="shared" si="47"/>
        <v/>
      </c>
      <c r="N202" s="128" t="str">
        <f t="shared" si="53"/>
        <v/>
      </c>
      <c r="O202" s="126" t="str">
        <f t="array" ref="O202">IFERROR(SMALL(IF(($G$4:$G$253=P202),ROW($G$4:$G$253)-ROW($G$3),"" ),N202),"")</f>
        <v/>
      </c>
      <c r="P202" s="127" t="str">
        <f t="array" ref="P202">IFERROR(SMALL($G$4:$G$253,E202),"")</f>
        <v/>
      </c>
      <c r="Q202" s="127" t="str">
        <f t="shared" si="54"/>
        <v/>
      </c>
      <c r="R202" s="126" t="str">
        <f t="shared" si="55"/>
        <v/>
      </c>
      <c r="S202" s="126" t="str">
        <f t="shared" si="48"/>
        <v/>
      </c>
      <c r="T202" s="128" t="str">
        <f>IF(OR(S202="R",S202=""),"",COUNTIFS($P$4:P202,P202,$S$4:S202,"S")*U202)</f>
        <v/>
      </c>
      <c r="U202" s="128" t="str">
        <f>IF(ISNUMBER(N202),IF($C$11=TRUE,IF(OR(ISODD(COUNTIF($N$4:N202,1)),Y202="Yes"),1,-1),1),"")</f>
        <v/>
      </c>
      <c r="V202" s="128" t="str">
        <f ca="1">IFERROR(IF(AND(S202="R",W202&lt;&gt;""),1,IF(S202="R",MAX(OFFSET(V201,0,0,-1*(ROW(W202)-3-MATCH(MAX($W$4:W201),$W$4:W201,0)),1))+1,"")),"")</f>
        <v/>
      </c>
      <c r="W202" s="129" t="str">
        <f>IFERROR(IF(AND(S202="R", P202&gt;MAX($X$3:X201)),P202,""),"")</f>
        <v/>
      </c>
      <c r="X202" s="129" t="str">
        <f>IFERROR(IF(AND(W202="",Q202&gt;=MAX($X$3:X201)),IF(S202="R",Q202,IF(AND(W202="",P202&lt;=MAX($X$3:X201)),MAX($X$3:X201),"")),IF(W202&lt;&gt;"", Q202,"")),"")</f>
        <v/>
      </c>
      <c r="Y202" s="126" t="str">
        <f>IF(S202="S",IF(OR(P202&lt;=MAX($X$3:X201),P202&gt;=IF(MIN(W$53:$W203)&lt;1,99999999,MIN(W$53:$W203))),"Yes","No"),"")</f>
        <v/>
      </c>
      <c r="AA202" s="130" t="str">
        <f t="shared" si="49"/>
        <v/>
      </c>
      <c r="AB202" s="131" t="str">
        <f t="array" ref="AB202">IF(AA202&lt;=$AA$2,MIN(IF($L$4:$L$503&lt;=AB201,99999999999,$L$4:$L$503)),"")</f>
        <v/>
      </c>
      <c r="AC202" s="130" t="str">
        <f>IF(ISNUMBER(AA202),IF(Dashboard!$H$6&lt;&gt;"Horizontal",AC201+dateDistance,AC201),"")</f>
        <v/>
      </c>
      <c r="AD202" s="130" t="str">
        <f>IF(ISNUMBER(AA202),IF(Dashboard!$H$6="Horizontal",AD201+dateDistance,AD201),"")</f>
        <v/>
      </c>
      <c r="AE202" s="132" t="str">
        <f>IF(ISNUMBER(P202), IF(Dashboard!$H$6="Horizontal",IF(S202="S",INDEX($AC$4:$AC$503,MATCH(P202,$AB$4:$AB$503,0),1)+boxDistance*(T202+IF(Y202="No",IF(ISODD(T202),IF(T202&gt;0,1,-1),0),0))*IF(Y202="No",IF(ISODD(T202),0.5,-0.5),1),timelineStartRow - boxDistance * V202),IF( S202="S",INDEX($AC$4:$AC$503,MATCH(P202,$AB$4:$AB$503,0),1),INDEX($AC$4:$AC$503,MATCH(P202,$AB$4:$AB$503,0),1)&amp;"-"&amp;INDEX($AC$4:$AC$503,MATCH(Q202,$AB$4:$AB$503,0),1))),"")</f>
        <v/>
      </c>
      <c r="AF202" s="132" t="str">
        <f>IF(ISNUMBER(P202), IF(Dashboard!$H$6&lt;&gt;"Horizontal",IF(S202="S",INDEX($AD$4:$AD$503,MATCH(P202,$AB$4:$AB$503,0),1)+boxDistance*(T202+IF(Y202="No",IF(ISODD(T202),IF(T202&gt;0,1,-1),0),0))*IF(Y202="No",IF(ISODD(T202),0.5,-0.5),1),timelineStartColumn-boxDistance * IF(AND(ISNUMBER(V202),V202&gt;1),V202*0.85,1)   ),IF( S202="S",INDEX($AD$4:$AD$503,MATCH(P202,$AB$4:$AB$503,0),1),INDEX($AD$4:$AD$503,MATCH(P202,$AB$4:$AB$503,0),1)&amp;"-"&amp;INDEX($AD$4:$AD$503,MATCH(Q202,$AB$4:$AB$503,0),1))),"")</f>
        <v/>
      </c>
      <c r="AG202" s="133" t="str">
        <f t="shared" si="56"/>
        <v/>
      </c>
      <c r="AH202" s="134" t="str">
        <f t="shared" si="50"/>
        <v/>
      </c>
      <c r="AI202" s="135" t="str">
        <f t="shared" si="51"/>
        <v/>
      </c>
      <c r="AJ202" s="135" t="str">
        <f t="shared" si="57"/>
        <v/>
      </c>
      <c r="AK202" s="126" t="str">
        <f t="shared" si="58"/>
        <v/>
      </c>
      <c r="AL202" s="126" t="str">
        <f ca="1">IFERROR(IF(AK202="","", MATCH(AK202,OFFSET(Icons!$B$5,1,AM202-3,20,1),0)+5),"")</f>
        <v/>
      </c>
      <c r="AM202" s="126" t="str">
        <f t="shared" si="59"/>
        <v/>
      </c>
      <c r="AN202" s="90"/>
    </row>
    <row r="203" spans="5:40" ht="15" customHeight="1" x14ac:dyDescent="0.25">
      <c r="E203" s="126">
        <v>200</v>
      </c>
      <c r="F203" s="126"/>
      <c r="G203" s="127"/>
      <c r="H203" s="127"/>
      <c r="I203" s="126"/>
      <c r="K203" s="137" t="str">
        <f t="shared" si="52"/>
        <v/>
      </c>
      <c r="L203" s="127" t="str">
        <f t="shared" si="47"/>
        <v/>
      </c>
      <c r="N203" s="128" t="str">
        <f t="shared" si="53"/>
        <v/>
      </c>
      <c r="O203" s="126" t="str">
        <f t="array" ref="O203">IFERROR(SMALL(IF(($G$4:$G$253=P203),ROW($G$4:$G$253)-ROW($G$3),"" ),N203),"")</f>
        <v/>
      </c>
      <c r="P203" s="127" t="str">
        <f t="array" ref="P203">IFERROR(SMALL($G$4:$G$253,E203),"")</f>
        <v/>
      </c>
      <c r="Q203" s="127" t="str">
        <f t="shared" si="54"/>
        <v/>
      </c>
      <c r="R203" s="126" t="str">
        <f t="shared" si="55"/>
        <v/>
      </c>
      <c r="S203" s="126" t="str">
        <f t="shared" si="48"/>
        <v/>
      </c>
      <c r="T203" s="128" t="str">
        <f>IF(OR(S203="R",S203=""),"",COUNTIFS($P$4:P203,P203,$S$4:S203,"S")*U203)</f>
        <v/>
      </c>
      <c r="U203" s="128" t="str">
        <f>IF(ISNUMBER(N203),IF($C$11=TRUE,IF(OR(ISODD(COUNTIF($N$4:N203,1)),Y203="Yes"),1,-1),1),"")</f>
        <v/>
      </c>
      <c r="V203" s="128" t="str">
        <f ca="1">IFERROR(IF(AND(S203="R",W203&lt;&gt;""),1,IF(S203="R",MAX(OFFSET(V202,0,0,-1*(ROW(W203)-3-MATCH(MAX($W$4:W202),$W$4:W202,0)),1))+1,"")),"")</f>
        <v/>
      </c>
      <c r="W203" s="129" t="str">
        <f>IFERROR(IF(AND(S203="R", P203&gt;MAX($X$3:X202)),P203,""),"")</f>
        <v/>
      </c>
      <c r="X203" s="129" t="str">
        <f>IFERROR(IF(AND(W203="",Q203&gt;=MAX($X$3:X202)),IF(S203="R",Q203,IF(AND(W203="",P203&lt;=MAX($X$3:X202)),MAX($X$3:X202),"")),IF(W203&lt;&gt;"", Q203,"")),"")</f>
        <v/>
      </c>
      <c r="Y203" s="126" t="str">
        <f>IF(S203="S",IF(OR(P203&lt;=MAX($X$3:X202),P203&gt;=IF(MIN(W$53:$W204)&lt;1,99999999,MIN(W$53:$W204))),"Yes","No"),"")</f>
        <v/>
      </c>
      <c r="AA203" s="130" t="str">
        <f t="shared" si="49"/>
        <v/>
      </c>
      <c r="AB203" s="131" t="str">
        <f t="array" ref="AB203">IF(AA203&lt;=$AA$2,MIN(IF($L$4:$L$503&lt;=AB202,99999999999,$L$4:$L$503)),"")</f>
        <v/>
      </c>
      <c r="AC203" s="130" t="str">
        <f>IF(ISNUMBER(AA203),IF(Dashboard!$H$6&lt;&gt;"Horizontal",AC202+dateDistance,AC202),"")</f>
        <v/>
      </c>
      <c r="AD203" s="130" t="str">
        <f>IF(ISNUMBER(AA203),IF(Dashboard!$H$6="Horizontal",AD202+dateDistance,AD202),"")</f>
        <v/>
      </c>
      <c r="AE203" s="132" t="str">
        <f>IF(ISNUMBER(P203), IF(Dashboard!$H$6="Horizontal",IF(S203="S",INDEX($AC$4:$AC$503,MATCH(P203,$AB$4:$AB$503,0),1)+boxDistance*(T203+IF(Y203="No",IF(ISODD(T203),IF(T203&gt;0,1,-1),0),0))*IF(Y203="No",IF(ISODD(T203),0.5,-0.5),1),timelineStartRow - boxDistance * V203),IF( S203="S",INDEX($AC$4:$AC$503,MATCH(P203,$AB$4:$AB$503,0),1),INDEX($AC$4:$AC$503,MATCH(P203,$AB$4:$AB$503,0),1)&amp;"-"&amp;INDEX($AC$4:$AC$503,MATCH(Q203,$AB$4:$AB$503,0),1))),"")</f>
        <v/>
      </c>
      <c r="AF203" s="132" t="str">
        <f>IF(ISNUMBER(P203), IF(Dashboard!$H$6&lt;&gt;"Horizontal",IF(S203="S",INDEX($AD$4:$AD$503,MATCH(P203,$AB$4:$AB$503,0),1)+boxDistance*(T203+IF(Y203="No",IF(ISODD(T203),IF(T203&gt;0,1,-1),0),0))*IF(Y203="No",IF(ISODD(T203),0.5,-0.5),1),timelineStartColumn-boxDistance * IF(AND(ISNUMBER(V203),V203&gt;1),V203*0.85,1)   ),IF( S203="S",INDEX($AD$4:$AD$503,MATCH(P203,$AB$4:$AB$503,0),1),INDEX($AD$4:$AD$503,MATCH(P203,$AB$4:$AB$503,0),1)&amp;"-"&amp;INDEX($AD$4:$AD$503,MATCH(Q203,$AB$4:$AB$503,0),1))),"")</f>
        <v/>
      </c>
      <c r="AG203" s="133" t="str">
        <f t="shared" si="56"/>
        <v/>
      </c>
      <c r="AH203" s="134" t="str">
        <f t="shared" si="50"/>
        <v/>
      </c>
      <c r="AI203" s="135" t="str">
        <f t="shared" si="51"/>
        <v/>
      </c>
      <c r="AJ203" s="135" t="str">
        <f t="shared" si="57"/>
        <v/>
      </c>
      <c r="AK203" s="126" t="str">
        <f t="shared" si="58"/>
        <v/>
      </c>
      <c r="AL203" s="126" t="str">
        <f ca="1">IFERROR(IF(AK203="","", MATCH(AK203,OFFSET(Icons!$B$5,1,AM203-3,20,1),0)+5),"")</f>
        <v/>
      </c>
      <c r="AM203" s="126" t="str">
        <f t="shared" si="59"/>
        <v/>
      </c>
      <c r="AN203" s="90"/>
    </row>
    <row r="204" spans="5:40" ht="15" customHeight="1" x14ac:dyDescent="0.25">
      <c r="E204" s="126">
        <v>201</v>
      </c>
      <c r="F204" s="126"/>
      <c r="G204" s="127"/>
      <c r="H204" s="127"/>
      <c r="I204" s="126"/>
      <c r="K204" s="137" t="str">
        <f t="shared" si="52"/>
        <v/>
      </c>
      <c r="L204" s="127" t="str">
        <f t="shared" si="47"/>
        <v/>
      </c>
      <c r="N204" s="128" t="str">
        <f t="shared" si="53"/>
        <v/>
      </c>
      <c r="O204" s="126" t="str">
        <f t="array" ref="O204">IFERROR(SMALL(IF(($G$4:$G$253=P204),ROW($G$4:$G$253)-ROW($G$3),"" ),N204),"")</f>
        <v/>
      </c>
      <c r="P204" s="127" t="str">
        <f t="array" ref="P204">IFERROR(SMALL($G$4:$G$253,E204),"")</f>
        <v/>
      </c>
      <c r="Q204" s="127" t="str">
        <f t="shared" si="54"/>
        <v/>
      </c>
      <c r="R204" s="126" t="str">
        <f t="shared" si="55"/>
        <v/>
      </c>
      <c r="S204" s="126" t="str">
        <f t="shared" si="48"/>
        <v/>
      </c>
      <c r="T204" s="128" t="str">
        <f>IF(OR(S204="R",S204=""),"",COUNTIFS($P$4:P204,P204,$S$4:S204,"S")*U204)</f>
        <v/>
      </c>
      <c r="U204" s="128" t="str">
        <f>IF(ISNUMBER(N204),IF($C$11=TRUE,IF(OR(ISODD(COUNTIF($N$4:N204,1)),Y204="Yes"),1,-1),1),"")</f>
        <v/>
      </c>
      <c r="V204" s="128" t="str">
        <f ca="1">IFERROR(IF(AND(S204="R",W204&lt;&gt;""),1,IF(S204="R",MAX(OFFSET(V203,0,0,-1*(ROW(W204)-3-MATCH(MAX($W$4:W203),$W$4:W203,0)),1))+1,"")),"")</f>
        <v/>
      </c>
      <c r="W204" s="129" t="str">
        <f>IFERROR(IF(AND(S204="R", P204&gt;MAX($X$3:X203)),P204,""),"")</f>
        <v/>
      </c>
      <c r="X204" s="129" t="str">
        <f>IFERROR(IF(AND(W204="",Q204&gt;=MAX($X$3:X203)),IF(S204="R",Q204,IF(AND(W204="",P204&lt;=MAX($X$3:X203)),MAX($X$3:X203),"")),IF(W204&lt;&gt;"", Q204,"")),"")</f>
        <v/>
      </c>
      <c r="Y204" s="126" t="str">
        <f>IF(S204="S",IF(OR(P204&lt;=MAX($X$3:X203),P204&gt;=IF(MIN(W$53:$W205)&lt;1,99999999,MIN(W$53:$W205))),"Yes","No"),"")</f>
        <v/>
      </c>
      <c r="AA204" s="130" t="str">
        <f t="shared" si="49"/>
        <v/>
      </c>
      <c r="AB204" s="131" t="str">
        <f t="array" ref="AB204">IF(AA204&lt;=$AA$2,MIN(IF($L$4:$L$503&lt;=AB203,99999999999,$L$4:$L$503)),"")</f>
        <v/>
      </c>
      <c r="AC204" s="130" t="str">
        <f>IF(ISNUMBER(AA204),IF(Dashboard!$H$6&lt;&gt;"Horizontal",AC203+dateDistance,AC203),"")</f>
        <v/>
      </c>
      <c r="AD204" s="130" t="str">
        <f>IF(ISNUMBER(AA204),IF(Dashboard!$H$6="Horizontal",AD203+dateDistance,AD203),"")</f>
        <v/>
      </c>
      <c r="AE204" s="132" t="str">
        <f>IF(ISNUMBER(P204), IF(Dashboard!$H$6="Horizontal",IF(S204="S",INDEX($AC$4:$AC$503,MATCH(P204,$AB$4:$AB$503,0),1)+boxDistance*(T204+IF(Y204="No",IF(ISODD(T204),IF(T204&gt;0,1,-1),0),0))*IF(Y204="No",IF(ISODD(T204),0.5,-0.5),1),timelineStartRow - boxDistance * V204),IF( S204="S",INDEX($AC$4:$AC$503,MATCH(P204,$AB$4:$AB$503,0),1),INDEX($AC$4:$AC$503,MATCH(P204,$AB$4:$AB$503,0),1)&amp;"-"&amp;INDEX($AC$4:$AC$503,MATCH(Q204,$AB$4:$AB$503,0),1))),"")</f>
        <v/>
      </c>
      <c r="AF204" s="132" t="str">
        <f>IF(ISNUMBER(P204), IF(Dashboard!$H$6&lt;&gt;"Horizontal",IF(S204="S",INDEX($AD$4:$AD$503,MATCH(P204,$AB$4:$AB$503,0),1)+boxDistance*(T204+IF(Y204="No",IF(ISODD(T204),IF(T204&gt;0,1,-1),0),0))*IF(Y204="No",IF(ISODD(T204),0.5,-0.5),1),timelineStartColumn-boxDistance * IF(AND(ISNUMBER(V204),V204&gt;1),V204*0.85,1)   ),IF( S204="S",INDEX($AD$4:$AD$503,MATCH(P204,$AB$4:$AB$503,0),1),INDEX($AD$4:$AD$503,MATCH(P204,$AB$4:$AB$503,0),1)&amp;"-"&amp;INDEX($AD$4:$AD$503,MATCH(Q204,$AB$4:$AB$503,0),1))),"")</f>
        <v/>
      </c>
      <c r="AG204" s="133" t="str">
        <f t="shared" si="56"/>
        <v/>
      </c>
      <c r="AH204" s="134" t="str">
        <f t="shared" si="50"/>
        <v/>
      </c>
      <c r="AI204" s="135" t="str">
        <f t="shared" si="51"/>
        <v/>
      </c>
      <c r="AJ204" s="135" t="str">
        <f t="shared" si="57"/>
        <v/>
      </c>
      <c r="AK204" s="126" t="str">
        <f t="shared" si="58"/>
        <v/>
      </c>
      <c r="AL204" s="126" t="str">
        <f ca="1">IFERROR(IF(AK204="","", MATCH(AK204,OFFSET(Icons!$B$5,1,AM204-3,20,1),0)+5),"")</f>
        <v/>
      </c>
      <c r="AM204" s="126" t="str">
        <f t="shared" si="59"/>
        <v/>
      </c>
      <c r="AN204" s="90"/>
    </row>
    <row r="205" spans="5:40" ht="15" customHeight="1" x14ac:dyDescent="0.25">
      <c r="E205" s="126">
        <v>202</v>
      </c>
      <c r="F205" s="126"/>
      <c r="G205" s="127"/>
      <c r="H205" s="127"/>
      <c r="I205" s="126"/>
      <c r="K205" s="137" t="str">
        <f t="shared" si="52"/>
        <v/>
      </c>
      <c r="L205" s="127" t="str">
        <f t="shared" si="47"/>
        <v/>
      </c>
      <c r="N205" s="128" t="str">
        <f t="shared" si="53"/>
        <v/>
      </c>
      <c r="O205" s="126" t="str">
        <f t="array" ref="O205">IFERROR(SMALL(IF(($G$4:$G$253=P205),ROW($G$4:$G$253)-ROW($G$3),"" ),N205),"")</f>
        <v/>
      </c>
      <c r="P205" s="127" t="str">
        <f t="array" ref="P205">IFERROR(SMALL($G$4:$G$253,E205),"")</f>
        <v/>
      </c>
      <c r="Q205" s="127" t="str">
        <f t="shared" si="54"/>
        <v/>
      </c>
      <c r="R205" s="126" t="str">
        <f t="shared" si="55"/>
        <v/>
      </c>
      <c r="S205" s="126" t="str">
        <f t="shared" si="48"/>
        <v/>
      </c>
      <c r="T205" s="128" t="str">
        <f>IF(OR(S205="R",S205=""),"",COUNTIFS($P$4:P205,P205,$S$4:S205,"S")*U205)</f>
        <v/>
      </c>
      <c r="U205" s="128" t="str">
        <f>IF(ISNUMBER(N205),IF($C$11=TRUE,IF(OR(ISODD(COUNTIF($N$4:N205,1)),Y205="Yes"),1,-1),1),"")</f>
        <v/>
      </c>
      <c r="V205" s="128" t="str">
        <f ca="1">IFERROR(IF(AND(S205="R",W205&lt;&gt;""),1,IF(S205="R",MAX(OFFSET(V204,0,0,-1*(ROW(W205)-3-MATCH(MAX($W$4:W204),$W$4:W204,0)),1))+1,"")),"")</f>
        <v/>
      </c>
      <c r="W205" s="129" t="str">
        <f>IFERROR(IF(AND(S205="R", P205&gt;MAX($X$3:X204)),P205,""),"")</f>
        <v/>
      </c>
      <c r="X205" s="129" t="str">
        <f>IFERROR(IF(AND(W205="",Q205&gt;=MAX($X$3:X204)),IF(S205="R",Q205,IF(AND(W205="",P205&lt;=MAX($X$3:X204)),MAX($X$3:X204),"")),IF(W205&lt;&gt;"", Q205,"")),"")</f>
        <v/>
      </c>
      <c r="Y205" s="126" t="str">
        <f>IF(S205="S",IF(OR(P205&lt;=MAX($X$3:X204),P205&gt;=IF(MIN(W$53:$W206)&lt;1,99999999,MIN(W$53:$W206))),"Yes","No"),"")</f>
        <v/>
      </c>
      <c r="AA205" s="130" t="str">
        <f t="shared" si="49"/>
        <v/>
      </c>
      <c r="AB205" s="131" t="str">
        <f t="array" ref="AB205">IF(AA205&lt;=$AA$2,MIN(IF($L$4:$L$503&lt;=AB204,99999999999,$L$4:$L$503)),"")</f>
        <v/>
      </c>
      <c r="AC205" s="130" t="str">
        <f>IF(ISNUMBER(AA205),IF(Dashboard!$H$6&lt;&gt;"Horizontal",AC204+dateDistance,AC204),"")</f>
        <v/>
      </c>
      <c r="AD205" s="130" t="str">
        <f>IF(ISNUMBER(AA205),IF(Dashboard!$H$6="Horizontal",AD204+dateDistance,AD204),"")</f>
        <v/>
      </c>
      <c r="AE205" s="132" t="str">
        <f>IF(ISNUMBER(P205), IF(Dashboard!$H$6="Horizontal",IF(S205="S",INDEX($AC$4:$AC$503,MATCH(P205,$AB$4:$AB$503,0),1)+boxDistance*(T205+IF(Y205="No",IF(ISODD(T205),IF(T205&gt;0,1,-1),0),0))*IF(Y205="No",IF(ISODD(T205),0.5,-0.5),1),timelineStartRow - boxDistance * V205),IF( S205="S",INDEX($AC$4:$AC$503,MATCH(P205,$AB$4:$AB$503,0),1),INDEX($AC$4:$AC$503,MATCH(P205,$AB$4:$AB$503,0),1)&amp;"-"&amp;INDEX($AC$4:$AC$503,MATCH(Q205,$AB$4:$AB$503,0),1))),"")</f>
        <v/>
      </c>
      <c r="AF205" s="132" t="str">
        <f>IF(ISNUMBER(P205), IF(Dashboard!$H$6&lt;&gt;"Horizontal",IF(S205="S",INDEX($AD$4:$AD$503,MATCH(P205,$AB$4:$AB$503,0),1)+boxDistance*(T205+IF(Y205="No",IF(ISODD(T205),IF(T205&gt;0,1,-1),0),0))*IF(Y205="No",IF(ISODD(T205),0.5,-0.5),1),timelineStartColumn-boxDistance * IF(AND(ISNUMBER(V205),V205&gt;1),V205*0.85,1)   ),IF( S205="S",INDEX($AD$4:$AD$503,MATCH(P205,$AB$4:$AB$503,0),1),INDEX($AD$4:$AD$503,MATCH(P205,$AB$4:$AB$503,0),1)&amp;"-"&amp;INDEX($AD$4:$AD$503,MATCH(Q205,$AB$4:$AB$503,0),1))),"")</f>
        <v/>
      </c>
      <c r="AG205" s="133" t="str">
        <f t="shared" si="56"/>
        <v/>
      </c>
      <c r="AH205" s="134" t="str">
        <f t="shared" si="50"/>
        <v/>
      </c>
      <c r="AI205" s="135" t="str">
        <f t="shared" si="51"/>
        <v/>
      </c>
      <c r="AJ205" s="135" t="str">
        <f t="shared" si="57"/>
        <v/>
      </c>
      <c r="AK205" s="126" t="str">
        <f t="shared" si="58"/>
        <v/>
      </c>
      <c r="AL205" s="126" t="str">
        <f ca="1">IFERROR(IF(AK205="","", MATCH(AK205,OFFSET(Icons!$B$5,1,AM205-3,20,1),0)+5),"")</f>
        <v/>
      </c>
      <c r="AM205" s="126" t="str">
        <f t="shared" si="59"/>
        <v/>
      </c>
      <c r="AN205" s="90"/>
    </row>
    <row r="206" spans="5:40" ht="15" customHeight="1" x14ac:dyDescent="0.25">
      <c r="E206" s="126">
        <v>203</v>
      </c>
      <c r="F206" s="126"/>
      <c r="G206" s="127"/>
      <c r="H206" s="127"/>
      <c r="I206" s="126"/>
      <c r="K206" s="137" t="str">
        <f t="shared" si="52"/>
        <v/>
      </c>
      <c r="L206" s="127" t="str">
        <f t="shared" si="47"/>
        <v/>
      </c>
      <c r="N206" s="128" t="str">
        <f t="shared" si="53"/>
        <v/>
      </c>
      <c r="O206" s="126" t="str">
        <f t="array" ref="O206">IFERROR(SMALL(IF(($G$4:$G$253=P206),ROW($G$4:$G$253)-ROW($G$3),"" ),N206),"")</f>
        <v/>
      </c>
      <c r="P206" s="127" t="str">
        <f t="array" ref="P206">IFERROR(SMALL($G$4:$G$253,E206),"")</f>
        <v/>
      </c>
      <c r="Q206" s="127" t="str">
        <f t="shared" si="54"/>
        <v/>
      </c>
      <c r="R206" s="126" t="str">
        <f t="shared" si="55"/>
        <v/>
      </c>
      <c r="S206" s="126" t="str">
        <f t="shared" si="48"/>
        <v/>
      </c>
      <c r="T206" s="128" t="str">
        <f>IF(OR(S206="R",S206=""),"",COUNTIFS($P$4:P206,P206,$S$4:S206,"S")*U206)</f>
        <v/>
      </c>
      <c r="U206" s="128" t="str">
        <f>IF(ISNUMBER(N206),IF($C$11=TRUE,IF(OR(ISODD(COUNTIF($N$4:N206,1)),Y206="Yes"),1,-1),1),"")</f>
        <v/>
      </c>
      <c r="V206" s="128" t="str">
        <f ca="1">IFERROR(IF(AND(S206="R",W206&lt;&gt;""),1,IF(S206="R",MAX(OFFSET(V205,0,0,-1*(ROW(W206)-3-MATCH(MAX($W$4:W205),$W$4:W205,0)),1))+1,"")),"")</f>
        <v/>
      </c>
      <c r="W206" s="129" t="str">
        <f>IFERROR(IF(AND(S206="R", P206&gt;MAX($X$3:X205)),P206,""),"")</f>
        <v/>
      </c>
      <c r="X206" s="129" t="str">
        <f>IFERROR(IF(AND(W206="",Q206&gt;=MAX($X$3:X205)),IF(S206="R",Q206,IF(AND(W206="",P206&lt;=MAX($X$3:X205)),MAX($X$3:X205),"")),IF(W206&lt;&gt;"", Q206,"")),"")</f>
        <v/>
      </c>
      <c r="Y206" s="126" t="str">
        <f>IF(S206="S",IF(OR(P206&lt;=MAX($X$3:X205),P206&gt;=IF(MIN(W$53:$W207)&lt;1,99999999,MIN(W$53:$W207))),"Yes","No"),"")</f>
        <v/>
      </c>
      <c r="AA206" s="130" t="str">
        <f t="shared" si="49"/>
        <v/>
      </c>
      <c r="AB206" s="131" t="str">
        <f t="array" ref="AB206">IF(AA206&lt;=$AA$2,MIN(IF($L$4:$L$503&lt;=AB205,99999999999,$L$4:$L$503)),"")</f>
        <v/>
      </c>
      <c r="AC206" s="130" t="str">
        <f>IF(ISNUMBER(AA206),IF(Dashboard!$H$6&lt;&gt;"Horizontal",AC205+dateDistance,AC205),"")</f>
        <v/>
      </c>
      <c r="AD206" s="130" t="str">
        <f>IF(ISNUMBER(AA206),IF(Dashboard!$H$6="Horizontal",AD205+dateDistance,AD205),"")</f>
        <v/>
      </c>
      <c r="AE206" s="132" t="str">
        <f>IF(ISNUMBER(P206), IF(Dashboard!$H$6="Horizontal",IF(S206="S",INDEX($AC$4:$AC$503,MATCH(P206,$AB$4:$AB$503,0),1)+boxDistance*(T206+IF(Y206="No",IF(ISODD(T206),IF(T206&gt;0,1,-1),0),0))*IF(Y206="No",IF(ISODD(T206),0.5,-0.5),1),timelineStartRow - boxDistance * V206),IF( S206="S",INDEX($AC$4:$AC$503,MATCH(P206,$AB$4:$AB$503,0),1),INDEX($AC$4:$AC$503,MATCH(P206,$AB$4:$AB$503,0),1)&amp;"-"&amp;INDEX($AC$4:$AC$503,MATCH(Q206,$AB$4:$AB$503,0),1))),"")</f>
        <v/>
      </c>
      <c r="AF206" s="132" t="str">
        <f>IF(ISNUMBER(P206), IF(Dashboard!$H$6&lt;&gt;"Horizontal",IF(S206="S",INDEX($AD$4:$AD$503,MATCH(P206,$AB$4:$AB$503,0),1)+boxDistance*(T206+IF(Y206="No",IF(ISODD(T206),IF(T206&gt;0,1,-1),0),0))*IF(Y206="No",IF(ISODD(T206),0.5,-0.5),1),timelineStartColumn-boxDistance * IF(AND(ISNUMBER(V206),V206&gt;1),V206*0.85,1)   ),IF( S206="S",INDEX($AD$4:$AD$503,MATCH(P206,$AB$4:$AB$503,0),1),INDEX($AD$4:$AD$503,MATCH(P206,$AB$4:$AB$503,0),1)&amp;"-"&amp;INDEX($AD$4:$AD$503,MATCH(Q206,$AB$4:$AB$503,0),1))),"")</f>
        <v/>
      </c>
      <c r="AG206" s="133" t="str">
        <f t="shared" si="56"/>
        <v/>
      </c>
      <c r="AH206" s="134" t="str">
        <f t="shared" si="50"/>
        <v/>
      </c>
      <c r="AI206" s="135" t="str">
        <f t="shared" si="51"/>
        <v/>
      </c>
      <c r="AJ206" s="135" t="str">
        <f t="shared" si="57"/>
        <v/>
      </c>
      <c r="AK206" s="126" t="str">
        <f t="shared" si="58"/>
        <v/>
      </c>
      <c r="AL206" s="126" t="str">
        <f ca="1">IFERROR(IF(AK206="","", MATCH(AK206,OFFSET(Icons!$B$5,1,AM206-3,20,1),0)+5),"")</f>
        <v/>
      </c>
      <c r="AM206" s="126" t="str">
        <f t="shared" si="59"/>
        <v/>
      </c>
      <c r="AN206" s="90"/>
    </row>
    <row r="207" spans="5:40" ht="15" customHeight="1" x14ac:dyDescent="0.25">
      <c r="E207" s="126">
        <v>204</v>
      </c>
      <c r="F207" s="126"/>
      <c r="G207" s="127"/>
      <c r="H207" s="127"/>
      <c r="I207" s="126"/>
      <c r="K207" s="137" t="str">
        <f t="shared" si="52"/>
        <v/>
      </c>
      <c r="L207" s="127" t="str">
        <f t="shared" si="47"/>
        <v/>
      </c>
      <c r="N207" s="128" t="str">
        <f t="shared" si="53"/>
        <v/>
      </c>
      <c r="O207" s="126" t="str">
        <f t="array" ref="O207">IFERROR(SMALL(IF(($G$4:$G$253=P207),ROW($G$4:$G$253)-ROW($G$3),"" ),N207),"")</f>
        <v/>
      </c>
      <c r="P207" s="127" t="str">
        <f t="array" ref="P207">IFERROR(SMALL($G$4:$G$253,E207),"")</f>
        <v/>
      </c>
      <c r="Q207" s="127" t="str">
        <f t="shared" si="54"/>
        <v/>
      </c>
      <c r="R207" s="126" t="str">
        <f t="shared" si="55"/>
        <v/>
      </c>
      <c r="S207" s="126" t="str">
        <f t="shared" si="48"/>
        <v/>
      </c>
      <c r="T207" s="128" t="str">
        <f>IF(OR(S207="R",S207=""),"",COUNTIFS($P$4:P207,P207,$S$4:S207,"S")*U207)</f>
        <v/>
      </c>
      <c r="U207" s="128" t="str">
        <f>IF(ISNUMBER(N207),IF($C$11=TRUE,IF(OR(ISODD(COUNTIF($N$4:N207,1)),Y207="Yes"),1,-1),1),"")</f>
        <v/>
      </c>
      <c r="V207" s="128" t="str">
        <f ca="1">IFERROR(IF(AND(S207="R",W207&lt;&gt;""),1,IF(S207="R",MAX(OFFSET(V206,0,0,-1*(ROW(W207)-3-MATCH(MAX($W$4:W206),$W$4:W206,0)),1))+1,"")),"")</f>
        <v/>
      </c>
      <c r="W207" s="129" t="str">
        <f>IFERROR(IF(AND(S207="R", P207&gt;MAX($X$3:X206)),P207,""),"")</f>
        <v/>
      </c>
      <c r="X207" s="129" t="str">
        <f>IFERROR(IF(AND(W207="",Q207&gt;=MAX($X$3:X206)),IF(S207="R",Q207,IF(AND(W207="",P207&lt;=MAX($X$3:X206)),MAX($X$3:X206),"")),IF(W207&lt;&gt;"", Q207,"")),"")</f>
        <v/>
      </c>
      <c r="Y207" s="126" t="str">
        <f>IF(S207="S",IF(OR(P207&lt;=MAX($X$3:X206),P207&gt;=IF(MIN(W$53:$W208)&lt;1,99999999,MIN(W$53:$W208))),"Yes","No"),"")</f>
        <v/>
      </c>
      <c r="AA207" s="130" t="str">
        <f t="shared" si="49"/>
        <v/>
      </c>
      <c r="AB207" s="131" t="str">
        <f t="array" ref="AB207">IF(AA207&lt;=$AA$2,MIN(IF($L$4:$L$503&lt;=AB206,99999999999,$L$4:$L$503)),"")</f>
        <v/>
      </c>
      <c r="AC207" s="130" t="str">
        <f>IF(ISNUMBER(AA207),IF(Dashboard!$H$6&lt;&gt;"Horizontal",AC206+dateDistance,AC206),"")</f>
        <v/>
      </c>
      <c r="AD207" s="130" t="str">
        <f>IF(ISNUMBER(AA207),IF(Dashboard!$H$6="Horizontal",AD206+dateDistance,AD206),"")</f>
        <v/>
      </c>
      <c r="AE207" s="132" t="str">
        <f>IF(ISNUMBER(P207), IF(Dashboard!$H$6="Horizontal",IF(S207="S",INDEX($AC$4:$AC$503,MATCH(P207,$AB$4:$AB$503,0),1)+boxDistance*(T207+IF(Y207="No",IF(ISODD(T207),IF(T207&gt;0,1,-1),0),0))*IF(Y207="No",IF(ISODD(T207),0.5,-0.5),1),timelineStartRow - boxDistance * V207),IF( S207="S",INDEX($AC$4:$AC$503,MATCH(P207,$AB$4:$AB$503,0),1),INDEX($AC$4:$AC$503,MATCH(P207,$AB$4:$AB$503,0),1)&amp;"-"&amp;INDEX($AC$4:$AC$503,MATCH(Q207,$AB$4:$AB$503,0),1))),"")</f>
        <v/>
      </c>
      <c r="AF207" s="132" t="str">
        <f>IF(ISNUMBER(P207), IF(Dashboard!$H$6&lt;&gt;"Horizontal",IF(S207="S",INDEX($AD$4:$AD$503,MATCH(P207,$AB$4:$AB$503,0),1)+boxDistance*(T207+IF(Y207="No",IF(ISODD(T207),IF(T207&gt;0,1,-1),0),0))*IF(Y207="No",IF(ISODD(T207),0.5,-0.5),1),timelineStartColumn-boxDistance * IF(AND(ISNUMBER(V207),V207&gt;1),V207*0.85,1)   ),IF( S207="S",INDEX($AD$4:$AD$503,MATCH(P207,$AB$4:$AB$503,0),1),INDEX($AD$4:$AD$503,MATCH(P207,$AB$4:$AB$503,0),1)&amp;"-"&amp;INDEX($AD$4:$AD$503,MATCH(Q207,$AB$4:$AB$503,0),1))),"")</f>
        <v/>
      </c>
      <c r="AG207" s="133" t="str">
        <f t="shared" si="56"/>
        <v/>
      </c>
      <c r="AH207" s="134" t="str">
        <f t="shared" si="50"/>
        <v/>
      </c>
      <c r="AI207" s="135" t="str">
        <f t="shared" si="51"/>
        <v/>
      </c>
      <c r="AJ207" s="135" t="str">
        <f t="shared" si="57"/>
        <v/>
      </c>
      <c r="AK207" s="126" t="str">
        <f t="shared" si="58"/>
        <v/>
      </c>
      <c r="AL207" s="126" t="str">
        <f ca="1">IFERROR(IF(AK207="","", MATCH(AK207,OFFSET(Icons!$B$5,1,AM207-3,20,1),0)+5),"")</f>
        <v/>
      </c>
      <c r="AM207" s="126" t="str">
        <f t="shared" si="59"/>
        <v/>
      </c>
      <c r="AN207" s="90"/>
    </row>
    <row r="208" spans="5:40" ht="15" customHeight="1" x14ac:dyDescent="0.25">
      <c r="E208" s="126">
        <v>205</v>
      </c>
      <c r="F208" s="126"/>
      <c r="G208" s="127"/>
      <c r="H208" s="127"/>
      <c r="I208" s="126"/>
      <c r="K208" s="137" t="str">
        <f t="shared" si="52"/>
        <v/>
      </c>
      <c r="L208" s="127" t="str">
        <f t="shared" si="47"/>
        <v/>
      </c>
      <c r="N208" s="128" t="str">
        <f t="shared" si="53"/>
        <v/>
      </c>
      <c r="O208" s="126" t="str">
        <f t="array" ref="O208">IFERROR(SMALL(IF(($G$4:$G$253=P208),ROW($G$4:$G$253)-ROW($G$3),"" ),N208),"")</f>
        <v/>
      </c>
      <c r="P208" s="127" t="str">
        <f t="array" ref="P208">IFERROR(SMALL($G$4:$G$253,E208),"")</f>
        <v/>
      </c>
      <c r="Q208" s="127" t="str">
        <f t="shared" si="54"/>
        <v/>
      </c>
      <c r="R208" s="126" t="str">
        <f t="shared" si="55"/>
        <v/>
      </c>
      <c r="S208" s="126" t="str">
        <f t="shared" si="48"/>
        <v/>
      </c>
      <c r="T208" s="128" t="str">
        <f>IF(OR(S208="R",S208=""),"",COUNTIFS($P$4:P208,P208,$S$4:S208,"S")*U208)</f>
        <v/>
      </c>
      <c r="U208" s="128" t="str">
        <f>IF(ISNUMBER(N208),IF($C$11=TRUE,IF(OR(ISODD(COUNTIF($N$4:N208,1)),Y208="Yes"),1,-1),1),"")</f>
        <v/>
      </c>
      <c r="V208" s="128" t="str">
        <f ca="1">IFERROR(IF(AND(S208="R",W208&lt;&gt;""),1,IF(S208="R",MAX(OFFSET(V207,0,0,-1*(ROW(W208)-3-MATCH(MAX($W$4:W207),$W$4:W207,0)),1))+1,"")),"")</f>
        <v/>
      </c>
      <c r="W208" s="129" t="str">
        <f>IFERROR(IF(AND(S208="R", P208&gt;MAX($X$3:X207)),P208,""),"")</f>
        <v/>
      </c>
      <c r="X208" s="129" t="str">
        <f>IFERROR(IF(AND(W208="",Q208&gt;=MAX($X$3:X207)),IF(S208="R",Q208,IF(AND(W208="",P208&lt;=MAX($X$3:X207)),MAX($X$3:X207),"")),IF(W208&lt;&gt;"", Q208,"")),"")</f>
        <v/>
      </c>
      <c r="Y208" s="126" t="str">
        <f>IF(S208="S",IF(OR(P208&lt;=MAX($X$3:X207),P208&gt;=IF(MIN(W$53:$W209)&lt;1,99999999,MIN(W$53:$W209))),"Yes","No"),"")</f>
        <v/>
      </c>
      <c r="AA208" s="130" t="str">
        <f t="shared" si="49"/>
        <v/>
      </c>
      <c r="AB208" s="131" t="str">
        <f t="array" ref="AB208">IF(AA208&lt;=$AA$2,MIN(IF($L$4:$L$503&lt;=AB207,99999999999,$L$4:$L$503)),"")</f>
        <v/>
      </c>
      <c r="AC208" s="130" t="str">
        <f>IF(ISNUMBER(AA208),IF(Dashboard!$H$6&lt;&gt;"Horizontal",AC207+dateDistance,AC207),"")</f>
        <v/>
      </c>
      <c r="AD208" s="130" t="str">
        <f>IF(ISNUMBER(AA208),IF(Dashboard!$H$6="Horizontal",AD207+dateDistance,AD207),"")</f>
        <v/>
      </c>
      <c r="AE208" s="132" t="str">
        <f>IF(ISNUMBER(P208), IF(Dashboard!$H$6="Horizontal",IF(S208="S",INDEX($AC$4:$AC$503,MATCH(P208,$AB$4:$AB$503,0),1)+boxDistance*(T208+IF(Y208="No",IF(ISODD(T208),IF(T208&gt;0,1,-1),0),0))*IF(Y208="No",IF(ISODD(T208),0.5,-0.5),1),timelineStartRow - boxDistance * V208),IF( S208="S",INDEX($AC$4:$AC$503,MATCH(P208,$AB$4:$AB$503,0),1),INDEX($AC$4:$AC$503,MATCH(P208,$AB$4:$AB$503,0),1)&amp;"-"&amp;INDEX($AC$4:$AC$503,MATCH(Q208,$AB$4:$AB$503,0),1))),"")</f>
        <v/>
      </c>
      <c r="AF208" s="132" t="str">
        <f>IF(ISNUMBER(P208), IF(Dashboard!$H$6&lt;&gt;"Horizontal",IF(S208="S",INDEX($AD$4:$AD$503,MATCH(P208,$AB$4:$AB$503,0),1)+boxDistance*(T208+IF(Y208="No",IF(ISODD(T208),IF(T208&gt;0,1,-1),0),0))*IF(Y208="No",IF(ISODD(T208),0.5,-0.5),1),timelineStartColumn-boxDistance * IF(AND(ISNUMBER(V208),V208&gt;1),V208*0.85,1)   ),IF( S208="S",INDEX($AD$4:$AD$503,MATCH(P208,$AB$4:$AB$503,0),1),INDEX($AD$4:$AD$503,MATCH(P208,$AB$4:$AB$503,0),1)&amp;"-"&amp;INDEX($AD$4:$AD$503,MATCH(Q208,$AB$4:$AB$503,0),1))),"")</f>
        <v/>
      </c>
      <c r="AG208" s="133" t="str">
        <f t="shared" si="56"/>
        <v/>
      </c>
      <c r="AH208" s="134" t="str">
        <f t="shared" si="50"/>
        <v/>
      </c>
      <c r="AI208" s="135" t="str">
        <f t="shared" si="51"/>
        <v/>
      </c>
      <c r="AJ208" s="135" t="str">
        <f t="shared" si="57"/>
        <v/>
      </c>
      <c r="AK208" s="126" t="str">
        <f t="shared" si="58"/>
        <v/>
      </c>
      <c r="AL208" s="126" t="str">
        <f ca="1">IFERROR(IF(AK208="","", MATCH(AK208,OFFSET(Icons!$B$5,1,AM208-3,20,1),0)+5),"")</f>
        <v/>
      </c>
      <c r="AM208" s="126" t="str">
        <f t="shared" si="59"/>
        <v/>
      </c>
      <c r="AN208" s="90"/>
    </row>
    <row r="209" spans="5:40" ht="15" customHeight="1" x14ac:dyDescent="0.25">
      <c r="E209" s="126">
        <v>206</v>
      </c>
      <c r="F209" s="126"/>
      <c r="G209" s="127"/>
      <c r="H209" s="127"/>
      <c r="I209" s="126"/>
      <c r="K209" s="137" t="str">
        <f t="shared" si="52"/>
        <v/>
      </c>
      <c r="L209" s="127" t="str">
        <f t="shared" si="47"/>
        <v/>
      </c>
      <c r="N209" s="128" t="str">
        <f t="shared" si="53"/>
        <v/>
      </c>
      <c r="O209" s="126" t="str">
        <f t="array" ref="O209">IFERROR(SMALL(IF(($G$4:$G$253=P209),ROW($G$4:$G$253)-ROW($G$3),"" ),N209),"")</f>
        <v/>
      </c>
      <c r="P209" s="127" t="str">
        <f t="array" ref="P209">IFERROR(SMALL($G$4:$G$253,E209),"")</f>
        <v/>
      </c>
      <c r="Q209" s="127" t="str">
        <f t="shared" si="54"/>
        <v/>
      </c>
      <c r="R209" s="126" t="str">
        <f t="shared" si="55"/>
        <v/>
      </c>
      <c r="S209" s="126" t="str">
        <f t="shared" si="48"/>
        <v/>
      </c>
      <c r="T209" s="128" t="str">
        <f>IF(OR(S209="R",S209=""),"",COUNTIFS($P$4:P209,P209,$S$4:S209,"S")*U209)</f>
        <v/>
      </c>
      <c r="U209" s="128" t="str">
        <f>IF(ISNUMBER(N209),IF($C$11=TRUE,IF(OR(ISODD(COUNTIF($N$4:N209,1)),Y209="Yes"),1,-1),1),"")</f>
        <v/>
      </c>
      <c r="V209" s="128" t="str">
        <f ca="1">IFERROR(IF(AND(S209="R",W209&lt;&gt;""),1,IF(S209="R",MAX(OFFSET(V208,0,0,-1*(ROW(W209)-3-MATCH(MAX($W$4:W208),$W$4:W208,0)),1))+1,"")),"")</f>
        <v/>
      </c>
      <c r="W209" s="129" t="str">
        <f>IFERROR(IF(AND(S209="R", P209&gt;MAX($X$3:X208)),P209,""),"")</f>
        <v/>
      </c>
      <c r="X209" s="129" t="str">
        <f>IFERROR(IF(AND(W209="",Q209&gt;=MAX($X$3:X208)),IF(S209="R",Q209,IF(AND(W209="",P209&lt;=MAX($X$3:X208)),MAX($X$3:X208),"")),IF(W209&lt;&gt;"", Q209,"")),"")</f>
        <v/>
      </c>
      <c r="Y209" s="126" t="str">
        <f>IF(S209="S",IF(OR(P209&lt;=MAX($X$3:X208),P209&gt;=IF(MIN(W$53:$W210)&lt;1,99999999,MIN(W$53:$W210))),"Yes","No"),"")</f>
        <v/>
      </c>
      <c r="AA209" s="130" t="str">
        <f t="shared" si="49"/>
        <v/>
      </c>
      <c r="AB209" s="131" t="str">
        <f t="array" ref="AB209">IF(AA209&lt;=$AA$2,MIN(IF($L$4:$L$503&lt;=AB208,99999999999,$L$4:$L$503)),"")</f>
        <v/>
      </c>
      <c r="AC209" s="130" t="str">
        <f>IF(ISNUMBER(AA209),IF(Dashboard!$H$6&lt;&gt;"Horizontal",AC208+dateDistance,AC208),"")</f>
        <v/>
      </c>
      <c r="AD209" s="130" t="str">
        <f>IF(ISNUMBER(AA209),IF(Dashboard!$H$6="Horizontal",AD208+dateDistance,AD208),"")</f>
        <v/>
      </c>
      <c r="AE209" s="132" t="str">
        <f>IF(ISNUMBER(P209), IF(Dashboard!$H$6="Horizontal",IF(S209="S",INDEX($AC$4:$AC$503,MATCH(P209,$AB$4:$AB$503,0),1)+boxDistance*(T209+IF(Y209="No",IF(ISODD(T209),IF(T209&gt;0,1,-1),0),0))*IF(Y209="No",IF(ISODD(T209),0.5,-0.5),1),timelineStartRow - boxDistance * V209),IF( S209="S",INDEX($AC$4:$AC$503,MATCH(P209,$AB$4:$AB$503,0),1),INDEX($AC$4:$AC$503,MATCH(P209,$AB$4:$AB$503,0),1)&amp;"-"&amp;INDEX($AC$4:$AC$503,MATCH(Q209,$AB$4:$AB$503,0),1))),"")</f>
        <v/>
      </c>
      <c r="AF209" s="132" t="str">
        <f>IF(ISNUMBER(P209), IF(Dashboard!$H$6&lt;&gt;"Horizontal",IF(S209="S",INDEX($AD$4:$AD$503,MATCH(P209,$AB$4:$AB$503,0),1)+boxDistance*(T209+IF(Y209="No",IF(ISODD(T209),IF(T209&gt;0,1,-1),0),0))*IF(Y209="No",IF(ISODD(T209),0.5,-0.5),1),timelineStartColumn-boxDistance * IF(AND(ISNUMBER(V209),V209&gt;1),V209*0.85,1)   ),IF( S209="S",INDEX($AD$4:$AD$503,MATCH(P209,$AB$4:$AB$503,0),1),INDEX($AD$4:$AD$503,MATCH(P209,$AB$4:$AB$503,0),1)&amp;"-"&amp;INDEX($AD$4:$AD$503,MATCH(Q209,$AB$4:$AB$503,0),1))),"")</f>
        <v/>
      </c>
      <c r="AG209" s="133" t="str">
        <f t="shared" si="56"/>
        <v/>
      </c>
      <c r="AH209" s="134" t="str">
        <f t="shared" si="50"/>
        <v/>
      </c>
      <c r="AI209" s="135" t="str">
        <f t="shared" si="51"/>
        <v/>
      </c>
      <c r="AJ209" s="135" t="str">
        <f t="shared" si="57"/>
        <v/>
      </c>
      <c r="AK209" s="126" t="str">
        <f t="shared" si="58"/>
        <v/>
      </c>
      <c r="AL209" s="126" t="str">
        <f ca="1">IFERROR(IF(AK209="","", MATCH(AK209,OFFSET(Icons!$B$5,1,AM209-3,20,1),0)+5),"")</f>
        <v/>
      </c>
      <c r="AM209" s="126" t="str">
        <f t="shared" si="59"/>
        <v/>
      </c>
      <c r="AN209" s="90"/>
    </row>
    <row r="210" spans="5:40" ht="15" customHeight="1" x14ac:dyDescent="0.25">
      <c r="E210" s="126">
        <v>207</v>
      </c>
      <c r="F210" s="126"/>
      <c r="G210" s="127"/>
      <c r="H210" s="127"/>
      <c r="I210" s="126"/>
      <c r="K210" s="137" t="str">
        <f t="shared" si="52"/>
        <v/>
      </c>
      <c r="L210" s="127" t="str">
        <f t="shared" si="47"/>
        <v/>
      </c>
      <c r="N210" s="128" t="str">
        <f t="shared" si="53"/>
        <v/>
      </c>
      <c r="O210" s="126" t="str">
        <f t="array" ref="O210">IFERROR(SMALL(IF(($G$4:$G$253=P210),ROW($G$4:$G$253)-ROW($G$3),"" ),N210),"")</f>
        <v/>
      </c>
      <c r="P210" s="127" t="str">
        <f t="array" ref="P210">IFERROR(SMALL($G$4:$G$253,E210),"")</f>
        <v/>
      </c>
      <c r="Q210" s="127" t="str">
        <f t="shared" si="54"/>
        <v/>
      </c>
      <c r="R210" s="126" t="str">
        <f t="shared" si="55"/>
        <v/>
      </c>
      <c r="S210" s="126" t="str">
        <f t="shared" si="48"/>
        <v/>
      </c>
      <c r="T210" s="128" t="str">
        <f>IF(OR(S210="R",S210=""),"",COUNTIFS($P$4:P210,P210,$S$4:S210,"S")*U210)</f>
        <v/>
      </c>
      <c r="U210" s="128" t="str">
        <f>IF(ISNUMBER(N210),IF($C$11=TRUE,IF(OR(ISODD(COUNTIF($N$4:N210,1)),Y210="Yes"),1,-1),1),"")</f>
        <v/>
      </c>
      <c r="V210" s="128" t="str">
        <f ca="1">IFERROR(IF(AND(S210="R",W210&lt;&gt;""),1,IF(S210="R",MAX(OFFSET(V209,0,0,-1*(ROW(W210)-3-MATCH(MAX($W$4:W209),$W$4:W209,0)),1))+1,"")),"")</f>
        <v/>
      </c>
      <c r="W210" s="129" t="str">
        <f>IFERROR(IF(AND(S210="R", P210&gt;MAX($X$3:X209)),P210,""),"")</f>
        <v/>
      </c>
      <c r="X210" s="129" t="str">
        <f>IFERROR(IF(AND(W210="",Q210&gt;=MAX($X$3:X209)),IF(S210="R",Q210,IF(AND(W210="",P210&lt;=MAX($X$3:X209)),MAX($X$3:X209),"")),IF(W210&lt;&gt;"", Q210,"")),"")</f>
        <v/>
      </c>
      <c r="Y210" s="126" t="str">
        <f>IF(S210="S",IF(OR(P210&lt;=MAX($X$3:X209),P210&gt;=IF(MIN(W$53:$W211)&lt;1,99999999,MIN(W$53:$W211))),"Yes","No"),"")</f>
        <v/>
      </c>
      <c r="AA210" s="130" t="str">
        <f t="shared" si="49"/>
        <v/>
      </c>
      <c r="AB210" s="131" t="str">
        <f t="array" ref="AB210">IF(AA210&lt;=$AA$2,MIN(IF($L$4:$L$503&lt;=AB209,99999999999,$L$4:$L$503)),"")</f>
        <v/>
      </c>
      <c r="AC210" s="130" t="str">
        <f>IF(ISNUMBER(AA210),IF(Dashboard!$H$6&lt;&gt;"Horizontal",AC209+dateDistance,AC209),"")</f>
        <v/>
      </c>
      <c r="AD210" s="130" t="str">
        <f>IF(ISNUMBER(AA210),IF(Dashboard!$H$6="Horizontal",AD209+dateDistance,AD209),"")</f>
        <v/>
      </c>
      <c r="AE210" s="132" t="str">
        <f>IF(ISNUMBER(P210), IF(Dashboard!$H$6="Horizontal",IF(S210="S",INDEX($AC$4:$AC$503,MATCH(P210,$AB$4:$AB$503,0),1)+boxDistance*(T210+IF(Y210="No",IF(ISODD(T210),IF(T210&gt;0,1,-1),0),0))*IF(Y210="No",IF(ISODD(T210),0.5,-0.5),1),timelineStartRow - boxDistance * V210),IF( S210="S",INDEX($AC$4:$AC$503,MATCH(P210,$AB$4:$AB$503,0),1),INDEX($AC$4:$AC$503,MATCH(P210,$AB$4:$AB$503,0),1)&amp;"-"&amp;INDEX($AC$4:$AC$503,MATCH(Q210,$AB$4:$AB$503,0),1))),"")</f>
        <v/>
      </c>
      <c r="AF210" s="132" t="str">
        <f>IF(ISNUMBER(P210), IF(Dashboard!$H$6&lt;&gt;"Horizontal",IF(S210="S",INDEX($AD$4:$AD$503,MATCH(P210,$AB$4:$AB$503,0),1)+boxDistance*(T210+IF(Y210="No",IF(ISODD(T210),IF(T210&gt;0,1,-1),0),0))*IF(Y210="No",IF(ISODD(T210),0.5,-0.5),1),timelineStartColumn-boxDistance * IF(AND(ISNUMBER(V210),V210&gt;1),V210*0.85,1)   ),IF( S210="S",INDEX($AD$4:$AD$503,MATCH(P210,$AB$4:$AB$503,0),1),INDEX($AD$4:$AD$503,MATCH(P210,$AB$4:$AB$503,0),1)&amp;"-"&amp;INDEX($AD$4:$AD$503,MATCH(Q210,$AB$4:$AB$503,0),1))),"")</f>
        <v/>
      </c>
      <c r="AG210" s="133" t="str">
        <f t="shared" si="56"/>
        <v/>
      </c>
      <c r="AH210" s="134" t="str">
        <f t="shared" si="50"/>
        <v/>
      </c>
      <c r="AI210" s="135" t="str">
        <f t="shared" si="51"/>
        <v/>
      </c>
      <c r="AJ210" s="135" t="str">
        <f t="shared" si="57"/>
        <v/>
      </c>
      <c r="AK210" s="126" t="str">
        <f t="shared" si="58"/>
        <v/>
      </c>
      <c r="AL210" s="126" t="str">
        <f ca="1">IFERROR(IF(AK210="","", MATCH(AK210,OFFSET(Icons!$B$5,1,AM210-3,20,1),0)+5),"")</f>
        <v/>
      </c>
      <c r="AM210" s="126" t="str">
        <f t="shared" si="59"/>
        <v/>
      </c>
      <c r="AN210" s="90"/>
    </row>
    <row r="211" spans="5:40" ht="15" customHeight="1" x14ac:dyDescent="0.25">
      <c r="E211" s="126">
        <v>208</v>
      </c>
      <c r="F211" s="126"/>
      <c r="G211" s="127"/>
      <c r="H211" s="127"/>
      <c r="I211" s="126"/>
      <c r="K211" s="137" t="str">
        <f t="shared" si="52"/>
        <v/>
      </c>
      <c r="L211" s="127" t="str">
        <f t="shared" si="47"/>
        <v/>
      </c>
      <c r="N211" s="128" t="str">
        <f t="shared" si="53"/>
        <v/>
      </c>
      <c r="O211" s="126" t="str">
        <f t="array" ref="O211">IFERROR(SMALL(IF(($G$4:$G$253=P211),ROW($G$4:$G$253)-ROW($G$3),"" ),N211),"")</f>
        <v/>
      </c>
      <c r="P211" s="127" t="str">
        <f t="array" ref="P211">IFERROR(SMALL($G$4:$G$253,E211),"")</f>
        <v/>
      </c>
      <c r="Q211" s="127" t="str">
        <f t="shared" si="54"/>
        <v/>
      </c>
      <c r="R211" s="126" t="str">
        <f t="shared" si="55"/>
        <v/>
      </c>
      <c r="S211" s="126" t="str">
        <f t="shared" si="48"/>
        <v/>
      </c>
      <c r="T211" s="128" t="str">
        <f>IF(OR(S211="R",S211=""),"",COUNTIFS($P$4:P211,P211,$S$4:S211,"S")*U211)</f>
        <v/>
      </c>
      <c r="U211" s="128" t="str">
        <f>IF(ISNUMBER(N211),IF($C$11=TRUE,IF(OR(ISODD(COUNTIF($N$4:N211,1)),Y211="Yes"),1,-1),1),"")</f>
        <v/>
      </c>
      <c r="V211" s="128" t="str">
        <f ca="1">IFERROR(IF(AND(S211="R",W211&lt;&gt;""),1,IF(S211="R",MAX(OFFSET(V210,0,0,-1*(ROW(W211)-3-MATCH(MAX($W$4:W210),$W$4:W210,0)),1))+1,"")),"")</f>
        <v/>
      </c>
      <c r="W211" s="129" t="str">
        <f>IFERROR(IF(AND(S211="R", P211&gt;MAX($X$3:X210)),P211,""),"")</f>
        <v/>
      </c>
      <c r="X211" s="129" t="str">
        <f>IFERROR(IF(AND(W211="",Q211&gt;=MAX($X$3:X210)),IF(S211="R",Q211,IF(AND(W211="",P211&lt;=MAX($X$3:X210)),MAX($X$3:X210),"")),IF(W211&lt;&gt;"", Q211,"")),"")</f>
        <v/>
      </c>
      <c r="Y211" s="126" t="str">
        <f>IF(S211="S",IF(OR(P211&lt;=MAX($X$3:X210),P211&gt;=IF(MIN(W$53:$W212)&lt;1,99999999,MIN(W$53:$W212))),"Yes","No"),"")</f>
        <v/>
      </c>
      <c r="AA211" s="130" t="str">
        <f t="shared" si="49"/>
        <v/>
      </c>
      <c r="AB211" s="131" t="str">
        <f t="array" ref="AB211">IF(AA211&lt;=$AA$2,MIN(IF($L$4:$L$503&lt;=AB210,99999999999,$L$4:$L$503)),"")</f>
        <v/>
      </c>
      <c r="AC211" s="130" t="str">
        <f>IF(ISNUMBER(AA211),IF(Dashboard!$H$6&lt;&gt;"Horizontal",AC210+dateDistance,AC210),"")</f>
        <v/>
      </c>
      <c r="AD211" s="130" t="str">
        <f>IF(ISNUMBER(AA211),IF(Dashboard!$H$6="Horizontal",AD210+dateDistance,AD210),"")</f>
        <v/>
      </c>
      <c r="AE211" s="132" t="str">
        <f>IF(ISNUMBER(P211), IF(Dashboard!$H$6="Horizontal",IF(S211="S",INDEX($AC$4:$AC$503,MATCH(P211,$AB$4:$AB$503,0),1)+boxDistance*(T211+IF(Y211="No",IF(ISODD(T211),IF(T211&gt;0,1,-1),0),0))*IF(Y211="No",IF(ISODD(T211),0.5,-0.5),1),timelineStartRow - boxDistance * V211),IF( S211="S",INDEX($AC$4:$AC$503,MATCH(P211,$AB$4:$AB$503,0),1),INDEX($AC$4:$AC$503,MATCH(P211,$AB$4:$AB$503,0),1)&amp;"-"&amp;INDEX($AC$4:$AC$503,MATCH(Q211,$AB$4:$AB$503,0),1))),"")</f>
        <v/>
      </c>
      <c r="AF211" s="132" t="str">
        <f>IF(ISNUMBER(P211), IF(Dashboard!$H$6&lt;&gt;"Horizontal",IF(S211="S",INDEX($AD$4:$AD$503,MATCH(P211,$AB$4:$AB$503,0),1)+boxDistance*(T211+IF(Y211="No",IF(ISODD(T211),IF(T211&gt;0,1,-1),0),0))*IF(Y211="No",IF(ISODD(T211),0.5,-0.5),1),timelineStartColumn-boxDistance * IF(AND(ISNUMBER(V211),V211&gt;1),V211*0.85,1)   ),IF( S211="S",INDEX($AD$4:$AD$503,MATCH(P211,$AB$4:$AB$503,0),1),INDEX($AD$4:$AD$503,MATCH(P211,$AB$4:$AB$503,0),1)&amp;"-"&amp;INDEX($AD$4:$AD$503,MATCH(Q211,$AB$4:$AB$503,0),1))),"")</f>
        <v/>
      </c>
      <c r="AG211" s="133" t="str">
        <f t="shared" si="56"/>
        <v/>
      </c>
      <c r="AH211" s="134" t="str">
        <f t="shared" si="50"/>
        <v/>
      </c>
      <c r="AI211" s="135" t="str">
        <f t="shared" si="51"/>
        <v/>
      </c>
      <c r="AJ211" s="135" t="str">
        <f t="shared" si="57"/>
        <v/>
      </c>
      <c r="AK211" s="126" t="str">
        <f t="shared" si="58"/>
        <v/>
      </c>
      <c r="AL211" s="126" t="str">
        <f ca="1">IFERROR(IF(AK211="","", MATCH(AK211,OFFSET(Icons!$B$5,1,AM211-3,20,1),0)+5),"")</f>
        <v/>
      </c>
      <c r="AM211" s="126" t="str">
        <f t="shared" si="59"/>
        <v/>
      </c>
      <c r="AN211" s="90"/>
    </row>
    <row r="212" spans="5:40" ht="15" customHeight="1" x14ac:dyDescent="0.25">
      <c r="E212" s="126">
        <v>209</v>
      </c>
      <c r="F212" s="126"/>
      <c r="G212" s="127"/>
      <c r="H212" s="127"/>
      <c r="I212" s="126"/>
      <c r="K212" s="137" t="str">
        <f t="shared" si="52"/>
        <v/>
      </c>
      <c r="L212" s="127" t="str">
        <f t="shared" si="47"/>
        <v/>
      </c>
      <c r="N212" s="128" t="str">
        <f t="shared" si="53"/>
        <v/>
      </c>
      <c r="O212" s="126" t="str">
        <f t="array" ref="O212">IFERROR(SMALL(IF(($G$4:$G$253=P212),ROW($G$4:$G$253)-ROW($G$3),"" ),N212),"")</f>
        <v/>
      </c>
      <c r="P212" s="127" t="str">
        <f t="array" ref="P212">IFERROR(SMALL($G$4:$G$253,E212),"")</f>
        <v/>
      </c>
      <c r="Q212" s="127" t="str">
        <f t="shared" si="54"/>
        <v/>
      </c>
      <c r="R212" s="126" t="str">
        <f t="shared" si="55"/>
        <v/>
      </c>
      <c r="S212" s="126" t="str">
        <f t="shared" si="48"/>
        <v/>
      </c>
      <c r="T212" s="128" t="str">
        <f>IF(OR(S212="R",S212=""),"",COUNTIFS($P$4:P212,P212,$S$4:S212,"S")*U212)</f>
        <v/>
      </c>
      <c r="U212" s="128" t="str">
        <f>IF(ISNUMBER(N212),IF($C$11=TRUE,IF(OR(ISODD(COUNTIF($N$4:N212,1)),Y212="Yes"),1,-1),1),"")</f>
        <v/>
      </c>
      <c r="V212" s="128" t="str">
        <f ca="1">IFERROR(IF(AND(S212="R",W212&lt;&gt;""),1,IF(S212="R",MAX(OFFSET(V211,0,0,-1*(ROW(W212)-3-MATCH(MAX($W$4:W211),$W$4:W211,0)),1))+1,"")),"")</f>
        <v/>
      </c>
      <c r="W212" s="129" t="str">
        <f>IFERROR(IF(AND(S212="R", P212&gt;MAX($X$3:X211)),P212,""),"")</f>
        <v/>
      </c>
      <c r="X212" s="129" t="str">
        <f>IFERROR(IF(AND(W212="",Q212&gt;=MAX($X$3:X211)),IF(S212="R",Q212,IF(AND(W212="",P212&lt;=MAX($X$3:X211)),MAX($X$3:X211),"")),IF(W212&lt;&gt;"", Q212,"")),"")</f>
        <v/>
      </c>
      <c r="Y212" s="126" t="str">
        <f>IF(S212="S",IF(OR(P212&lt;=MAX($X$3:X211),P212&gt;=IF(MIN(W$53:$W213)&lt;1,99999999,MIN(W$53:$W213))),"Yes","No"),"")</f>
        <v/>
      </c>
      <c r="AA212" s="130" t="str">
        <f t="shared" si="49"/>
        <v/>
      </c>
      <c r="AB212" s="131" t="str">
        <f t="array" ref="AB212">IF(AA212&lt;=$AA$2,MIN(IF($L$4:$L$503&lt;=AB211,99999999999,$L$4:$L$503)),"")</f>
        <v/>
      </c>
      <c r="AC212" s="130" t="str">
        <f>IF(ISNUMBER(AA212),IF(Dashboard!$H$6&lt;&gt;"Horizontal",AC211+dateDistance,AC211),"")</f>
        <v/>
      </c>
      <c r="AD212" s="130" t="str">
        <f>IF(ISNUMBER(AA212),IF(Dashboard!$H$6="Horizontal",AD211+dateDistance,AD211),"")</f>
        <v/>
      </c>
      <c r="AE212" s="132" t="str">
        <f>IF(ISNUMBER(P212), IF(Dashboard!$H$6="Horizontal",IF(S212="S",INDEX($AC$4:$AC$503,MATCH(P212,$AB$4:$AB$503,0),1)+boxDistance*(T212+IF(Y212="No",IF(ISODD(T212),IF(T212&gt;0,1,-1),0),0))*IF(Y212="No",IF(ISODD(T212),0.5,-0.5),1),timelineStartRow - boxDistance * V212),IF( S212="S",INDEX($AC$4:$AC$503,MATCH(P212,$AB$4:$AB$503,0),1),INDEX($AC$4:$AC$503,MATCH(P212,$AB$4:$AB$503,0),1)&amp;"-"&amp;INDEX($AC$4:$AC$503,MATCH(Q212,$AB$4:$AB$503,0),1))),"")</f>
        <v/>
      </c>
      <c r="AF212" s="132" t="str">
        <f>IF(ISNUMBER(P212), IF(Dashboard!$H$6&lt;&gt;"Horizontal",IF(S212="S",INDEX($AD$4:$AD$503,MATCH(P212,$AB$4:$AB$503,0),1)+boxDistance*(T212+IF(Y212="No",IF(ISODD(T212),IF(T212&gt;0,1,-1),0),0))*IF(Y212="No",IF(ISODD(T212),0.5,-0.5),1),timelineStartColumn-boxDistance * IF(AND(ISNUMBER(V212),V212&gt;1),V212*0.85,1)   ),IF( S212="S",INDEX($AD$4:$AD$503,MATCH(P212,$AB$4:$AB$503,0),1),INDEX($AD$4:$AD$503,MATCH(P212,$AB$4:$AB$503,0),1)&amp;"-"&amp;INDEX($AD$4:$AD$503,MATCH(Q212,$AB$4:$AB$503,0),1))),"")</f>
        <v/>
      </c>
      <c r="AG212" s="133" t="str">
        <f t="shared" si="56"/>
        <v/>
      </c>
      <c r="AH212" s="134" t="str">
        <f t="shared" si="50"/>
        <v/>
      </c>
      <c r="AI212" s="135" t="str">
        <f t="shared" si="51"/>
        <v/>
      </c>
      <c r="AJ212" s="135" t="str">
        <f t="shared" si="57"/>
        <v/>
      </c>
      <c r="AK212" s="126" t="str">
        <f t="shared" si="58"/>
        <v/>
      </c>
      <c r="AL212" s="126" t="str">
        <f ca="1">IFERROR(IF(AK212="","", MATCH(AK212,OFFSET(Icons!$B$5,1,AM212-3,20,1),0)+5),"")</f>
        <v/>
      </c>
      <c r="AM212" s="126" t="str">
        <f t="shared" si="59"/>
        <v/>
      </c>
      <c r="AN212" s="90"/>
    </row>
    <row r="213" spans="5:40" ht="15" customHeight="1" x14ac:dyDescent="0.25">
      <c r="E213" s="126">
        <v>210</v>
      </c>
      <c r="F213" s="126"/>
      <c r="G213" s="127"/>
      <c r="H213" s="127"/>
      <c r="I213" s="126"/>
      <c r="K213" s="137" t="str">
        <f t="shared" si="52"/>
        <v/>
      </c>
      <c r="L213" s="127" t="str">
        <f t="shared" si="47"/>
        <v/>
      </c>
      <c r="N213" s="128" t="str">
        <f t="shared" si="53"/>
        <v/>
      </c>
      <c r="O213" s="126" t="str">
        <f t="array" ref="O213">IFERROR(SMALL(IF(($G$4:$G$253=P213),ROW($G$4:$G$253)-ROW($G$3),"" ),N213),"")</f>
        <v/>
      </c>
      <c r="P213" s="127" t="str">
        <f t="array" ref="P213">IFERROR(SMALL($G$4:$G$253,E213),"")</f>
        <v/>
      </c>
      <c r="Q213" s="127" t="str">
        <f t="shared" si="54"/>
        <v/>
      </c>
      <c r="R213" s="126" t="str">
        <f t="shared" si="55"/>
        <v/>
      </c>
      <c r="S213" s="126" t="str">
        <f t="shared" si="48"/>
        <v/>
      </c>
      <c r="T213" s="128" t="str">
        <f>IF(OR(S213="R",S213=""),"",COUNTIFS($P$4:P213,P213,$S$4:S213,"S")*U213)</f>
        <v/>
      </c>
      <c r="U213" s="128" t="str">
        <f>IF(ISNUMBER(N213),IF($C$11=TRUE,IF(OR(ISODD(COUNTIF($N$4:N213,1)),Y213="Yes"),1,-1),1),"")</f>
        <v/>
      </c>
      <c r="V213" s="128" t="str">
        <f ca="1">IFERROR(IF(AND(S213="R",W213&lt;&gt;""),1,IF(S213="R",MAX(OFFSET(V212,0,0,-1*(ROW(W213)-3-MATCH(MAX($W$4:W212),$W$4:W212,0)),1))+1,"")),"")</f>
        <v/>
      </c>
      <c r="W213" s="129" t="str">
        <f>IFERROR(IF(AND(S213="R", P213&gt;MAX($X$3:X212)),P213,""),"")</f>
        <v/>
      </c>
      <c r="X213" s="129" t="str">
        <f>IFERROR(IF(AND(W213="",Q213&gt;=MAX($X$3:X212)),IF(S213="R",Q213,IF(AND(W213="",P213&lt;=MAX($X$3:X212)),MAX($X$3:X212),"")),IF(W213&lt;&gt;"", Q213,"")),"")</f>
        <v/>
      </c>
      <c r="Y213" s="126" t="str">
        <f>IF(S213="S",IF(OR(P213&lt;=MAX($X$3:X212),P213&gt;=IF(MIN(W$53:$W214)&lt;1,99999999,MIN(W$53:$W214))),"Yes","No"),"")</f>
        <v/>
      </c>
      <c r="AA213" s="130" t="str">
        <f t="shared" si="49"/>
        <v/>
      </c>
      <c r="AB213" s="131" t="str">
        <f t="array" ref="AB213">IF(AA213&lt;=$AA$2,MIN(IF($L$4:$L$503&lt;=AB212,99999999999,$L$4:$L$503)),"")</f>
        <v/>
      </c>
      <c r="AC213" s="130" t="str">
        <f>IF(ISNUMBER(AA213),IF(Dashboard!$H$6&lt;&gt;"Horizontal",AC212+dateDistance,AC212),"")</f>
        <v/>
      </c>
      <c r="AD213" s="130" t="str">
        <f>IF(ISNUMBER(AA213),IF(Dashboard!$H$6="Horizontal",AD212+dateDistance,AD212),"")</f>
        <v/>
      </c>
      <c r="AE213" s="132" t="str">
        <f>IF(ISNUMBER(P213), IF(Dashboard!$H$6="Horizontal",IF(S213="S",INDEX($AC$4:$AC$503,MATCH(P213,$AB$4:$AB$503,0),1)+boxDistance*(T213+IF(Y213="No",IF(ISODD(T213),IF(T213&gt;0,1,-1),0),0))*IF(Y213="No",IF(ISODD(T213),0.5,-0.5),1),timelineStartRow - boxDistance * V213),IF( S213="S",INDEX($AC$4:$AC$503,MATCH(P213,$AB$4:$AB$503,0),1),INDEX($AC$4:$AC$503,MATCH(P213,$AB$4:$AB$503,0),1)&amp;"-"&amp;INDEX($AC$4:$AC$503,MATCH(Q213,$AB$4:$AB$503,0),1))),"")</f>
        <v/>
      </c>
      <c r="AF213" s="132" t="str">
        <f>IF(ISNUMBER(P213), IF(Dashboard!$H$6&lt;&gt;"Horizontal",IF(S213="S",INDEX($AD$4:$AD$503,MATCH(P213,$AB$4:$AB$503,0),1)+boxDistance*(T213+IF(Y213="No",IF(ISODD(T213),IF(T213&gt;0,1,-1),0),0))*IF(Y213="No",IF(ISODD(T213),0.5,-0.5),1),timelineStartColumn-boxDistance * IF(AND(ISNUMBER(V213),V213&gt;1),V213*0.85,1)   ),IF( S213="S",INDEX($AD$4:$AD$503,MATCH(P213,$AB$4:$AB$503,0),1),INDEX($AD$4:$AD$503,MATCH(P213,$AB$4:$AB$503,0),1)&amp;"-"&amp;INDEX($AD$4:$AD$503,MATCH(Q213,$AB$4:$AB$503,0),1))),"")</f>
        <v/>
      </c>
      <c r="AG213" s="133" t="str">
        <f t="shared" si="56"/>
        <v/>
      </c>
      <c r="AH213" s="134" t="str">
        <f t="shared" si="50"/>
        <v/>
      </c>
      <c r="AI213" s="135" t="str">
        <f t="shared" si="51"/>
        <v/>
      </c>
      <c r="AJ213" s="135" t="str">
        <f t="shared" si="57"/>
        <v/>
      </c>
      <c r="AK213" s="126" t="str">
        <f t="shared" si="58"/>
        <v/>
      </c>
      <c r="AL213" s="126" t="str">
        <f ca="1">IFERROR(IF(AK213="","", MATCH(AK213,OFFSET(Icons!$B$5,1,AM213-3,20,1),0)+5),"")</f>
        <v/>
      </c>
      <c r="AM213" s="126" t="str">
        <f t="shared" si="59"/>
        <v/>
      </c>
      <c r="AN213" s="90"/>
    </row>
    <row r="214" spans="5:40" ht="15" customHeight="1" x14ac:dyDescent="0.25">
      <c r="E214" s="126">
        <v>211</v>
      </c>
      <c r="F214" s="126"/>
      <c r="G214" s="127"/>
      <c r="H214" s="127"/>
      <c r="I214" s="126"/>
      <c r="K214" s="137" t="str">
        <f t="shared" si="52"/>
        <v/>
      </c>
      <c r="L214" s="127" t="str">
        <f t="shared" si="47"/>
        <v/>
      </c>
      <c r="N214" s="128" t="str">
        <f t="shared" si="53"/>
        <v/>
      </c>
      <c r="O214" s="126" t="str">
        <f t="array" ref="O214">IFERROR(SMALL(IF(($G$4:$G$253=P214),ROW($G$4:$G$253)-ROW($G$3),"" ),N214),"")</f>
        <v/>
      </c>
      <c r="P214" s="127" t="str">
        <f t="array" ref="P214">IFERROR(SMALL($G$4:$G$253,E214),"")</f>
        <v/>
      </c>
      <c r="Q214" s="127" t="str">
        <f t="shared" si="54"/>
        <v/>
      </c>
      <c r="R214" s="126" t="str">
        <f t="shared" si="55"/>
        <v/>
      </c>
      <c r="S214" s="126" t="str">
        <f t="shared" si="48"/>
        <v/>
      </c>
      <c r="T214" s="128" t="str">
        <f>IF(OR(S214="R",S214=""),"",COUNTIFS($P$4:P214,P214,$S$4:S214,"S")*U214)</f>
        <v/>
      </c>
      <c r="U214" s="128" t="str">
        <f>IF(ISNUMBER(N214),IF($C$11=TRUE,IF(OR(ISODD(COUNTIF($N$4:N214,1)),Y214="Yes"),1,-1),1),"")</f>
        <v/>
      </c>
      <c r="V214" s="128" t="str">
        <f ca="1">IFERROR(IF(AND(S214="R",W214&lt;&gt;""),1,IF(S214="R",MAX(OFFSET(V213,0,0,-1*(ROW(W214)-3-MATCH(MAX($W$4:W213),$W$4:W213,0)),1))+1,"")),"")</f>
        <v/>
      </c>
      <c r="W214" s="129" t="str">
        <f>IFERROR(IF(AND(S214="R", P214&gt;MAX($X$3:X213)),P214,""),"")</f>
        <v/>
      </c>
      <c r="X214" s="129" t="str">
        <f>IFERROR(IF(AND(W214="",Q214&gt;=MAX($X$3:X213)),IF(S214="R",Q214,IF(AND(W214="",P214&lt;=MAX($X$3:X213)),MAX($X$3:X213),"")),IF(W214&lt;&gt;"", Q214,"")),"")</f>
        <v/>
      </c>
      <c r="Y214" s="126" t="str">
        <f>IF(S214="S",IF(OR(P214&lt;=MAX($X$3:X213),P214&gt;=IF(MIN(W$53:$W215)&lt;1,99999999,MIN(W$53:$W215))),"Yes","No"),"")</f>
        <v/>
      </c>
      <c r="AA214" s="130" t="str">
        <f t="shared" si="49"/>
        <v/>
      </c>
      <c r="AB214" s="131" t="str">
        <f t="array" ref="AB214">IF(AA214&lt;=$AA$2,MIN(IF($L$4:$L$503&lt;=AB213,99999999999,$L$4:$L$503)),"")</f>
        <v/>
      </c>
      <c r="AC214" s="130" t="str">
        <f>IF(ISNUMBER(AA214),IF(Dashboard!$H$6&lt;&gt;"Horizontal",AC213+dateDistance,AC213),"")</f>
        <v/>
      </c>
      <c r="AD214" s="130" t="str">
        <f>IF(ISNUMBER(AA214),IF(Dashboard!$H$6="Horizontal",AD213+dateDistance,AD213),"")</f>
        <v/>
      </c>
      <c r="AE214" s="132" t="str">
        <f>IF(ISNUMBER(P214), IF(Dashboard!$H$6="Horizontal",IF(S214="S",INDEX($AC$4:$AC$503,MATCH(P214,$AB$4:$AB$503,0),1)+boxDistance*(T214+IF(Y214="No",IF(ISODD(T214),IF(T214&gt;0,1,-1),0),0))*IF(Y214="No",IF(ISODD(T214),0.5,-0.5),1),timelineStartRow - boxDistance * V214),IF( S214="S",INDEX($AC$4:$AC$503,MATCH(P214,$AB$4:$AB$503,0),1),INDEX($AC$4:$AC$503,MATCH(P214,$AB$4:$AB$503,0),1)&amp;"-"&amp;INDEX($AC$4:$AC$503,MATCH(Q214,$AB$4:$AB$503,0),1))),"")</f>
        <v/>
      </c>
      <c r="AF214" s="132" t="str">
        <f>IF(ISNUMBER(P214), IF(Dashboard!$H$6&lt;&gt;"Horizontal",IF(S214="S",INDEX($AD$4:$AD$503,MATCH(P214,$AB$4:$AB$503,0),1)+boxDistance*(T214+IF(Y214="No",IF(ISODD(T214),IF(T214&gt;0,1,-1),0),0))*IF(Y214="No",IF(ISODD(T214),0.5,-0.5),1),timelineStartColumn-boxDistance * IF(AND(ISNUMBER(V214),V214&gt;1),V214*0.85,1)   ),IF( S214="S",INDEX($AD$4:$AD$503,MATCH(P214,$AB$4:$AB$503,0),1),INDEX($AD$4:$AD$503,MATCH(P214,$AB$4:$AB$503,0),1)&amp;"-"&amp;INDEX($AD$4:$AD$503,MATCH(Q214,$AB$4:$AB$503,0),1))),"")</f>
        <v/>
      </c>
      <c r="AG214" s="133" t="str">
        <f t="shared" si="56"/>
        <v/>
      </c>
      <c r="AH214" s="134" t="str">
        <f t="shared" si="50"/>
        <v/>
      </c>
      <c r="AI214" s="135" t="str">
        <f t="shared" si="51"/>
        <v/>
      </c>
      <c r="AJ214" s="135" t="str">
        <f t="shared" si="57"/>
        <v/>
      </c>
      <c r="AK214" s="126" t="str">
        <f t="shared" si="58"/>
        <v/>
      </c>
      <c r="AL214" s="126" t="str">
        <f ca="1">IFERROR(IF(AK214="","", MATCH(AK214,OFFSET(Icons!$B$5,1,AM214-3,20,1),0)+5),"")</f>
        <v/>
      </c>
      <c r="AM214" s="126" t="str">
        <f t="shared" si="59"/>
        <v/>
      </c>
      <c r="AN214" s="90"/>
    </row>
    <row r="215" spans="5:40" ht="15" customHeight="1" x14ac:dyDescent="0.25">
      <c r="E215" s="126">
        <v>212</v>
      </c>
      <c r="F215" s="126"/>
      <c r="G215" s="127"/>
      <c r="H215" s="127"/>
      <c r="I215" s="126"/>
      <c r="K215" s="137" t="str">
        <f t="shared" si="52"/>
        <v/>
      </c>
      <c r="L215" s="127" t="str">
        <f t="shared" si="47"/>
        <v/>
      </c>
      <c r="N215" s="128" t="str">
        <f t="shared" si="53"/>
        <v/>
      </c>
      <c r="O215" s="126" t="str">
        <f t="array" ref="O215">IFERROR(SMALL(IF(($G$4:$G$253=P215),ROW($G$4:$G$253)-ROW($G$3),"" ),N215),"")</f>
        <v/>
      </c>
      <c r="P215" s="127" t="str">
        <f t="array" ref="P215">IFERROR(SMALL($G$4:$G$253,E215),"")</f>
        <v/>
      </c>
      <c r="Q215" s="127" t="str">
        <f t="shared" si="54"/>
        <v/>
      </c>
      <c r="R215" s="126" t="str">
        <f t="shared" si="55"/>
        <v/>
      </c>
      <c r="S215" s="126" t="str">
        <f t="shared" si="48"/>
        <v/>
      </c>
      <c r="T215" s="128" t="str">
        <f>IF(OR(S215="R",S215=""),"",COUNTIFS($P$4:P215,P215,$S$4:S215,"S")*U215)</f>
        <v/>
      </c>
      <c r="U215" s="128" t="str">
        <f>IF(ISNUMBER(N215),IF($C$11=TRUE,IF(OR(ISODD(COUNTIF($N$4:N215,1)),Y215="Yes"),1,-1),1),"")</f>
        <v/>
      </c>
      <c r="V215" s="128" t="str">
        <f ca="1">IFERROR(IF(AND(S215="R",W215&lt;&gt;""),1,IF(S215="R",MAX(OFFSET(V214,0,0,-1*(ROW(W215)-3-MATCH(MAX($W$4:W214),$W$4:W214,0)),1))+1,"")),"")</f>
        <v/>
      </c>
      <c r="W215" s="129" t="str">
        <f>IFERROR(IF(AND(S215="R", P215&gt;MAX($X$3:X214)),P215,""),"")</f>
        <v/>
      </c>
      <c r="X215" s="129" t="str">
        <f>IFERROR(IF(AND(W215="",Q215&gt;=MAX($X$3:X214)),IF(S215="R",Q215,IF(AND(W215="",P215&lt;=MAX($X$3:X214)),MAX($X$3:X214),"")),IF(W215&lt;&gt;"", Q215,"")),"")</f>
        <v/>
      </c>
      <c r="Y215" s="126" t="str">
        <f>IF(S215="S",IF(OR(P215&lt;=MAX($X$3:X214),P215&gt;=IF(MIN(W$53:$W216)&lt;1,99999999,MIN(W$53:$W216))),"Yes","No"),"")</f>
        <v/>
      </c>
      <c r="AA215" s="130" t="str">
        <f t="shared" si="49"/>
        <v/>
      </c>
      <c r="AB215" s="131" t="str">
        <f t="array" ref="AB215">IF(AA215&lt;=$AA$2,MIN(IF($L$4:$L$503&lt;=AB214,99999999999,$L$4:$L$503)),"")</f>
        <v/>
      </c>
      <c r="AC215" s="130" t="str">
        <f>IF(ISNUMBER(AA215),IF(Dashboard!$H$6&lt;&gt;"Horizontal",AC214+dateDistance,AC214),"")</f>
        <v/>
      </c>
      <c r="AD215" s="130" t="str">
        <f>IF(ISNUMBER(AA215),IF(Dashboard!$H$6="Horizontal",AD214+dateDistance,AD214),"")</f>
        <v/>
      </c>
      <c r="AE215" s="132" t="str">
        <f>IF(ISNUMBER(P215), IF(Dashboard!$H$6="Horizontal",IF(S215="S",INDEX($AC$4:$AC$503,MATCH(P215,$AB$4:$AB$503,0),1)+boxDistance*(T215+IF(Y215="No",IF(ISODD(T215),IF(T215&gt;0,1,-1),0),0))*IF(Y215="No",IF(ISODD(T215),0.5,-0.5),1),timelineStartRow - boxDistance * V215),IF( S215="S",INDEX($AC$4:$AC$503,MATCH(P215,$AB$4:$AB$503,0),1),INDEX($AC$4:$AC$503,MATCH(P215,$AB$4:$AB$503,0),1)&amp;"-"&amp;INDEX($AC$4:$AC$503,MATCH(Q215,$AB$4:$AB$503,0),1))),"")</f>
        <v/>
      </c>
      <c r="AF215" s="132" t="str">
        <f>IF(ISNUMBER(P215), IF(Dashboard!$H$6&lt;&gt;"Horizontal",IF(S215="S",INDEX($AD$4:$AD$503,MATCH(P215,$AB$4:$AB$503,0),1)+boxDistance*(T215+IF(Y215="No",IF(ISODD(T215),IF(T215&gt;0,1,-1),0),0))*IF(Y215="No",IF(ISODD(T215),0.5,-0.5),1),timelineStartColumn-boxDistance * IF(AND(ISNUMBER(V215),V215&gt;1),V215*0.85,1)   ),IF( S215="S",INDEX($AD$4:$AD$503,MATCH(P215,$AB$4:$AB$503,0),1),INDEX($AD$4:$AD$503,MATCH(P215,$AB$4:$AB$503,0),1)&amp;"-"&amp;INDEX($AD$4:$AD$503,MATCH(Q215,$AB$4:$AB$503,0),1))),"")</f>
        <v/>
      </c>
      <c r="AG215" s="133" t="str">
        <f t="shared" si="56"/>
        <v/>
      </c>
      <c r="AH215" s="134" t="str">
        <f t="shared" si="50"/>
        <v/>
      </c>
      <c r="AI215" s="135" t="str">
        <f t="shared" si="51"/>
        <v/>
      </c>
      <c r="AJ215" s="135" t="str">
        <f t="shared" si="57"/>
        <v/>
      </c>
      <c r="AK215" s="126" t="str">
        <f t="shared" si="58"/>
        <v/>
      </c>
      <c r="AL215" s="126" t="str">
        <f ca="1">IFERROR(IF(AK215="","", MATCH(AK215,OFFSET(Icons!$B$5,1,AM215-3,20,1),0)+5),"")</f>
        <v/>
      </c>
      <c r="AM215" s="126" t="str">
        <f t="shared" si="59"/>
        <v/>
      </c>
      <c r="AN215" s="90"/>
    </row>
    <row r="216" spans="5:40" ht="15" customHeight="1" x14ac:dyDescent="0.25">
      <c r="E216" s="126">
        <v>213</v>
      </c>
      <c r="F216" s="126"/>
      <c r="G216" s="127"/>
      <c r="H216" s="127"/>
      <c r="I216" s="126"/>
      <c r="K216" s="137" t="str">
        <f t="shared" si="52"/>
        <v/>
      </c>
      <c r="L216" s="127" t="str">
        <f t="shared" si="47"/>
        <v/>
      </c>
      <c r="N216" s="128" t="str">
        <f t="shared" si="53"/>
        <v/>
      </c>
      <c r="O216" s="126" t="str">
        <f t="array" ref="O216">IFERROR(SMALL(IF(($G$4:$G$253=P216),ROW($G$4:$G$253)-ROW($G$3),"" ),N216),"")</f>
        <v/>
      </c>
      <c r="P216" s="127" t="str">
        <f t="array" ref="P216">IFERROR(SMALL($G$4:$G$253,E216),"")</f>
        <v/>
      </c>
      <c r="Q216" s="127" t="str">
        <f t="shared" si="54"/>
        <v/>
      </c>
      <c r="R216" s="126" t="str">
        <f t="shared" si="55"/>
        <v/>
      </c>
      <c r="S216" s="126" t="str">
        <f t="shared" si="48"/>
        <v/>
      </c>
      <c r="T216" s="128" t="str">
        <f>IF(OR(S216="R",S216=""),"",COUNTIFS($P$4:P216,P216,$S$4:S216,"S")*U216)</f>
        <v/>
      </c>
      <c r="U216" s="128" t="str">
        <f>IF(ISNUMBER(N216),IF($C$11=TRUE,IF(OR(ISODD(COUNTIF($N$4:N216,1)),Y216="Yes"),1,-1),1),"")</f>
        <v/>
      </c>
      <c r="V216" s="128" t="str">
        <f ca="1">IFERROR(IF(AND(S216="R",W216&lt;&gt;""),1,IF(S216="R",MAX(OFFSET(V215,0,0,-1*(ROW(W216)-3-MATCH(MAX($W$4:W215),$W$4:W215,0)),1))+1,"")),"")</f>
        <v/>
      </c>
      <c r="W216" s="129" t="str">
        <f>IFERROR(IF(AND(S216="R", P216&gt;MAX($X$3:X215)),P216,""),"")</f>
        <v/>
      </c>
      <c r="X216" s="129" t="str">
        <f>IFERROR(IF(AND(W216="",Q216&gt;=MAX($X$3:X215)),IF(S216="R",Q216,IF(AND(W216="",P216&lt;=MAX($X$3:X215)),MAX($X$3:X215),"")),IF(W216&lt;&gt;"", Q216,"")),"")</f>
        <v/>
      </c>
      <c r="Y216" s="126" t="str">
        <f>IF(S216="S",IF(OR(P216&lt;=MAX($X$3:X215),P216&gt;=IF(MIN(W$53:$W217)&lt;1,99999999,MIN(W$53:$W217))),"Yes","No"),"")</f>
        <v/>
      </c>
      <c r="AA216" s="130" t="str">
        <f t="shared" si="49"/>
        <v/>
      </c>
      <c r="AB216" s="131" t="str">
        <f t="array" ref="AB216">IF(AA216&lt;=$AA$2,MIN(IF($L$4:$L$503&lt;=AB215,99999999999,$L$4:$L$503)),"")</f>
        <v/>
      </c>
      <c r="AC216" s="130" t="str">
        <f>IF(ISNUMBER(AA216),IF(Dashboard!$H$6&lt;&gt;"Horizontal",AC215+dateDistance,AC215),"")</f>
        <v/>
      </c>
      <c r="AD216" s="130" t="str">
        <f>IF(ISNUMBER(AA216),IF(Dashboard!$H$6="Horizontal",AD215+dateDistance,AD215),"")</f>
        <v/>
      </c>
      <c r="AE216" s="132" t="str">
        <f>IF(ISNUMBER(P216), IF(Dashboard!$H$6="Horizontal",IF(S216="S",INDEX($AC$4:$AC$503,MATCH(P216,$AB$4:$AB$503,0),1)+boxDistance*(T216+IF(Y216="No",IF(ISODD(T216),IF(T216&gt;0,1,-1),0),0))*IF(Y216="No",IF(ISODD(T216),0.5,-0.5),1),timelineStartRow - boxDistance * V216),IF( S216="S",INDEX($AC$4:$AC$503,MATCH(P216,$AB$4:$AB$503,0),1),INDEX($AC$4:$AC$503,MATCH(P216,$AB$4:$AB$503,0),1)&amp;"-"&amp;INDEX($AC$4:$AC$503,MATCH(Q216,$AB$4:$AB$503,0),1))),"")</f>
        <v/>
      </c>
      <c r="AF216" s="132" t="str">
        <f>IF(ISNUMBER(P216), IF(Dashboard!$H$6&lt;&gt;"Horizontal",IF(S216="S",INDEX($AD$4:$AD$503,MATCH(P216,$AB$4:$AB$503,0),1)+boxDistance*(T216+IF(Y216="No",IF(ISODD(T216),IF(T216&gt;0,1,-1),0),0))*IF(Y216="No",IF(ISODD(T216),0.5,-0.5),1),timelineStartColumn-boxDistance * IF(AND(ISNUMBER(V216),V216&gt;1),V216*0.85,1)   ),IF( S216="S",INDEX($AD$4:$AD$503,MATCH(P216,$AB$4:$AB$503,0),1),INDEX($AD$4:$AD$503,MATCH(P216,$AB$4:$AB$503,0),1)&amp;"-"&amp;INDEX($AD$4:$AD$503,MATCH(Q216,$AB$4:$AB$503,0),1))),"")</f>
        <v/>
      </c>
      <c r="AG216" s="133" t="str">
        <f t="shared" si="56"/>
        <v/>
      </c>
      <c r="AH216" s="134" t="str">
        <f t="shared" si="50"/>
        <v/>
      </c>
      <c r="AI216" s="135" t="str">
        <f t="shared" si="51"/>
        <v/>
      </c>
      <c r="AJ216" s="135" t="str">
        <f t="shared" si="57"/>
        <v/>
      </c>
      <c r="AK216" s="126" t="str">
        <f t="shared" si="58"/>
        <v/>
      </c>
      <c r="AL216" s="126" t="str">
        <f ca="1">IFERROR(IF(AK216="","", MATCH(AK216,OFFSET(Icons!$B$5,1,AM216-3,20,1),0)+5),"")</f>
        <v/>
      </c>
      <c r="AM216" s="126" t="str">
        <f t="shared" si="59"/>
        <v/>
      </c>
      <c r="AN216" s="90"/>
    </row>
    <row r="217" spans="5:40" ht="15" customHeight="1" x14ac:dyDescent="0.25">
      <c r="E217" s="126">
        <v>214</v>
      </c>
      <c r="F217" s="126"/>
      <c r="G217" s="127"/>
      <c r="H217" s="127"/>
      <c r="I217" s="126"/>
      <c r="K217" s="137" t="str">
        <f t="shared" si="52"/>
        <v/>
      </c>
      <c r="L217" s="127" t="str">
        <f t="shared" si="47"/>
        <v/>
      </c>
      <c r="N217" s="128" t="str">
        <f t="shared" si="53"/>
        <v/>
      </c>
      <c r="O217" s="126" t="str">
        <f t="array" ref="O217">IFERROR(SMALL(IF(($G$4:$G$253=P217),ROW($G$4:$G$253)-ROW($G$3),"" ),N217),"")</f>
        <v/>
      </c>
      <c r="P217" s="127" t="str">
        <f t="array" ref="P217">IFERROR(SMALL($G$4:$G$253,E217),"")</f>
        <v/>
      </c>
      <c r="Q217" s="127" t="str">
        <f t="shared" si="54"/>
        <v/>
      </c>
      <c r="R217" s="126" t="str">
        <f t="shared" si="55"/>
        <v/>
      </c>
      <c r="S217" s="126" t="str">
        <f t="shared" si="48"/>
        <v/>
      </c>
      <c r="T217" s="128" t="str">
        <f>IF(OR(S217="R",S217=""),"",COUNTIFS($P$4:P217,P217,$S$4:S217,"S")*U217)</f>
        <v/>
      </c>
      <c r="U217" s="128" t="str">
        <f>IF(ISNUMBER(N217),IF($C$11=TRUE,IF(OR(ISODD(COUNTIF($N$4:N217,1)),Y217="Yes"),1,-1),1),"")</f>
        <v/>
      </c>
      <c r="V217" s="128" t="str">
        <f ca="1">IFERROR(IF(AND(S217="R",W217&lt;&gt;""),1,IF(S217="R",MAX(OFFSET(V216,0,0,-1*(ROW(W217)-3-MATCH(MAX($W$4:W216),$W$4:W216,0)),1))+1,"")),"")</f>
        <v/>
      </c>
      <c r="W217" s="129" t="str">
        <f>IFERROR(IF(AND(S217="R", P217&gt;MAX($X$3:X216)),P217,""),"")</f>
        <v/>
      </c>
      <c r="X217" s="129" t="str">
        <f>IFERROR(IF(AND(W217="",Q217&gt;=MAX($X$3:X216)),IF(S217="R",Q217,IF(AND(W217="",P217&lt;=MAX($X$3:X216)),MAX($X$3:X216),"")),IF(W217&lt;&gt;"", Q217,"")),"")</f>
        <v/>
      </c>
      <c r="Y217" s="126" t="str">
        <f>IF(S217="S",IF(OR(P217&lt;=MAX($X$3:X216),P217&gt;=IF(MIN(W$53:$W218)&lt;1,99999999,MIN(W$53:$W218))),"Yes","No"),"")</f>
        <v/>
      </c>
      <c r="AA217" s="130" t="str">
        <f t="shared" si="49"/>
        <v/>
      </c>
      <c r="AB217" s="131" t="str">
        <f t="array" ref="AB217">IF(AA217&lt;=$AA$2,MIN(IF($L$4:$L$503&lt;=AB216,99999999999,$L$4:$L$503)),"")</f>
        <v/>
      </c>
      <c r="AC217" s="130" t="str">
        <f>IF(ISNUMBER(AA217),IF(Dashboard!$H$6&lt;&gt;"Horizontal",AC216+dateDistance,AC216),"")</f>
        <v/>
      </c>
      <c r="AD217" s="130" t="str">
        <f>IF(ISNUMBER(AA217),IF(Dashboard!$H$6="Horizontal",AD216+dateDistance,AD216),"")</f>
        <v/>
      </c>
      <c r="AE217" s="132" t="str">
        <f>IF(ISNUMBER(P217), IF(Dashboard!$H$6="Horizontal",IF(S217="S",INDEX($AC$4:$AC$503,MATCH(P217,$AB$4:$AB$503,0),1)+boxDistance*(T217+IF(Y217="No",IF(ISODD(T217),IF(T217&gt;0,1,-1),0),0))*IF(Y217="No",IF(ISODD(T217),0.5,-0.5),1),timelineStartRow - boxDistance * V217),IF( S217="S",INDEX($AC$4:$AC$503,MATCH(P217,$AB$4:$AB$503,0),1),INDEX($AC$4:$AC$503,MATCH(P217,$AB$4:$AB$503,0),1)&amp;"-"&amp;INDEX($AC$4:$AC$503,MATCH(Q217,$AB$4:$AB$503,0),1))),"")</f>
        <v/>
      </c>
      <c r="AF217" s="132" t="str">
        <f>IF(ISNUMBER(P217), IF(Dashboard!$H$6&lt;&gt;"Horizontal",IF(S217="S",INDEX($AD$4:$AD$503,MATCH(P217,$AB$4:$AB$503,0),1)+boxDistance*(T217+IF(Y217="No",IF(ISODD(T217),IF(T217&gt;0,1,-1),0),0))*IF(Y217="No",IF(ISODD(T217),0.5,-0.5),1),timelineStartColumn-boxDistance * IF(AND(ISNUMBER(V217),V217&gt;1),V217*0.85,1)   ),IF( S217="S",INDEX($AD$4:$AD$503,MATCH(P217,$AB$4:$AB$503,0),1),INDEX($AD$4:$AD$503,MATCH(P217,$AB$4:$AB$503,0),1)&amp;"-"&amp;INDEX($AD$4:$AD$503,MATCH(Q217,$AB$4:$AB$503,0),1))),"")</f>
        <v/>
      </c>
      <c r="AG217" s="133" t="str">
        <f t="shared" si="56"/>
        <v/>
      </c>
      <c r="AH217" s="134" t="str">
        <f t="shared" si="50"/>
        <v/>
      </c>
      <c r="AI217" s="135" t="str">
        <f t="shared" si="51"/>
        <v/>
      </c>
      <c r="AJ217" s="135" t="str">
        <f t="shared" si="57"/>
        <v/>
      </c>
      <c r="AK217" s="126" t="str">
        <f t="shared" si="58"/>
        <v/>
      </c>
      <c r="AL217" s="126" t="str">
        <f ca="1">IFERROR(IF(AK217="","", MATCH(AK217,OFFSET(Icons!$B$5,1,AM217-3,20,1),0)+5),"")</f>
        <v/>
      </c>
      <c r="AM217" s="126" t="str">
        <f t="shared" si="59"/>
        <v/>
      </c>
      <c r="AN217" s="90"/>
    </row>
    <row r="218" spans="5:40" ht="15" customHeight="1" x14ac:dyDescent="0.25">
      <c r="E218" s="126">
        <v>215</v>
      </c>
      <c r="F218" s="126"/>
      <c r="G218" s="127"/>
      <c r="H218" s="127"/>
      <c r="I218" s="126"/>
      <c r="K218" s="137" t="str">
        <f t="shared" si="52"/>
        <v/>
      </c>
      <c r="L218" s="127" t="str">
        <f t="shared" si="47"/>
        <v/>
      </c>
      <c r="N218" s="128" t="str">
        <f t="shared" si="53"/>
        <v/>
      </c>
      <c r="O218" s="126" t="str">
        <f t="array" ref="O218">IFERROR(SMALL(IF(($G$4:$G$253=P218),ROW($G$4:$G$253)-ROW($G$3),"" ),N218),"")</f>
        <v/>
      </c>
      <c r="P218" s="127" t="str">
        <f t="array" ref="P218">IFERROR(SMALL($G$4:$G$253,E218),"")</f>
        <v/>
      </c>
      <c r="Q218" s="127" t="str">
        <f t="shared" si="54"/>
        <v/>
      </c>
      <c r="R218" s="126" t="str">
        <f t="shared" si="55"/>
        <v/>
      </c>
      <c r="S218" s="126" t="str">
        <f t="shared" si="48"/>
        <v/>
      </c>
      <c r="T218" s="128" t="str">
        <f>IF(OR(S218="R",S218=""),"",COUNTIFS($P$4:P218,P218,$S$4:S218,"S")*U218)</f>
        <v/>
      </c>
      <c r="U218" s="128" t="str">
        <f>IF(ISNUMBER(N218),IF($C$11=TRUE,IF(OR(ISODD(COUNTIF($N$4:N218,1)),Y218="Yes"),1,-1),1),"")</f>
        <v/>
      </c>
      <c r="V218" s="128" t="str">
        <f ca="1">IFERROR(IF(AND(S218="R",W218&lt;&gt;""),1,IF(S218="R",MAX(OFFSET(V217,0,0,-1*(ROW(W218)-3-MATCH(MAX($W$4:W217),$W$4:W217,0)),1))+1,"")),"")</f>
        <v/>
      </c>
      <c r="W218" s="129" t="str">
        <f>IFERROR(IF(AND(S218="R", P218&gt;MAX($X$3:X217)),P218,""),"")</f>
        <v/>
      </c>
      <c r="X218" s="129" t="str">
        <f>IFERROR(IF(AND(W218="",Q218&gt;=MAX($X$3:X217)),IF(S218="R",Q218,IF(AND(W218="",P218&lt;=MAX($X$3:X217)),MAX($X$3:X217),"")),IF(W218&lt;&gt;"", Q218,"")),"")</f>
        <v/>
      </c>
      <c r="Y218" s="126" t="str">
        <f>IF(S218="S",IF(OR(P218&lt;=MAX($X$3:X217),P218&gt;=IF(MIN(W$53:$W219)&lt;1,99999999,MIN(W$53:$W219))),"Yes","No"),"")</f>
        <v/>
      </c>
      <c r="AA218" s="130" t="str">
        <f t="shared" si="49"/>
        <v/>
      </c>
      <c r="AB218" s="131" t="str">
        <f t="array" ref="AB218">IF(AA218&lt;=$AA$2,MIN(IF($L$4:$L$503&lt;=AB217,99999999999,$L$4:$L$503)),"")</f>
        <v/>
      </c>
      <c r="AC218" s="130" t="str">
        <f>IF(ISNUMBER(AA218),IF(Dashboard!$H$6&lt;&gt;"Horizontal",AC217+dateDistance,AC217),"")</f>
        <v/>
      </c>
      <c r="AD218" s="130" t="str">
        <f>IF(ISNUMBER(AA218),IF(Dashboard!$H$6="Horizontal",AD217+dateDistance,AD217),"")</f>
        <v/>
      </c>
      <c r="AE218" s="132" t="str">
        <f>IF(ISNUMBER(P218), IF(Dashboard!$H$6="Horizontal",IF(S218="S",INDEX($AC$4:$AC$503,MATCH(P218,$AB$4:$AB$503,0),1)+boxDistance*(T218+IF(Y218="No",IF(ISODD(T218),IF(T218&gt;0,1,-1),0),0))*IF(Y218="No",IF(ISODD(T218),0.5,-0.5),1),timelineStartRow - boxDistance * V218),IF( S218="S",INDEX($AC$4:$AC$503,MATCH(P218,$AB$4:$AB$503,0),1),INDEX($AC$4:$AC$503,MATCH(P218,$AB$4:$AB$503,0),1)&amp;"-"&amp;INDEX($AC$4:$AC$503,MATCH(Q218,$AB$4:$AB$503,0),1))),"")</f>
        <v/>
      </c>
      <c r="AF218" s="132" t="str">
        <f>IF(ISNUMBER(P218), IF(Dashboard!$H$6&lt;&gt;"Horizontal",IF(S218="S",INDEX($AD$4:$AD$503,MATCH(P218,$AB$4:$AB$503,0),1)+boxDistance*(T218+IF(Y218="No",IF(ISODD(T218),IF(T218&gt;0,1,-1),0),0))*IF(Y218="No",IF(ISODD(T218),0.5,-0.5),1),timelineStartColumn-boxDistance * IF(AND(ISNUMBER(V218),V218&gt;1),V218*0.85,1)   ),IF( S218="S",INDEX($AD$4:$AD$503,MATCH(P218,$AB$4:$AB$503,0),1),INDEX($AD$4:$AD$503,MATCH(P218,$AB$4:$AB$503,0),1)&amp;"-"&amp;INDEX($AD$4:$AD$503,MATCH(Q218,$AB$4:$AB$503,0),1))),"")</f>
        <v/>
      </c>
      <c r="AG218" s="133" t="str">
        <f t="shared" si="56"/>
        <v/>
      </c>
      <c r="AH218" s="134" t="str">
        <f t="shared" si="50"/>
        <v/>
      </c>
      <c r="AI218" s="135" t="str">
        <f t="shared" si="51"/>
        <v/>
      </c>
      <c r="AJ218" s="135" t="str">
        <f t="shared" si="57"/>
        <v/>
      </c>
      <c r="AK218" s="126" t="str">
        <f t="shared" si="58"/>
        <v/>
      </c>
      <c r="AL218" s="126" t="str">
        <f ca="1">IFERROR(IF(AK218="","", MATCH(AK218,OFFSET(Icons!$B$5,1,AM218-3,20,1),0)+5),"")</f>
        <v/>
      </c>
      <c r="AM218" s="126" t="str">
        <f t="shared" si="59"/>
        <v/>
      </c>
      <c r="AN218" s="90"/>
    </row>
    <row r="219" spans="5:40" ht="15" customHeight="1" x14ac:dyDescent="0.25">
      <c r="E219" s="126">
        <v>216</v>
      </c>
      <c r="F219" s="126"/>
      <c r="G219" s="127"/>
      <c r="H219" s="127"/>
      <c r="I219" s="126"/>
      <c r="K219" s="137" t="str">
        <f t="shared" si="52"/>
        <v/>
      </c>
      <c r="L219" s="127" t="str">
        <f t="shared" si="47"/>
        <v/>
      </c>
      <c r="N219" s="128" t="str">
        <f t="shared" si="53"/>
        <v/>
      </c>
      <c r="O219" s="126" t="str">
        <f t="array" ref="O219">IFERROR(SMALL(IF(($G$4:$G$253=P219),ROW($G$4:$G$253)-ROW($G$3),"" ),N219),"")</f>
        <v/>
      </c>
      <c r="P219" s="127" t="str">
        <f t="array" ref="P219">IFERROR(SMALL($G$4:$G$253,E219),"")</f>
        <v/>
      </c>
      <c r="Q219" s="127" t="str">
        <f t="shared" si="54"/>
        <v/>
      </c>
      <c r="R219" s="126" t="str">
        <f t="shared" si="55"/>
        <v/>
      </c>
      <c r="S219" s="126" t="str">
        <f t="shared" si="48"/>
        <v/>
      </c>
      <c r="T219" s="128" t="str">
        <f>IF(OR(S219="R",S219=""),"",COUNTIFS($P$4:P219,P219,$S$4:S219,"S")*U219)</f>
        <v/>
      </c>
      <c r="U219" s="128" t="str">
        <f>IF(ISNUMBER(N219),IF($C$11=TRUE,IF(OR(ISODD(COUNTIF($N$4:N219,1)),Y219="Yes"),1,-1),1),"")</f>
        <v/>
      </c>
      <c r="V219" s="128" t="str">
        <f ca="1">IFERROR(IF(AND(S219="R",W219&lt;&gt;""),1,IF(S219="R",MAX(OFFSET(V218,0,0,-1*(ROW(W219)-3-MATCH(MAX($W$4:W218),$W$4:W218,0)),1))+1,"")),"")</f>
        <v/>
      </c>
      <c r="W219" s="129" t="str">
        <f>IFERROR(IF(AND(S219="R", P219&gt;MAX($X$3:X218)),P219,""),"")</f>
        <v/>
      </c>
      <c r="X219" s="129" t="str">
        <f>IFERROR(IF(AND(W219="",Q219&gt;=MAX($X$3:X218)),IF(S219="R",Q219,IF(AND(W219="",P219&lt;=MAX($X$3:X218)),MAX($X$3:X218),"")),IF(W219&lt;&gt;"", Q219,"")),"")</f>
        <v/>
      </c>
      <c r="Y219" s="126" t="str">
        <f>IF(S219="S",IF(OR(P219&lt;=MAX($X$3:X218),P219&gt;=IF(MIN(W$53:$W220)&lt;1,99999999,MIN(W$53:$W220))),"Yes","No"),"")</f>
        <v/>
      </c>
      <c r="AA219" s="130" t="str">
        <f t="shared" si="49"/>
        <v/>
      </c>
      <c r="AB219" s="131" t="str">
        <f t="array" ref="AB219">IF(AA219&lt;=$AA$2,MIN(IF($L$4:$L$503&lt;=AB218,99999999999,$L$4:$L$503)),"")</f>
        <v/>
      </c>
      <c r="AC219" s="130" t="str">
        <f>IF(ISNUMBER(AA219),IF(Dashboard!$H$6&lt;&gt;"Horizontal",AC218+dateDistance,AC218),"")</f>
        <v/>
      </c>
      <c r="AD219" s="130" t="str">
        <f>IF(ISNUMBER(AA219),IF(Dashboard!$H$6="Horizontal",AD218+dateDistance,AD218),"")</f>
        <v/>
      </c>
      <c r="AE219" s="132" t="str">
        <f>IF(ISNUMBER(P219), IF(Dashboard!$H$6="Horizontal",IF(S219="S",INDEX($AC$4:$AC$503,MATCH(P219,$AB$4:$AB$503,0),1)+boxDistance*(T219+IF(Y219="No",IF(ISODD(T219),IF(T219&gt;0,1,-1),0),0))*IF(Y219="No",IF(ISODD(T219),0.5,-0.5),1),timelineStartRow - boxDistance * V219),IF( S219="S",INDEX($AC$4:$AC$503,MATCH(P219,$AB$4:$AB$503,0),1),INDEX($AC$4:$AC$503,MATCH(P219,$AB$4:$AB$503,0),1)&amp;"-"&amp;INDEX($AC$4:$AC$503,MATCH(Q219,$AB$4:$AB$503,0),1))),"")</f>
        <v/>
      </c>
      <c r="AF219" s="132" t="str">
        <f>IF(ISNUMBER(P219), IF(Dashboard!$H$6&lt;&gt;"Horizontal",IF(S219="S",INDEX($AD$4:$AD$503,MATCH(P219,$AB$4:$AB$503,0),1)+boxDistance*(T219+IF(Y219="No",IF(ISODD(T219),IF(T219&gt;0,1,-1),0),0))*IF(Y219="No",IF(ISODD(T219),0.5,-0.5),1),timelineStartColumn-boxDistance * IF(AND(ISNUMBER(V219),V219&gt;1),V219*0.85,1)   ),IF( S219="S",INDEX($AD$4:$AD$503,MATCH(P219,$AB$4:$AB$503,0),1),INDEX($AD$4:$AD$503,MATCH(P219,$AB$4:$AB$503,0),1)&amp;"-"&amp;INDEX($AD$4:$AD$503,MATCH(Q219,$AB$4:$AB$503,0),1))),"")</f>
        <v/>
      </c>
      <c r="AG219" s="133" t="str">
        <f t="shared" si="56"/>
        <v/>
      </c>
      <c r="AH219" s="134" t="str">
        <f t="shared" si="50"/>
        <v/>
      </c>
      <c r="AI219" s="135" t="str">
        <f t="shared" si="51"/>
        <v/>
      </c>
      <c r="AJ219" s="135" t="str">
        <f t="shared" si="57"/>
        <v/>
      </c>
      <c r="AK219" s="126" t="str">
        <f t="shared" si="58"/>
        <v/>
      </c>
      <c r="AL219" s="126" t="str">
        <f ca="1">IFERROR(IF(AK219="","", MATCH(AK219,OFFSET(Icons!$B$5,1,AM219-3,20,1),0)+5),"")</f>
        <v/>
      </c>
      <c r="AM219" s="126" t="str">
        <f t="shared" si="59"/>
        <v/>
      </c>
      <c r="AN219" s="90"/>
    </row>
    <row r="220" spans="5:40" ht="15" customHeight="1" x14ac:dyDescent="0.25">
      <c r="E220" s="126">
        <v>217</v>
      </c>
      <c r="F220" s="126"/>
      <c r="G220" s="127"/>
      <c r="H220" s="127"/>
      <c r="I220" s="126"/>
      <c r="K220" s="137" t="str">
        <f t="shared" si="52"/>
        <v/>
      </c>
      <c r="L220" s="127" t="str">
        <f t="shared" si="47"/>
        <v/>
      </c>
      <c r="N220" s="128" t="str">
        <f t="shared" si="53"/>
        <v/>
      </c>
      <c r="O220" s="126" t="str">
        <f t="array" ref="O220">IFERROR(SMALL(IF(($G$4:$G$253=P220),ROW($G$4:$G$253)-ROW($G$3),"" ),N220),"")</f>
        <v/>
      </c>
      <c r="P220" s="127" t="str">
        <f t="array" ref="P220">IFERROR(SMALL($G$4:$G$253,E220),"")</f>
        <v/>
      </c>
      <c r="Q220" s="127" t="str">
        <f t="shared" si="54"/>
        <v/>
      </c>
      <c r="R220" s="126" t="str">
        <f t="shared" si="55"/>
        <v/>
      </c>
      <c r="S220" s="126" t="str">
        <f t="shared" si="48"/>
        <v/>
      </c>
      <c r="T220" s="128" t="str">
        <f>IF(OR(S220="R",S220=""),"",COUNTIFS($P$4:P220,P220,$S$4:S220,"S")*U220)</f>
        <v/>
      </c>
      <c r="U220" s="128" t="str">
        <f>IF(ISNUMBER(N220),IF($C$11=TRUE,IF(OR(ISODD(COUNTIF($N$4:N220,1)),Y220="Yes"),1,-1),1),"")</f>
        <v/>
      </c>
      <c r="V220" s="128" t="str">
        <f ca="1">IFERROR(IF(AND(S220="R",W220&lt;&gt;""),1,IF(S220="R",MAX(OFFSET(V219,0,0,-1*(ROW(W220)-3-MATCH(MAX($W$4:W219),$W$4:W219,0)),1))+1,"")),"")</f>
        <v/>
      </c>
      <c r="W220" s="129" t="str">
        <f>IFERROR(IF(AND(S220="R", P220&gt;MAX($X$3:X219)),P220,""),"")</f>
        <v/>
      </c>
      <c r="X220" s="129" t="str">
        <f>IFERROR(IF(AND(W220="",Q220&gt;=MAX($X$3:X219)),IF(S220="R",Q220,IF(AND(W220="",P220&lt;=MAX($X$3:X219)),MAX($X$3:X219),"")),IF(W220&lt;&gt;"", Q220,"")),"")</f>
        <v/>
      </c>
      <c r="Y220" s="126" t="str">
        <f>IF(S220="S",IF(OR(P220&lt;=MAX($X$3:X219),P220&gt;=IF(MIN(W$53:$W221)&lt;1,99999999,MIN(W$53:$W221))),"Yes","No"),"")</f>
        <v/>
      </c>
      <c r="AA220" s="130" t="str">
        <f t="shared" si="49"/>
        <v/>
      </c>
      <c r="AB220" s="131" t="str">
        <f t="array" ref="AB220">IF(AA220&lt;=$AA$2,MIN(IF($L$4:$L$503&lt;=AB219,99999999999,$L$4:$L$503)),"")</f>
        <v/>
      </c>
      <c r="AC220" s="130" t="str">
        <f>IF(ISNUMBER(AA220),IF(Dashboard!$H$6&lt;&gt;"Horizontal",AC219+dateDistance,AC219),"")</f>
        <v/>
      </c>
      <c r="AD220" s="130" t="str">
        <f>IF(ISNUMBER(AA220),IF(Dashboard!$H$6="Horizontal",AD219+dateDistance,AD219),"")</f>
        <v/>
      </c>
      <c r="AE220" s="132" t="str">
        <f>IF(ISNUMBER(P220), IF(Dashboard!$H$6="Horizontal",IF(S220="S",INDEX($AC$4:$AC$503,MATCH(P220,$AB$4:$AB$503,0),1)+boxDistance*(T220+IF(Y220="No",IF(ISODD(T220),IF(T220&gt;0,1,-1),0),0))*IF(Y220="No",IF(ISODD(T220),0.5,-0.5),1),timelineStartRow - boxDistance * V220),IF( S220="S",INDEX($AC$4:$AC$503,MATCH(P220,$AB$4:$AB$503,0),1),INDEX($AC$4:$AC$503,MATCH(P220,$AB$4:$AB$503,0),1)&amp;"-"&amp;INDEX($AC$4:$AC$503,MATCH(Q220,$AB$4:$AB$503,0),1))),"")</f>
        <v/>
      </c>
      <c r="AF220" s="132" t="str">
        <f>IF(ISNUMBER(P220), IF(Dashboard!$H$6&lt;&gt;"Horizontal",IF(S220="S",INDEX($AD$4:$AD$503,MATCH(P220,$AB$4:$AB$503,0),1)+boxDistance*(T220+IF(Y220="No",IF(ISODD(T220),IF(T220&gt;0,1,-1),0),0))*IF(Y220="No",IF(ISODD(T220),0.5,-0.5),1),timelineStartColumn-boxDistance * IF(AND(ISNUMBER(V220),V220&gt;1),V220*0.85,1)   ),IF( S220="S",INDEX($AD$4:$AD$503,MATCH(P220,$AB$4:$AB$503,0),1),INDEX($AD$4:$AD$503,MATCH(P220,$AB$4:$AB$503,0),1)&amp;"-"&amp;INDEX($AD$4:$AD$503,MATCH(Q220,$AB$4:$AB$503,0),1))),"")</f>
        <v/>
      </c>
      <c r="AG220" s="133" t="str">
        <f t="shared" si="56"/>
        <v/>
      </c>
      <c r="AH220" s="134" t="str">
        <f t="shared" si="50"/>
        <v/>
      </c>
      <c r="AI220" s="135" t="str">
        <f t="shared" si="51"/>
        <v/>
      </c>
      <c r="AJ220" s="135" t="str">
        <f t="shared" si="57"/>
        <v/>
      </c>
      <c r="AK220" s="126" t="str">
        <f t="shared" si="58"/>
        <v/>
      </c>
      <c r="AL220" s="126" t="str">
        <f ca="1">IFERROR(IF(AK220="","", MATCH(AK220,OFFSET(Icons!$B$5,1,AM220-3,20,1),0)+5),"")</f>
        <v/>
      </c>
      <c r="AM220" s="126" t="str">
        <f t="shared" si="59"/>
        <v/>
      </c>
      <c r="AN220" s="90"/>
    </row>
    <row r="221" spans="5:40" ht="15" customHeight="1" x14ac:dyDescent="0.25">
      <c r="E221" s="126">
        <v>218</v>
      </c>
      <c r="F221" s="126"/>
      <c r="G221" s="127"/>
      <c r="H221" s="127"/>
      <c r="I221" s="126"/>
      <c r="K221" s="137" t="str">
        <f t="shared" si="52"/>
        <v/>
      </c>
      <c r="L221" s="127" t="str">
        <f t="shared" si="47"/>
        <v/>
      </c>
      <c r="N221" s="128" t="str">
        <f t="shared" si="53"/>
        <v/>
      </c>
      <c r="O221" s="126" t="str">
        <f t="array" ref="O221">IFERROR(SMALL(IF(($G$4:$G$253=P221),ROW($G$4:$G$253)-ROW($G$3),"" ),N221),"")</f>
        <v/>
      </c>
      <c r="P221" s="127" t="str">
        <f t="array" ref="P221">IFERROR(SMALL($G$4:$G$253,E221),"")</f>
        <v/>
      </c>
      <c r="Q221" s="127" t="str">
        <f t="shared" si="54"/>
        <v/>
      </c>
      <c r="R221" s="126" t="str">
        <f t="shared" si="55"/>
        <v/>
      </c>
      <c r="S221" s="126" t="str">
        <f t="shared" si="48"/>
        <v/>
      </c>
      <c r="T221" s="128" t="str">
        <f>IF(OR(S221="R",S221=""),"",COUNTIFS($P$4:P221,P221,$S$4:S221,"S")*U221)</f>
        <v/>
      </c>
      <c r="U221" s="128" t="str">
        <f>IF(ISNUMBER(N221),IF($C$11=TRUE,IF(OR(ISODD(COUNTIF($N$4:N221,1)),Y221="Yes"),1,-1),1),"")</f>
        <v/>
      </c>
      <c r="V221" s="128" t="str">
        <f ca="1">IFERROR(IF(AND(S221="R",W221&lt;&gt;""),1,IF(S221="R",MAX(OFFSET(V220,0,0,-1*(ROW(W221)-3-MATCH(MAX($W$4:W220),$W$4:W220,0)),1))+1,"")),"")</f>
        <v/>
      </c>
      <c r="W221" s="129" t="str">
        <f>IFERROR(IF(AND(S221="R", P221&gt;MAX($X$3:X220)),P221,""),"")</f>
        <v/>
      </c>
      <c r="X221" s="129" t="str">
        <f>IFERROR(IF(AND(W221="",Q221&gt;=MAX($X$3:X220)),IF(S221="R",Q221,IF(AND(W221="",P221&lt;=MAX($X$3:X220)),MAX($X$3:X220),"")),IF(W221&lt;&gt;"", Q221,"")),"")</f>
        <v/>
      </c>
      <c r="Y221" s="126" t="str">
        <f>IF(S221="S",IF(OR(P221&lt;=MAX($X$3:X220),P221&gt;=IF(MIN(W$53:$W222)&lt;1,99999999,MIN(W$53:$W222))),"Yes","No"),"")</f>
        <v/>
      </c>
      <c r="AA221" s="130" t="str">
        <f t="shared" si="49"/>
        <v/>
      </c>
      <c r="AB221" s="131" t="str">
        <f t="array" ref="AB221">IF(AA221&lt;=$AA$2,MIN(IF($L$4:$L$503&lt;=AB220,99999999999,$L$4:$L$503)),"")</f>
        <v/>
      </c>
      <c r="AC221" s="130" t="str">
        <f>IF(ISNUMBER(AA221),IF(Dashboard!$H$6&lt;&gt;"Horizontal",AC220+dateDistance,AC220),"")</f>
        <v/>
      </c>
      <c r="AD221" s="130" t="str">
        <f>IF(ISNUMBER(AA221),IF(Dashboard!$H$6="Horizontal",AD220+dateDistance,AD220),"")</f>
        <v/>
      </c>
      <c r="AE221" s="132" t="str">
        <f>IF(ISNUMBER(P221), IF(Dashboard!$H$6="Horizontal",IF(S221="S",INDEX($AC$4:$AC$503,MATCH(P221,$AB$4:$AB$503,0),1)+boxDistance*(T221+IF(Y221="No",IF(ISODD(T221),IF(T221&gt;0,1,-1),0),0))*IF(Y221="No",IF(ISODD(T221),0.5,-0.5),1),timelineStartRow - boxDistance * V221),IF( S221="S",INDEX($AC$4:$AC$503,MATCH(P221,$AB$4:$AB$503,0),1),INDEX($AC$4:$AC$503,MATCH(P221,$AB$4:$AB$503,0),1)&amp;"-"&amp;INDEX($AC$4:$AC$503,MATCH(Q221,$AB$4:$AB$503,0),1))),"")</f>
        <v/>
      </c>
      <c r="AF221" s="132" t="str">
        <f>IF(ISNUMBER(P221), IF(Dashboard!$H$6&lt;&gt;"Horizontal",IF(S221="S",INDEX($AD$4:$AD$503,MATCH(P221,$AB$4:$AB$503,0),1)+boxDistance*(T221+IF(Y221="No",IF(ISODD(T221),IF(T221&gt;0,1,-1),0),0))*IF(Y221="No",IF(ISODD(T221),0.5,-0.5),1),timelineStartColumn-boxDistance * IF(AND(ISNUMBER(V221),V221&gt;1),V221*0.85,1)   ),IF( S221="S",INDEX($AD$4:$AD$503,MATCH(P221,$AB$4:$AB$503,0),1),INDEX($AD$4:$AD$503,MATCH(P221,$AB$4:$AB$503,0),1)&amp;"-"&amp;INDEX($AD$4:$AD$503,MATCH(Q221,$AB$4:$AB$503,0),1))),"")</f>
        <v/>
      </c>
      <c r="AG221" s="133" t="str">
        <f t="shared" si="56"/>
        <v/>
      </c>
      <c r="AH221" s="134" t="str">
        <f t="shared" si="50"/>
        <v/>
      </c>
      <c r="AI221" s="135" t="str">
        <f t="shared" si="51"/>
        <v/>
      </c>
      <c r="AJ221" s="135" t="str">
        <f t="shared" si="57"/>
        <v/>
      </c>
      <c r="AK221" s="126" t="str">
        <f t="shared" si="58"/>
        <v/>
      </c>
      <c r="AL221" s="126" t="str">
        <f ca="1">IFERROR(IF(AK221="","", MATCH(AK221,OFFSET(Icons!$B$5,1,AM221-3,20,1),0)+5),"")</f>
        <v/>
      </c>
      <c r="AM221" s="126" t="str">
        <f t="shared" si="59"/>
        <v/>
      </c>
      <c r="AN221" s="90"/>
    </row>
    <row r="222" spans="5:40" ht="15" customHeight="1" x14ac:dyDescent="0.25">
      <c r="E222" s="126">
        <v>219</v>
      </c>
      <c r="F222" s="126"/>
      <c r="G222" s="127"/>
      <c r="H222" s="127"/>
      <c r="I222" s="126"/>
      <c r="K222" s="137" t="str">
        <f t="shared" si="52"/>
        <v/>
      </c>
      <c r="L222" s="127" t="str">
        <f t="shared" si="47"/>
        <v/>
      </c>
      <c r="N222" s="128" t="str">
        <f t="shared" si="53"/>
        <v/>
      </c>
      <c r="O222" s="126" t="str">
        <f t="array" ref="O222">IFERROR(SMALL(IF(($G$4:$G$253=P222),ROW($G$4:$G$253)-ROW($G$3),"" ),N222),"")</f>
        <v/>
      </c>
      <c r="P222" s="127" t="str">
        <f t="array" ref="P222">IFERROR(SMALL($G$4:$G$253,E222),"")</f>
        <v/>
      </c>
      <c r="Q222" s="127" t="str">
        <f t="shared" si="54"/>
        <v/>
      </c>
      <c r="R222" s="126" t="str">
        <f t="shared" si="55"/>
        <v/>
      </c>
      <c r="S222" s="126" t="str">
        <f t="shared" si="48"/>
        <v/>
      </c>
      <c r="T222" s="128" t="str">
        <f>IF(OR(S222="R",S222=""),"",COUNTIFS($P$4:P222,P222,$S$4:S222,"S")*U222)</f>
        <v/>
      </c>
      <c r="U222" s="128" t="str">
        <f>IF(ISNUMBER(N222),IF($C$11=TRUE,IF(OR(ISODD(COUNTIF($N$4:N222,1)),Y222="Yes"),1,-1),1),"")</f>
        <v/>
      </c>
      <c r="V222" s="128" t="str">
        <f ca="1">IFERROR(IF(AND(S222="R",W222&lt;&gt;""),1,IF(S222="R",MAX(OFFSET(V221,0,0,-1*(ROW(W222)-3-MATCH(MAX($W$4:W221),$W$4:W221,0)),1))+1,"")),"")</f>
        <v/>
      </c>
      <c r="W222" s="129" t="str">
        <f>IFERROR(IF(AND(S222="R", P222&gt;MAX($X$3:X221)),P222,""),"")</f>
        <v/>
      </c>
      <c r="X222" s="129" t="str">
        <f>IFERROR(IF(AND(W222="",Q222&gt;=MAX($X$3:X221)),IF(S222="R",Q222,IF(AND(W222="",P222&lt;=MAX($X$3:X221)),MAX($X$3:X221),"")),IF(W222&lt;&gt;"", Q222,"")),"")</f>
        <v/>
      </c>
      <c r="Y222" s="126" t="str">
        <f>IF(S222="S",IF(OR(P222&lt;=MAX($X$3:X221),P222&gt;=IF(MIN(W$53:$W223)&lt;1,99999999,MIN(W$53:$W223))),"Yes","No"),"")</f>
        <v/>
      </c>
      <c r="AA222" s="130" t="str">
        <f t="shared" si="49"/>
        <v/>
      </c>
      <c r="AB222" s="131" t="str">
        <f t="array" ref="AB222">IF(AA222&lt;=$AA$2,MIN(IF($L$4:$L$503&lt;=AB221,99999999999,$L$4:$L$503)),"")</f>
        <v/>
      </c>
      <c r="AC222" s="130" t="str">
        <f>IF(ISNUMBER(AA222),IF(Dashboard!$H$6&lt;&gt;"Horizontal",AC221+dateDistance,AC221),"")</f>
        <v/>
      </c>
      <c r="AD222" s="130" t="str">
        <f>IF(ISNUMBER(AA222),IF(Dashboard!$H$6="Horizontal",AD221+dateDistance,AD221),"")</f>
        <v/>
      </c>
      <c r="AE222" s="132" t="str">
        <f>IF(ISNUMBER(P222), IF(Dashboard!$H$6="Horizontal",IF(S222="S",INDEX($AC$4:$AC$503,MATCH(P222,$AB$4:$AB$503,0),1)+boxDistance*(T222+IF(Y222="No",IF(ISODD(T222),IF(T222&gt;0,1,-1),0),0))*IF(Y222="No",IF(ISODD(T222),0.5,-0.5),1),timelineStartRow - boxDistance * V222),IF( S222="S",INDEX($AC$4:$AC$503,MATCH(P222,$AB$4:$AB$503,0),1),INDEX($AC$4:$AC$503,MATCH(P222,$AB$4:$AB$503,0),1)&amp;"-"&amp;INDEX($AC$4:$AC$503,MATCH(Q222,$AB$4:$AB$503,0),1))),"")</f>
        <v/>
      </c>
      <c r="AF222" s="132" t="str">
        <f>IF(ISNUMBER(P222), IF(Dashboard!$H$6&lt;&gt;"Horizontal",IF(S222="S",INDEX($AD$4:$AD$503,MATCH(P222,$AB$4:$AB$503,0),1)+boxDistance*(T222+IF(Y222="No",IF(ISODD(T222),IF(T222&gt;0,1,-1),0),0))*IF(Y222="No",IF(ISODD(T222),0.5,-0.5),1),timelineStartColumn-boxDistance * IF(AND(ISNUMBER(V222),V222&gt;1),V222*0.85,1)   ),IF( S222="S",INDEX($AD$4:$AD$503,MATCH(P222,$AB$4:$AB$503,0),1),INDEX($AD$4:$AD$503,MATCH(P222,$AB$4:$AB$503,0),1)&amp;"-"&amp;INDEX($AD$4:$AD$503,MATCH(Q222,$AB$4:$AB$503,0),1))),"")</f>
        <v/>
      </c>
      <c r="AG222" s="133" t="str">
        <f t="shared" si="56"/>
        <v/>
      </c>
      <c r="AH222" s="134" t="str">
        <f t="shared" si="50"/>
        <v/>
      </c>
      <c r="AI222" s="135" t="str">
        <f t="shared" si="51"/>
        <v/>
      </c>
      <c r="AJ222" s="135" t="str">
        <f t="shared" si="57"/>
        <v/>
      </c>
      <c r="AK222" s="126" t="str">
        <f t="shared" si="58"/>
        <v/>
      </c>
      <c r="AL222" s="126" t="str">
        <f ca="1">IFERROR(IF(AK222="","", MATCH(AK222,OFFSET(Icons!$B$5,1,AM222-3,20,1),0)+5),"")</f>
        <v/>
      </c>
      <c r="AM222" s="126" t="str">
        <f t="shared" si="59"/>
        <v/>
      </c>
      <c r="AN222" s="90"/>
    </row>
    <row r="223" spans="5:40" ht="15" customHeight="1" x14ac:dyDescent="0.25">
      <c r="E223" s="126">
        <v>220</v>
      </c>
      <c r="F223" s="126"/>
      <c r="G223" s="127"/>
      <c r="H223" s="127"/>
      <c r="I223" s="126"/>
      <c r="K223" s="137" t="str">
        <f t="shared" si="52"/>
        <v/>
      </c>
      <c r="L223" s="127" t="str">
        <f t="shared" si="47"/>
        <v/>
      </c>
      <c r="N223" s="128" t="str">
        <f t="shared" si="53"/>
        <v/>
      </c>
      <c r="O223" s="126" t="str">
        <f t="array" ref="O223">IFERROR(SMALL(IF(($G$4:$G$253=P223),ROW($G$4:$G$253)-ROW($G$3),"" ),N223),"")</f>
        <v/>
      </c>
      <c r="P223" s="127" t="str">
        <f t="array" ref="P223">IFERROR(SMALL($G$4:$G$253,E223),"")</f>
        <v/>
      </c>
      <c r="Q223" s="127" t="str">
        <f t="shared" si="54"/>
        <v/>
      </c>
      <c r="R223" s="126" t="str">
        <f t="shared" si="55"/>
        <v/>
      </c>
      <c r="S223" s="126" t="str">
        <f t="shared" si="48"/>
        <v/>
      </c>
      <c r="T223" s="128" t="str">
        <f>IF(OR(S223="R",S223=""),"",COUNTIFS($P$4:P223,P223,$S$4:S223,"S")*U223)</f>
        <v/>
      </c>
      <c r="U223" s="128" t="str">
        <f>IF(ISNUMBER(N223),IF($C$11=TRUE,IF(OR(ISODD(COUNTIF($N$4:N223,1)),Y223="Yes"),1,-1),1),"")</f>
        <v/>
      </c>
      <c r="V223" s="128" t="str">
        <f ca="1">IFERROR(IF(AND(S223="R",W223&lt;&gt;""),1,IF(S223="R",MAX(OFFSET(V222,0,0,-1*(ROW(W223)-3-MATCH(MAX($W$4:W222),$W$4:W222,0)),1))+1,"")),"")</f>
        <v/>
      </c>
      <c r="W223" s="129" t="str">
        <f>IFERROR(IF(AND(S223="R", P223&gt;MAX($X$3:X222)),P223,""),"")</f>
        <v/>
      </c>
      <c r="X223" s="129" t="str">
        <f>IFERROR(IF(AND(W223="",Q223&gt;=MAX($X$3:X222)),IF(S223="R",Q223,IF(AND(W223="",P223&lt;=MAX($X$3:X222)),MAX($X$3:X222),"")),IF(W223&lt;&gt;"", Q223,"")),"")</f>
        <v/>
      </c>
      <c r="Y223" s="126" t="str">
        <f>IF(S223="S",IF(OR(P223&lt;=MAX($X$3:X222),P223&gt;=IF(MIN(W$53:$W224)&lt;1,99999999,MIN(W$53:$W224))),"Yes","No"),"")</f>
        <v/>
      </c>
      <c r="AA223" s="130" t="str">
        <f t="shared" si="49"/>
        <v/>
      </c>
      <c r="AB223" s="131" t="str">
        <f t="array" ref="AB223">IF(AA223&lt;=$AA$2,MIN(IF($L$4:$L$503&lt;=AB222,99999999999,$L$4:$L$503)),"")</f>
        <v/>
      </c>
      <c r="AC223" s="130" t="str">
        <f>IF(ISNUMBER(AA223),IF(Dashboard!$H$6&lt;&gt;"Horizontal",AC222+dateDistance,AC222),"")</f>
        <v/>
      </c>
      <c r="AD223" s="130" t="str">
        <f>IF(ISNUMBER(AA223),IF(Dashboard!$H$6="Horizontal",AD222+dateDistance,AD222),"")</f>
        <v/>
      </c>
      <c r="AE223" s="132" t="str">
        <f>IF(ISNUMBER(P223), IF(Dashboard!$H$6="Horizontal",IF(S223="S",INDEX($AC$4:$AC$503,MATCH(P223,$AB$4:$AB$503,0),1)+boxDistance*(T223+IF(Y223="No",IF(ISODD(T223),IF(T223&gt;0,1,-1),0),0))*IF(Y223="No",IF(ISODD(T223),0.5,-0.5),1),timelineStartRow - boxDistance * V223),IF( S223="S",INDEX($AC$4:$AC$503,MATCH(P223,$AB$4:$AB$503,0),1),INDEX($AC$4:$AC$503,MATCH(P223,$AB$4:$AB$503,0),1)&amp;"-"&amp;INDEX($AC$4:$AC$503,MATCH(Q223,$AB$4:$AB$503,0),1))),"")</f>
        <v/>
      </c>
      <c r="AF223" s="132" t="str">
        <f>IF(ISNUMBER(P223), IF(Dashboard!$H$6&lt;&gt;"Horizontal",IF(S223="S",INDEX($AD$4:$AD$503,MATCH(P223,$AB$4:$AB$503,0),1)+boxDistance*(T223+IF(Y223="No",IF(ISODD(T223),IF(T223&gt;0,1,-1),0),0))*IF(Y223="No",IF(ISODD(T223),0.5,-0.5),1),timelineStartColumn-boxDistance * IF(AND(ISNUMBER(V223),V223&gt;1),V223*0.85,1)   ),IF( S223="S",INDEX($AD$4:$AD$503,MATCH(P223,$AB$4:$AB$503,0),1),INDEX($AD$4:$AD$503,MATCH(P223,$AB$4:$AB$503,0),1)&amp;"-"&amp;INDEX($AD$4:$AD$503,MATCH(Q223,$AB$4:$AB$503,0),1))),"")</f>
        <v/>
      </c>
      <c r="AG223" s="133" t="str">
        <f t="shared" si="56"/>
        <v/>
      </c>
      <c r="AH223" s="134" t="str">
        <f t="shared" si="50"/>
        <v/>
      </c>
      <c r="AI223" s="135" t="str">
        <f t="shared" si="51"/>
        <v/>
      </c>
      <c r="AJ223" s="135" t="str">
        <f t="shared" si="57"/>
        <v/>
      </c>
      <c r="AK223" s="126" t="str">
        <f t="shared" si="58"/>
        <v/>
      </c>
      <c r="AL223" s="126" t="str">
        <f ca="1">IFERROR(IF(AK223="","", MATCH(AK223,OFFSET(Icons!$B$5,1,AM223-3,20,1),0)+5),"")</f>
        <v/>
      </c>
      <c r="AM223" s="126" t="str">
        <f t="shared" si="59"/>
        <v/>
      </c>
      <c r="AN223" s="90"/>
    </row>
    <row r="224" spans="5:40" ht="15" customHeight="1" x14ac:dyDescent="0.25">
      <c r="E224" s="126">
        <v>221</v>
      </c>
      <c r="F224" s="126"/>
      <c r="G224" s="127"/>
      <c r="H224" s="127"/>
      <c r="I224" s="126"/>
      <c r="K224" s="137" t="str">
        <f t="shared" si="52"/>
        <v/>
      </c>
      <c r="L224" s="127" t="str">
        <f t="shared" si="47"/>
        <v/>
      </c>
      <c r="N224" s="128" t="str">
        <f t="shared" si="53"/>
        <v/>
      </c>
      <c r="O224" s="126" t="str">
        <f t="array" ref="O224">IFERROR(SMALL(IF(($G$4:$G$253=P224),ROW($G$4:$G$253)-ROW($G$3),"" ),N224),"")</f>
        <v/>
      </c>
      <c r="P224" s="127" t="str">
        <f t="array" ref="P224">IFERROR(SMALL($G$4:$G$253,E224),"")</f>
        <v/>
      </c>
      <c r="Q224" s="127" t="str">
        <f t="shared" si="54"/>
        <v/>
      </c>
      <c r="R224" s="126" t="str">
        <f t="shared" si="55"/>
        <v/>
      </c>
      <c r="S224" s="126" t="str">
        <f t="shared" si="48"/>
        <v/>
      </c>
      <c r="T224" s="128" t="str">
        <f>IF(OR(S224="R",S224=""),"",COUNTIFS($P$4:P224,P224,$S$4:S224,"S")*U224)</f>
        <v/>
      </c>
      <c r="U224" s="128" t="str">
        <f>IF(ISNUMBER(N224),IF($C$11=TRUE,IF(OR(ISODD(COUNTIF($N$4:N224,1)),Y224="Yes"),1,-1),1),"")</f>
        <v/>
      </c>
      <c r="V224" s="128" t="str">
        <f ca="1">IFERROR(IF(AND(S224="R",W224&lt;&gt;""),1,IF(S224="R",MAX(OFFSET(V223,0,0,-1*(ROW(W224)-3-MATCH(MAX($W$4:W223),$W$4:W223,0)),1))+1,"")),"")</f>
        <v/>
      </c>
      <c r="W224" s="129" t="str">
        <f>IFERROR(IF(AND(S224="R", P224&gt;MAX($X$3:X223)),P224,""),"")</f>
        <v/>
      </c>
      <c r="X224" s="129" t="str">
        <f>IFERROR(IF(AND(W224="",Q224&gt;=MAX($X$3:X223)),IF(S224="R",Q224,IF(AND(W224="",P224&lt;=MAX($X$3:X223)),MAX($X$3:X223),"")),IF(W224&lt;&gt;"", Q224,"")),"")</f>
        <v/>
      </c>
      <c r="Y224" s="126" t="str">
        <f>IF(S224="S",IF(OR(P224&lt;=MAX($X$3:X223),P224&gt;=IF(MIN(W$53:$W225)&lt;1,99999999,MIN(W$53:$W225))),"Yes","No"),"")</f>
        <v/>
      </c>
      <c r="AA224" s="130" t="str">
        <f t="shared" si="49"/>
        <v/>
      </c>
      <c r="AB224" s="131" t="str">
        <f t="array" ref="AB224">IF(AA224&lt;=$AA$2,MIN(IF($L$4:$L$503&lt;=AB223,99999999999,$L$4:$L$503)),"")</f>
        <v/>
      </c>
      <c r="AC224" s="130" t="str">
        <f>IF(ISNUMBER(AA224),IF(Dashboard!$H$6&lt;&gt;"Horizontal",AC223+dateDistance,AC223),"")</f>
        <v/>
      </c>
      <c r="AD224" s="130" t="str">
        <f>IF(ISNUMBER(AA224),IF(Dashboard!$H$6="Horizontal",AD223+dateDistance,AD223),"")</f>
        <v/>
      </c>
      <c r="AE224" s="132" t="str">
        <f>IF(ISNUMBER(P224), IF(Dashboard!$H$6="Horizontal",IF(S224="S",INDEX($AC$4:$AC$503,MATCH(P224,$AB$4:$AB$503,0),1)+boxDistance*(T224+IF(Y224="No",IF(ISODD(T224),IF(T224&gt;0,1,-1),0),0))*IF(Y224="No",IF(ISODD(T224),0.5,-0.5),1),timelineStartRow - boxDistance * V224),IF( S224="S",INDEX($AC$4:$AC$503,MATCH(P224,$AB$4:$AB$503,0),1),INDEX($AC$4:$AC$503,MATCH(P224,$AB$4:$AB$503,0),1)&amp;"-"&amp;INDEX($AC$4:$AC$503,MATCH(Q224,$AB$4:$AB$503,0),1))),"")</f>
        <v/>
      </c>
      <c r="AF224" s="132" t="str">
        <f>IF(ISNUMBER(P224), IF(Dashboard!$H$6&lt;&gt;"Horizontal",IF(S224="S",INDEX($AD$4:$AD$503,MATCH(P224,$AB$4:$AB$503,0),1)+boxDistance*(T224+IF(Y224="No",IF(ISODD(T224),IF(T224&gt;0,1,-1),0),0))*IF(Y224="No",IF(ISODD(T224),0.5,-0.5),1),timelineStartColumn-boxDistance * IF(AND(ISNUMBER(V224),V224&gt;1),V224*0.85,1)   ),IF( S224="S",INDEX($AD$4:$AD$503,MATCH(P224,$AB$4:$AB$503,0),1),INDEX($AD$4:$AD$503,MATCH(P224,$AB$4:$AB$503,0),1)&amp;"-"&amp;INDEX($AD$4:$AD$503,MATCH(Q224,$AB$4:$AB$503,0),1))),"")</f>
        <v/>
      </c>
      <c r="AG224" s="133" t="str">
        <f t="shared" si="56"/>
        <v/>
      </c>
      <c r="AH224" s="134" t="str">
        <f t="shared" si="50"/>
        <v/>
      </c>
      <c r="AI224" s="135" t="str">
        <f t="shared" si="51"/>
        <v/>
      </c>
      <c r="AJ224" s="135" t="str">
        <f t="shared" si="57"/>
        <v/>
      </c>
      <c r="AK224" s="126" t="str">
        <f t="shared" si="58"/>
        <v/>
      </c>
      <c r="AL224" s="126" t="str">
        <f ca="1">IFERROR(IF(AK224="","", MATCH(AK224,OFFSET(Icons!$B$5,1,AM224-3,20,1),0)+5),"")</f>
        <v/>
      </c>
      <c r="AM224" s="126" t="str">
        <f t="shared" si="59"/>
        <v/>
      </c>
      <c r="AN224" s="90"/>
    </row>
    <row r="225" spans="5:40" ht="15" customHeight="1" x14ac:dyDescent="0.25">
      <c r="E225" s="126">
        <v>222</v>
      </c>
      <c r="F225" s="126"/>
      <c r="G225" s="127"/>
      <c r="H225" s="127"/>
      <c r="I225" s="126"/>
      <c r="K225" s="137" t="str">
        <f t="shared" si="52"/>
        <v/>
      </c>
      <c r="L225" s="127" t="str">
        <f t="shared" si="47"/>
        <v/>
      </c>
      <c r="N225" s="128" t="str">
        <f t="shared" si="53"/>
        <v/>
      </c>
      <c r="O225" s="126" t="str">
        <f t="array" ref="O225">IFERROR(SMALL(IF(($G$4:$G$253=P225),ROW($G$4:$G$253)-ROW($G$3),"" ),N225),"")</f>
        <v/>
      </c>
      <c r="P225" s="127" t="str">
        <f t="array" ref="P225">IFERROR(SMALL($G$4:$G$253,E225),"")</f>
        <v/>
      </c>
      <c r="Q225" s="127" t="str">
        <f t="shared" si="54"/>
        <v/>
      </c>
      <c r="R225" s="126" t="str">
        <f t="shared" si="55"/>
        <v/>
      </c>
      <c r="S225" s="126" t="str">
        <f t="shared" si="48"/>
        <v/>
      </c>
      <c r="T225" s="128" t="str">
        <f>IF(OR(S225="R",S225=""),"",COUNTIFS($P$4:P225,P225,$S$4:S225,"S")*U225)</f>
        <v/>
      </c>
      <c r="U225" s="128" t="str">
        <f>IF(ISNUMBER(N225),IF($C$11=TRUE,IF(OR(ISODD(COUNTIF($N$4:N225,1)),Y225="Yes"),1,-1),1),"")</f>
        <v/>
      </c>
      <c r="V225" s="128" t="str">
        <f ca="1">IFERROR(IF(AND(S225="R",W225&lt;&gt;""),1,IF(S225="R",MAX(OFFSET(V224,0,0,-1*(ROW(W225)-3-MATCH(MAX($W$4:W224),$W$4:W224,0)),1))+1,"")),"")</f>
        <v/>
      </c>
      <c r="W225" s="129" t="str">
        <f>IFERROR(IF(AND(S225="R", P225&gt;MAX($X$3:X224)),P225,""),"")</f>
        <v/>
      </c>
      <c r="X225" s="129" t="str">
        <f>IFERROR(IF(AND(W225="",Q225&gt;=MAX($X$3:X224)),IF(S225="R",Q225,IF(AND(W225="",P225&lt;=MAX($X$3:X224)),MAX($X$3:X224),"")),IF(W225&lt;&gt;"", Q225,"")),"")</f>
        <v/>
      </c>
      <c r="Y225" s="126" t="str">
        <f>IF(S225="S",IF(OR(P225&lt;=MAX($X$3:X224),P225&gt;=IF(MIN(W$53:$W226)&lt;1,99999999,MIN(W$53:$W226))),"Yes","No"),"")</f>
        <v/>
      </c>
      <c r="AA225" s="130" t="str">
        <f t="shared" si="49"/>
        <v/>
      </c>
      <c r="AB225" s="131" t="str">
        <f t="array" ref="AB225">IF(AA225&lt;=$AA$2,MIN(IF($L$4:$L$503&lt;=AB224,99999999999,$L$4:$L$503)),"")</f>
        <v/>
      </c>
      <c r="AC225" s="130" t="str">
        <f>IF(ISNUMBER(AA225),IF(Dashboard!$H$6&lt;&gt;"Horizontal",AC224+dateDistance,AC224),"")</f>
        <v/>
      </c>
      <c r="AD225" s="130" t="str">
        <f>IF(ISNUMBER(AA225),IF(Dashboard!$H$6="Horizontal",AD224+dateDistance,AD224),"")</f>
        <v/>
      </c>
      <c r="AE225" s="132" t="str">
        <f>IF(ISNUMBER(P225), IF(Dashboard!$H$6="Horizontal",IF(S225="S",INDEX($AC$4:$AC$503,MATCH(P225,$AB$4:$AB$503,0),1)+boxDistance*(T225+IF(Y225="No",IF(ISODD(T225),IF(T225&gt;0,1,-1),0),0))*IF(Y225="No",IF(ISODD(T225),0.5,-0.5),1),timelineStartRow - boxDistance * V225),IF( S225="S",INDEX($AC$4:$AC$503,MATCH(P225,$AB$4:$AB$503,0),1),INDEX($AC$4:$AC$503,MATCH(P225,$AB$4:$AB$503,0),1)&amp;"-"&amp;INDEX($AC$4:$AC$503,MATCH(Q225,$AB$4:$AB$503,0),1))),"")</f>
        <v/>
      </c>
      <c r="AF225" s="132" t="str">
        <f>IF(ISNUMBER(P225), IF(Dashboard!$H$6&lt;&gt;"Horizontal",IF(S225="S",INDEX($AD$4:$AD$503,MATCH(P225,$AB$4:$AB$503,0),1)+boxDistance*(T225+IF(Y225="No",IF(ISODD(T225),IF(T225&gt;0,1,-1),0),0))*IF(Y225="No",IF(ISODD(T225),0.5,-0.5),1),timelineStartColumn-boxDistance * IF(AND(ISNUMBER(V225),V225&gt;1),V225*0.85,1)   ),IF( S225="S",INDEX($AD$4:$AD$503,MATCH(P225,$AB$4:$AB$503,0),1),INDEX($AD$4:$AD$503,MATCH(P225,$AB$4:$AB$503,0),1)&amp;"-"&amp;INDEX($AD$4:$AD$503,MATCH(Q225,$AB$4:$AB$503,0),1))),"")</f>
        <v/>
      </c>
      <c r="AG225" s="133" t="str">
        <f t="shared" si="56"/>
        <v/>
      </c>
      <c r="AH225" s="134" t="str">
        <f t="shared" si="50"/>
        <v/>
      </c>
      <c r="AI225" s="135" t="str">
        <f t="shared" si="51"/>
        <v/>
      </c>
      <c r="AJ225" s="135" t="str">
        <f t="shared" si="57"/>
        <v/>
      </c>
      <c r="AK225" s="126" t="str">
        <f t="shared" si="58"/>
        <v/>
      </c>
      <c r="AL225" s="126" t="str">
        <f ca="1">IFERROR(IF(AK225="","", MATCH(AK225,OFFSET(Icons!$B$5,1,AM225-3,20,1),0)+5),"")</f>
        <v/>
      </c>
      <c r="AM225" s="126" t="str">
        <f t="shared" si="59"/>
        <v/>
      </c>
      <c r="AN225" s="90"/>
    </row>
    <row r="226" spans="5:40" ht="15" customHeight="1" x14ac:dyDescent="0.25">
      <c r="E226" s="126">
        <v>223</v>
      </c>
      <c r="F226" s="126"/>
      <c r="G226" s="127"/>
      <c r="H226" s="127"/>
      <c r="I226" s="126"/>
      <c r="K226" s="137" t="str">
        <f t="shared" si="52"/>
        <v/>
      </c>
      <c r="L226" s="127" t="str">
        <f t="shared" si="47"/>
        <v/>
      </c>
      <c r="N226" s="128" t="str">
        <f t="shared" si="53"/>
        <v/>
      </c>
      <c r="O226" s="126" t="str">
        <f t="array" ref="O226">IFERROR(SMALL(IF(($G$4:$G$253=P226),ROW($G$4:$G$253)-ROW($G$3),"" ),N226),"")</f>
        <v/>
      </c>
      <c r="P226" s="127" t="str">
        <f t="array" ref="P226">IFERROR(SMALL($G$4:$G$253,E226),"")</f>
        <v/>
      </c>
      <c r="Q226" s="127" t="str">
        <f t="shared" si="54"/>
        <v/>
      </c>
      <c r="R226" s="126" t="str">
        <f t="shared" si="55"/>
        <v/>
      </c>
      <c r="S226" s="126" t="str">
        <f t="shared" si="48"/>
        <v/>
      </c>
      <c r="T226" s="128" t="str">
        <f>IF(OR(S226="R",S226=""),"",COUNTIFS($P$4:P226,P226,$S$4:S226,"S")*U226)</f>
        <v/>
      </c>
      <c r="U226" s="128" t="str">
        <f>IF(ISNUMBER(N226),IF($C$11=TRUE,IF(OR(ISODD(COUNTIF($N$4:N226,1)),Y226="Yes"),1,-1),1),"")</f>
        <v/>
      </c>
      <c r="V226" s="128" t="str">
        <f ca="1">IFERROR(IF(AND(S226="R",W226&lt;&gt;""),1,IF(S226="R",MAX(OFFSET(V225,0,0,-1*(ROW(W226)-3-MATCH(MAX($W$4:W225),$W$4:W225,0)),1))+1,"")),"")</f>
        <v/>
      </c>
      <c r="W226" s="129" t="str">
        <f>IFERROR(IF(AND(S226="R", P226&gt;MAX($X$3:X225)),P226,""),"")</f>
        <v/>
      </c>
      <c r="X226" s="129" t="str">
        <f>IFERROR(IF(AND(W226="",Q226&gt;=MAX($X$3:X225)),IF(S226="R",Q226,IF(AND(W226="",P226&lt;=MAX($X$3:X225)),MAX($X$3:X225),"")),IF(W226&lt;&gt;"", Q226,"")),"")</f>
        <v/>
      </c>
      <c r="Y226" s="126" t="str">
        <f>IF(S226="S",IF(OR(P226&lt;=MAX($X$3:X225),P226&gt;=IF(MIN(W$53:$W227)&lt;1,99999999,MIN(W$53:$W227))),"Yes","No"),"")</f>
        <v/>
      </c>
      <c r="AA226" s="130" t="str">
        <f t="shared" si="49"/>
        <v/>
      </c>
      <c r="AB226" s="131" t="str">
        <f t="array" ref="AB226">IF(AA226&lt;=$AA$2,MIN(IF($L$4:$L$503&lt;=AB225,99999999999,$L$4:$L$503)),"")</f>
        <v/>
      </c>
      <c r="AC226" s="130" t="str">
        <f>IF(ISNUMBER(AA226),IF(Dashboard!$H$6&lt;&gt;"Horizontal",AC225+dateDistance,AC225),"")</f>
        <v/>
      </c>
      <c r="AD226" s="130" t="str">
        <f>IF(ISNUMBER(AA226),IF(Dashboard!$H$6="Horizontal",AD225+dateDistance,AD225),"")</f>
        <v/>
      </c>
      <c r="AE226" s="132" t="str">
        <f>IF(ISNUMBER(P226), IF(Dashboard!$H$6="Horizontal",IF(S226="S",INDEX($AC$4:$AC$503,MATCH(P226,$AB$4:$AB$503,0),1)+boxDistance*(T226+IF(Y226="No",IF(ISODD(T226),IF(T226&gt;0,1,-1),0),0))*IF(Y226="No",IF(ISODD(T226),0.5,-0.5),1),timelineStartRow - boxDistance * V226),IF( S226="S",INDEX($AC$4:$AC$503,MATCH(P226,$AB$4:$AB$503,0),1),INDEX($AC$4:$AC$503,MATCH(P226,$AB$4:$AB$503,0),1)&amp;"-"&amp;INDEX($AC$4:$AC$503,MATCH(Q226,$AB$4:$AB$503,0),1))),"")</f>
        <v/>
      </c>
      <c r="AF226" s="132" t="str">
        <f>IF(ISNUMBER(P226), IF(Dashboard!$H$6&lt;&gt;"Horizontal",IF(S226="S",INDEX($AD$4:$AD$503,MATCH(P226,$AB$4:$AB$503,0),1)+boxDistance*(T226+IF(Y226="No",IF(ISODD(T226),IF(T226&gt;0,1,-1),0),0))*IF(Y226="No",IF(ISODD(T226),0.5,-0.5),1),timelineStartColumn-boxDistance * IF(AND(ISNUMBER(V226),V226&gt;1),V226*0.85,1)   ),IF( S226="S",INDEX($AD$4:$AD$503,MATCH(P226,$AB$4:$AB$503,0),1),INDEX($AD$4:$AD$503,MATCH(P226,$AB$4:$AB$503,0),1)&amp;"-"&amp;INDEX($AD$4:$AD$503,MATCH(Q226,$AB$4:$AB$503,0),1))),"")</f>
        <v/>
      </c>
      <c r="AG226" s="133" t="str">
        <f t="shared" si="56"/>
        <v/>
      </c>
      <c r="AH226" s="134" t="str">
        <f t="shared" si="50"/>
        <v/>
      </c>
      <c r="AI226" s="135" t="str">
        <f t="shared" si="51"/>
        <v/>
      </c>
      <c r="AJ226" s="135" t="str">
        <f t="shared" si="57"/>
        <v/>
      </c>
      <c r="AK226" s="126" t="str">
        <f t="shared" si="58"/>
        <v/>
      </c>
      <c r="AL226" s="126" t="str">
        <f ca="1">IFERROR(IF(AK226="","", MATCH(AK226,OFFSET(Icons!$B$5,1,AM226-3,20,1),0)+5),"")</f>
        <v/>
      </c>
      <c r="AM226" s="126" t="str">
        <f t="shared" si="59"/>
        <v/>
      </c>
      <c r="AN226" s="90"/>
    </row>
    <row r="227" spans="5:40" ht="15" customHeight="1" x14ac:dyDescent="0.25">
      <c r="E227" s="126">
        <v>224</v>
      </c>
      <c r="F227" s="126"/>
      <c r="G227" s="127"/>
      <c r="H227" s="127"/>
      <c r="I227" s="126"/>
      <c r="K227" s="137" t="str">
        <f t="shared" si="52"/>
        <v/>
      </c>
      <c r="L227" s="127" t="str">
        <f t="shared" si="47"/>
        <v/>
      </c>
      <c r="N227" s="128" t="str">
        <f t="shared" si="53"/>
        <v/>
      </c>
      <c r="O227" s="126" t="str">
        <f t="array" ref="O227">IFERROR(SMALL(IF(($G$4:$G$253=P227),ROW($G$4:$G$253)-ROW($G$3),"" ),N227),"")</f>
        <v/>
      </c>
      <c r="P227" s="127" t="str">
        <f t="array" ref="P227">IFERROR(SMALL($G$4:$G$253,E227),"")</f>
        <v/>
      </c>
      <c r="Q227" s="127" t="str">
        <f t="shared" si="54"/>
        <v/>
      </c>
      <c r="R227" s="126" t="str">
        <f t="shared" si="55"/>
        <v/>
      </c>
      <c r="S227" s="126" t="str">
        <f t="shared" si="48"/>
        <v/>
      </c>
      <c r="T227" s="128" t="str">
        <f>IF(OR(S227="R",S227=""),"",COUNTIFS($P$4:P227,P227,$S$4:S227,"S")*U227)</f>
        <v/>
      </c>
      <c r="U227" s="128" t="str">
        <f>IF(ISNUMBER(N227),IF($C$11=TRUE,IF(OR(ISODD(COUNTIF($N$4:N227,1)),Y227="Yes"),1,-1),1),"")</f>
        <v/>
      </c>
      <c r="V227" s="128" t="str">
        <f ca="1">IFERROR(IF(AND(S227="R",W227&lt;&gt;""),1,IF(S227="R",MAX(OFFSET(V226,0,0,-1*(ROW(W227)-3-MATCH(MAX($W$4:W226),$W$4:W226,0)),1))+1,"")),"")</f>
        <v/>
      </c>
      <c r="W227" s="129" t="str">
        <f>IFERROR(IF(AND(S227="R", P227&gt;MAX($X$3:X226)),P227,""),"")</f>
        <v/>
      </c>
      <c r="X227" s="129" t="str">
        <f>IFERROR(IF(AND(W227="",Q227&gt;=MAX($X$3:X226)),IF(S227="R",Q227,IF(AND(W227="",P227&lt;=MAX($X$3:X226)),MAX($X$3:X226),"")),IF(W227&lt;&gt;"", Q227,"")),"")</f>
        <v/>
      </c>
      <c r="Y227" s="126" t="str">
        <f>IF(S227="S",IF(OR(P227&lt;=MAX($X$3:X226),P227&gt;=IF(MIN(W$53:$W228)&lt;1,99999999,MIN(W$53:$W228))),"Yes","No"),"")</f>
        <v/>
      </c>
      <c r="AA227" s="130" t="str">
        <f t="shared" si="49"/>
        <v/>
      </c>
      <c r="AB227" s="131" t="str">
        <f t="array" ref="AB227">IF(AA227&lt;=$AA$2,MIN(IF($L$4:$L$503&lt;=AB226,99999999999,$L$4:$L$503)),"")</f>
        <v/>
      </c>
      <c r="AC227" s="130" t="str">
        <f>IF(ISNUMBER(AA227),IF(Dashboard!$H$6&lt;&gt;"Horizontal",AC226+dateDistance,AC226),"")</f>
        <v/>
      </c>
      <c r="AD227" s="130" t="str">
        <f>IF(ISNUMBER(AA227),IF(Dashboard!$H$6="Horizontal",AD226+dateDistance,AD226),"")</f>
        <v/>
      </c>
      <c r="AE227" s="132" t="str">
        <f>IF(ISNUMBER(P227), IF(Dashboard!$H$6="Horizontal",IF(S227="S",INDEX($AC$4:$AC$503,MATCH(P227,$AB$4:$AB$503,0),1)+boxDistance*(T227+IF(Y227="No",IF(ISODD(T227),IF(T227&gt;0,1,-1),0),0))*IF(Y227="No",IF(ISODD(T227),0.5,-0.5),1),timelineStartRow - boxDistance * V227),IF( S227="S",INDEX($AC$4:$AC$503,MATCH(P227,$AB$4:$AB$503,0),1),INDEX($AC$4:$AC$503,MATCH(P227,$AB$4:$AB$503,0),1)&amp;"-"&amp;INDEX($AC$4:$AC$503,MATCH(Q227,$AB$4:$AB$503,0),1))),"")</f>
        <v/>
      </c>
      <c r="AF227" s="132" t="str">
        <f>IF(ISNUMBER(P227), IF(Dashboard!$H$6&lt;&gt;"Horizontal",IF(S227="S",INDEX($AD$4:$AD$503,MATCH(P227,$AB$4:$AB$503,0),1)+boxDistance*(T227+IF(Y227="No",IF(ISODD(T227),IF(T227&gt;0,1,-1),0),0))*IF(Y227="No",IF(ISODD(T227),0.5,-0.5),1),timelineStartColumn-boxDistance * IF(AND(ISNUMBER(V227),V227&gt;1),V227*0.85,1)   ),IF( S227="S",INDEX($AD$4:$AD$503,MATCH(P227,$AB$4:$AB$503,0),1),INDEX($AD$4:$AD$503,MATCH(P227,$AB$4:$AB$503,0),1)&amp;"-"&amp;INDEX($AD$4:$AD$503,MATCH(Q227,$AB$4:$AB$503,0),1))),"")</f>
        <v/>
      </c>
      <c r="AG227" s="133" t="str">
        <f t="shared" si="56"/>
        <v/>
      </c>
      <c r="AH227" s="134" t="str">
        <f t="shared" si="50"/>
        <v/>
      </c>
      <c r="AI227" s="135" t="str">
        <f t="shared" si="51"/>
        <v/>
      </c>
      <c r="AJ227" s="135" t="str">
        <f t="shared" si="57"/>
        <v/>
      </c>
      <c r="AK227" s="126" t="str">
        <f t="shared" si="58"/>
        <v/>
      </c>
      <c r="AL227" s="126" t="str">
        <f ca="1">IFERROR(IF(AK227="","", MATCH(AK227,OFFSET(Icons!$B$5,1,AM227-3,20,1),0)+5),"")</f>
        <v/>
      </c>
      <c r="AM227" s="126" t="str">
        <f t="shared" si="59"/>
        <v/>
      </c>
      <c r="AN227" s="90"/>
    </row>
    <row r="228" spans="5:40" ht="15" customHeight="1" x14ac:dyDescent="0.25">
      <c r="E228" s="126">
        <v>225</v>
      </c>
      <c r="F228" s="126"/>
      <c r="G228" s="127"/>
      <c r="H228" s="127"/>
      <c r="I228" s="126"/>
      <c r="K228" s="137" t="str">
        <f t="shared" si="52"/>
        <v/>
      </c>
      <c r="L228" s="127" t="str">
        <f t="shared" si="47"/>
        <v/>
      </c>
      <c r="N228" s="128" t="str">
        <f t="shared" si="53"/>
        <v/>
      </c>
      <c r="O228" s="126" t="str">
        <f t="array" ref="O228">IFERROR(SMALL(IF(($G$4:$G$253=P228),ROW($G$4:$G$253)-ROW($G$3),"" ),N228),"")</f>
        <v/>
      </c>
      <c r="P228" s="127" t="str">
        <f t="array" ref="P228">IFERROR(SMALL($G$4:$G$253,E228),"")</f>
        <v/>
      </c>
      <c r="Q228" s="127" t="str">
        <f t="shared" si="54"/>
        <v/>
      </c>
      <c r="R228" s="126" t="str">
        <f t="shared" si="55"/>
        <v/>
      </c>
      <c r="S228" s="126" t="str">
        <f t="shared" si="48"/>
        <v/>
      </c>
      <c r="T228" s="128" t="str">
        <f>IF(OR(S228="R",S228=""),"",COUNTIFS($P$4:P228,P228,$S$4:S228,"S")*U228)</f>
        <v/>
      </c>
      <c r="U228" s="128" t="str">
        <f>IF(ISNUMBER(N228),IF($C$11=TRUE,IF(OR(ISODD(COUNTIF($N$4:N228,1)),Y228="Yes"),1,-1),1),"")</f>
        <v/>
      </c>
      <c r="V228" s="128" t="str">
        <f ca="1">IFERROR(IF(AND(S228="R",W228&lt;&gt;""),1,IF(S228="R",MAX(OFFSET(V227,0,0,-1*(ROW(W228)-3-MATCH(MAX($W$4:W227),$W$4:W227,0)),1))+1,"")),"")</f>
        <v/>
      </c>
      <c r="W228" s="129" t="str">
        <f>IFERROR(IF(AND(S228="R", P228&gt;MAX($X$3:X227)),P228,""),"")</f>
        <v/>
      </c>
      <c r="X228" s="129" t="str">
        <f>IFERROR(IF(AND(W228="",Q228&gt;=MAX($X$3:X227)),IF(S228="R",Q228,IF(AND(W228="",P228&lt;=MAX($X$3:X227)),MAX($X$3:X227),"")),IF(W228&lt;&gt;"", Q228,"")),"")</f>
        <v/>
      </c>
      <c r="Y228" s="126" t="str">
        <f>IF(S228="S",IF(OR(P228&lt;=MAX($X$3:X227),P228&gt;=IF(MIN(W$53:$W229)&lt;1,99999999,MIN(W$53:$W229))),"Yes","No"),"")</f>
        <v/>
      </c>
      <c r="AA228" s="130" t="str">
        <f t="shared" si="49"/>
        <v/>
      </c>
      <c r="AB228" s="131" t="str">
        <f t="array" ref="AB228">IF(AA228&lt;=$AA$2,MIN(IF($L$4:$L$503&lt;=AB227,99999999999,$L$4:$L$503)),"")</f>
        <v/>
      </c>
      <c r="AC228" s="130" t="str">
        <f>IF(ISNUMBER(AA228),IF(Dashboard!$H$6&lt;&gt;"Horizontal",AC227+dateDistance,AC227),"")</f>
        <v/>
      </c>
      <c r="AD228" s="130" t="str">
        <f>IF(ISNUMBER(AA228),IF(Dashboard!$H$6="Horizontal",AD227+dateDistance,AD227),"")</f>
        <v/>
      </c>
      <c r="AE228" s="132" t="str">
        <f>IF(ISNUMBER(P228), IF(Dashboard!$H$6="Horizontal",IF(S228="S",INDEX($AC$4:$AC$503,MATCH(P228,$AB$4:$AB$503,0),1)+boxDistance*(T228+IF(Y228="No",IF(ISODD(T228),IF(T228&gt;0,1,-1),0),0))*IF(Y228="No",IF(ISODD(T228),0.5,-0.5),1),timelineStartRow - boxDistance * V228),IF( S228="S",INDEX($AC$4:$AC$503,MATCH(P228,$AB$4:$AB$503,0),1),INDEX($AC$4:$AC$503,MATCH(P228,$AB$4:$AB$503,0),1)&amp;"-"&amp;INDEX($AC$4:$AC$503,MATCH(Q228,$AB$4:$AB$503,0),1))),"")</f>
        <v/>
      </c>
      <c r="AF228" s="132" t="str">
        <f>IF(ISNUMBER(P228), IF(Dashboard!$H$6&lt;&gt;"Horizontal",IF(S228="S",INDEX($AD$4:$AD$503,MATCH(P228,$AB$4:$AB$503,0),1)+boxDistance*(T228+IF(Y228="No",IF(ISODD(T228),IF(T228&gt;0,1,-1),0),0))*IF(Y228="No",IF(ISODD(T228),0.5,-0.5),1),timelineStartColumn-boxDistance * IF(AND(ISNUMBER(V228),V228&gt;1),V228*0.85,1)   ),IF( S228="S",INDEX($AD$4:$AD$503,MATCH(P228,$AB$4:$AB$503,0),1),INDEX($AD$4:$AD$503,MATCH(P228,$AB$4:$AB$503,0),1)&amp;"-"&amp;INDEX($AD$4:$AD$503,MATCH(Q228,$AB$4:$AB$503,0),1))),"")</f>
        <v/>
      </c>
      <c r="AG228" s="133" t="str">
        <f t="shared" si="56"/>
        <v/>
      </c>
      <c r="AH228" s="134" t="str">
        <f t="shared" si="50"/>
        <v/>
      </c>
      <c r="AI228" s="135" t="str">
        <f t="shared" si="51"/>
        <v/>
      </c>
      <c r="AJ228" s="135" t="str">
        <f t="shared" si="57"/>
        <v/>
      </c>
      <c r="AK228" s="126" t="str">
        <f t="shared" si="58"/>
        <v/>
      </c>
      <c r="AL228" s="126" t="str">
        <f ca="1">IFERROR(IF(AK228="","", MATCH(AK228,OFFSET(Icons!$B$5,1,AM228-3,20,1),0)+5),"")</f>
        <v/>
      </c>
      <c r="AM228" s="126" t="str">
        <f t="shared" si="59"/>
        <v/>
      </c>
      <c r="AN228" s="90"/>
    </row>
    <row r="229" spans="5:40" ht="15" customHeight="1" x14ac:dyDescent="0.25">
      <c r="E229" s="126">
        <v>226</v>
      </c>
      <c r="F229" s="126"/>
      <c r="G229" s="127"/>
      <c r="H229" s="127"/>
      <c r="I229" s="126"/>
      <c r="K229" s="137" t="str">
        <f t="shared" si="52"/>
        <v/>
      </c>
      <c r="L229" s="127" t="str">
        <f t="shared" si="47"/>
        <v/>
      </c>
      <c r="N229" s="128" t="str">
        <f t="shared" si="53"/>
        <v/>
      </c>
      <c r="O229" s="126" t="str">
        <f t="array" ref="O229">IFERROR(SMALL(IF(($G$4:$G$253=P229),ROW($G$4:$G$253)-ROW($G$3),"" ),N229),"")</f>
        <v/>
      </c>
      <c r="P229" s="127" t="str">
        <f t="array" ref="P229">IFERROR(SMALL($G$4:$G$253,E229),"")</f>
        <v/>
      </c>
      <c r="Q229" s="127" t="str">
        <f t="shared" si="54"/>
        <v/>
      </c>
      <c r="R229" s="126" t="str">
        <f t="shared" si="55"/>
        <v/>
      </c>
      <c r="S229" s="126" t="str">
        <f t="shared" si="48"/>
        <v/>
      </c>
      <c r="T229" s="128" t="str">
        <f>IF(OR(S229="R",S229=""),"",COUNTIFS($P$4:P229,P229,$S$4:S229,"S")*U229)</f>
        <v/>
      </c>
      <c r="U229" s="128" t="str">
        <f>IF(ISNUMBER(N229),IF($C$11=TRUE,IF(OR(ISODD(COUNTIF($N$4:N229,1)),Y229="Yes"),1,-1),1),"")</f>
        <v/>
      </c>
      <c r="V229" s="128" t="str">
        <f ca="1">IFERROR(IF(AND(S229="R",W229&lt;&gt;""),1,IF(S229="R",MAX(OFFSET(V228,0,0,-1*(ROW(W229)-3-MATCH(MAX($W$4:W228),$W$4:W228,0)),1))+1,"")),"")</f>
        <v/>
      </c>
      <c r="W229" s="129" t="str">
        <f>IFERROR(IF(AND(S229="R", P229&gt;MAX($X$3:X228)),P229,""),"")</f>
        <v/>
      </c>
      <c r="X229" s="129" t="str">
        <f>IFERROR(IF(AND(W229="",Q229&gt;=MAX($X$3:X228)),IF(S229="R",Q229,IF(AND(W229="",P229&lt;=MAX($X$3:X228)),MAX($X$3:X228),"")),IF(W229&lt;&gt;"", Q229,"")),"")</f>
        <v/>
      </c>
      <c r="Y229" s="126" t="str">
        <f>IF(S229="S",IF(OR(P229&lt;=MAX($X$3:X228),P229&gt;=IF(MIN(W$53:$W230)&lt;1,99999999,MIN(W$53:$W230))),"Yes","No"),"")</f>
        <v/>
      </c>
      <c r="AA229" s="130" t="str">
        <f t="shared" si="49"/>
        <v/>
      </c>
      <c r="AB229" s="131" t="str">
        <f t="array" ref="AB229">IF(AA229&lt;=$AA$2,MIN(IF($L$4:$L$503&lt;=AB228,99999999999,$L$4:$L$503)),"")</f>
        <v/>
      </c>
      <c r="AC229" s="130" t="str">
        <f>IF(ISNUMBER(AA229),IF(Dashboard!$H$6&lt;&gt;"Horizontal",AC228+dateDistance,AC228),"")</f>
        <v/>
      </c>
      <c r="AD229" s="130" t="str">
        <f>IF(ISNUMBER(AA229),IF(Dashboard!$H$6="Horizontal",AD228+dateDistance,AD228),"")</f>
        <v/>
      </c>
      <c r="AE229" s="132" t="str">
        <f>IF(ISNUMBER(P229), IF(Dashboard!$H$6="Horizontal",IF(S229="S",INDEX($AC$4:$AC$503,MATCH(P229,$AB$4:$AB$503,0),1)+boxDistance*(T229+IF(Y229="No",IF(ISODD(T229),IF(T229&gt;0,1,-1),0),0))*IF(Y229="No",IF(ISODD(T229),0.5,-0.5),1),timelineStartRow - boxDistance * V229),IF( S229="S",INDEX($AC$4:$AC$503,MATCH(P229,$AB$4:$AB$503,0),1),INDEX($AC$4:$AC$503,MATCH(P229,$AB$4:$AB$503,0),1)&amp;"-"&amp;INDEX($AC$4:$AC$503,MATCH(Q229,$AB$4:$AB$503,0),1))),"")</f>
        <v/>
      </c>
      <c r="AF229" s="132" t="str">
        <f>IF(ISNUMBER(P229), IF(Dashboard!$H$6&lt;&gt;"Horizontal",IF(S229="S",INDEX($AD$4:$AD$503,MATCH(P229,$AB$4:$AB$503,0),1)+boxDistance*(T229+IF(Y229="No",IF(ISODD(T229),IF(T229&gt;0,1,-1),0),0))*IF(Y229="No",IF(ISODD(T229),0.5,-0.5),1),timelineStartColumn-boxDistance * IF(AND(ISNUMBER(V229),V229&gt;1),V229*0.85,1)   ),IF( S229="S",INDEX($AD$4:$AD$503,MATCH(P229,$AB$4:$AB$503,0),1),INDEX($AD$4:$AD$503,MATCH(P229,$AB$4:$AB$503,0),1)&amp;"-"&amp;INDEX($AD$4:$AD$503,MATCH(Q229,$AB$4:$AB$503,0),1))),"")</f>
        <v/>
      </c>
      <c r="AG229" s="133" t="str">
        <f t="shared" si="56"/>
        <v/>
      </c>
      <c r="AH229" s="134" t="str">
        <f t="shared" si="50"/>
        <v/>
      </c>
      <c r="AI229" s="135" t="str">
        <f t="shared" si="51"/>
        <v/>
      </c>
      <c r="AJ229" s="135" t="str">
        <f t="shared" si="57"/>
        <v/>
      </c>
      <c r="AK229" s="126" t="str">
        <f t="shared" si="58"/>
        <v/>
      </c>
      <c r="AL229" s="126" t="str">
        <f ca="1">IFERROR(IF(AK229="","", MATCH(AK229,OFFSET(Icons!$B$5,1,AM229-3,20,1),0)+5),"")</f>
        <v/>
      </c>
      <c r="AM229" s="126" t="str">
        <f t="shared" si="59"/>
        <v/>
      </c>
      <c r="AN229" s="90"/>
    </row>
    <row r="230" spans="5:40" ht="15" customHeight="1" x14ac:dyDescent="0.25">
      <c r="E230" s="126">
        <v>227</v>
      </c>
      <c r="F230" s="126"/>
      <c r="G230" s="127"/>
      <c r="H230" s="127"/>
      <c r="I230" s="126"/>
      <c r="K230" s="137" t="str">
        <f t="shared" si="52"/>
        <v/>
      </c>
      <c r="L230" s="127" t="str">
        <f t="shared" si="47"/>
        <v/>
      </c>
      <c r="N230" s="128" t="str">
        <f t="shared" si="53"/>
        <v/>
      </c>
      <c r="O230" s="126" t="str">
        <f t="array" ref="O230">IFERROR(SMALL(IF(($G$4:$G$253=P230),ROW($G$4:$G$253)-ROW($G$3),"" ),N230),"")</f>
        <v/>
      </c>
      <c r="P230" s="127" t="str">
        <f t="array" ref="P230">IFERROR(SMALL($G$4:$G$253,E230),"")</f>
        <v/>
      </c>
      <c r="Q230" s="127" t="str">
        <f t="shared" si="54"/>
        <v/>
      </c>
      <c r="R230" s="126" t="str">
        <f t="shared" si="55"/>
        <v/>
      </c>
      <c r="S230" s="126" t="str">
        <f t="shared" si="48"/>
        <v/>
      </c>
      <c r="T230" s="128" t="str">
        <f>IF(OR(S230="R",S230=""),"",COUNTIFS($P$4:P230,P230,$S$4:S230,"S")*U230)</f>
        <v/>
      </c>
      <c r="U230" s="128" t="str">
        <f>IF(ISNUMBER(N230),IF($C$11=TRUE,IF(OR(ISODD(COUNTIF($N$4:N230,1)),Y230="Yes"),1,-1),1),"")</f>
        <v/>
      </c>
      <c r="V230" s="128" t="str">
        <f ca="1">IFERROR(IF(AND(S230="R",W230&lt;&gt;""),1,IF(S230="R",MAX(OFFSET(V229,0,0,-1*(ROW(W230)-3-MATCH(MAX($W$4:W229),$W$4:W229,0)),1))+1,"")),"")</f>
        <v/>
      </c>
      <c r="W230" s="129" t="str">
        <f>IFERROR(IF(AND(S230="R", P230&gt;MAX($X$3:X229)),P230,""),"")</f>
        <v/>
      </c>
      <c r="X230" s="129" t="str">
        <f>IFERROR(IF(AND(W230="",Q230&gt;=MAX($X$3:X229)),IF(S230="R",Q230,IF(AND(W230="",P230&lt;=MAX($X$3:X229)),MAX($X$3:X229),"")),IF(W230&lt;&gt;"", Q230,"")),"")</f>
        <v/>
      </c>
      <c r="Y230" s="126" t="str">
        <f>IF(S230="S",IF(OR(P230&lt;=MAX($X$3:X229),P230&gt;=IF(MIN(W$53:$W231)&lt;1,99999999,MIN(W$53:$W231))),"Yes","No"),"")</f>
        <v/>
      </c>
      <c r="AA230" s="130" t="str">
        <f t="shared" si="49"/>
        <v/>
      </c>
      <c r="AB230" s="131" t="str">
        <f t="array" ref="AB230">IF(AA230&lt;=$AA$2,MIN(IF($L$4:$L$503&lt;=AB229,99999999999,$L$4:$L$503)),"")</f>
        <v/>
      </c>
      <c r="AC230" s="130" t="str">
        <f>IF(ISNUMBER(AA230),IF(Dashboard!$H$6&lt;&gt;"Horizontal",AC229+dateDistance,AC229),"")</f>
        <v/>
      </c>
      <c r="AD230" s="130" t="str">
        <f>IF(ISNUMBER(AA230),IF(Dashboard!$H$6="Horizontal",AD229+dateDistance,AD229),"")</f>
        <v/>
      </c>
      <c r="AE230" s="132" t="str">
        <f>IF(ISNUMBER(P230), IF(Dashboard!$H$6="Horizontal",IF(S230="S",INDEX($AC$4:$AC$503,MATCH(P230,$AB$4:$AB$503,0),1)+boxDistance*(T230+IF(Y230="No",IF(ISODD(T230),IF(T230&gt;0,1,-1),0),0))*IF(Y230="No",IF(ISODD(T230),0.5,-0.5),1),timelineStartRow - boxDistance * V230),IF( S230="S",INDEX($AC$4:$AC$503,MATCH(P230,$AB$4:$AB$503,0),1),INDEX($AC$4:$AC$503,MATCH(P230,$AB$4:$AB$503,0),1)&amp;"-"&amp;INDEX($AC$4:$AC$503,MATCH(Q230,$AB$4:$AB$503,0),1))),"")</f>
        <v/>
      </c>
      <c r="AF230" s="132" t="str">
        <f>IF(ISNUMBER(P230), IF(Dashboard!$H$6&lt;&gt;"Horizontal",IF(S230="S",INDEX($AD$4:$AD$503,MATCH(P230,$AB$4:$AB$503,0),1)+boxDistance*(T230+IF(Y230="No",IF(ISODD(T230),IF(T230&gt;0,1,-1),0),0))*IF(Y230="No",IF(ISODD(T230),0.5,-0.5),1),timelineStartColumn-boxDistance * IF(AND(ISNUMBER(V230),V230&gt;1),V230*0.85,1)   ),IF( S230="S",INDEX($AD$4:$AD$503,MATCH(P230,$AB$4:$AB$503,0),1),INDEX($AD$4:$AD$503,MATCH(P230,$AB$4:$AB$503,0),1)&amp;"-"&amp;INDEX($AD$4:$AD$503,MATCH(Q230,$AB$4:$AB$503,0),1))),"")</f>
        <v/>
      </c>
      <c r="AG230" s="133" t="str">
        <f t="shared" si="56"/>
        <v/>
      </c>
      <c r="AH230" s="134" t="str">
        <f t="shared" si="50"/>
        <v/>
      </c>
      <c r="AI230" s="135" t="str">
        <f t="shared" si="51"/>
        <v/>
      </c>
      <c r="AJ230" s="135" t="str">
        <f t="shared" si="57"/>
        <v/>
      </c>
      <c r="AK230" s="126" t="str">
        <f t="shared" si="58"/>
        <v/>
      </c>
      <c r="AL230" s="126" t="str">
        <f ca="1">IFERROR(IF(AK230="","", MATCH(AK230,OFFSET(Icons!$B$5,1,AM230-3,20,1),0)+5),"")</f>
        <v/>
      </c>
      <c r="AM230" s="126" t="str">
        <f t="shared" si="59"/>
        <v/>
      </c>
      <c r="AN230" s="90"/>
    </row>
    <row r="231" spans="5:40" ht="15" customHeight="1" x14ac:dyDescent="0.25">
      <c r="E231" s="126">
        <v>228</v>
      </c>
      <c r="F231" s="126"/>
      <c r="G231" s="127"/>
      <c r="H231" s="127"/>
      <c r="I231" s="126"/>
      <c r="K231" s="137" t="str">
        <f t="shared" si="52"/>
        <v/>
      </c>
      <c r="L231" s="127" t="str">
        <f t="shared" si="47"/>
        <v/>
      </c>
      <c r="N231" s="128" t="str">
        <f t="shared" si="53"/>
        <v/>
      </c>
      <c r="O231" s="126" t="str">
        <f t="array" ref="O231">IFERROR(SMALL(IF(($G$4:$G$253=P231),ROW($G$4:$G$253)-ROW($G$3),"" ),N231),"")</f>
        <v/>
      </c>
      <c r="P231" s="127" t="str">
        <f t="array" ref="P231">IFERROR(SMALL($G$4:$G$253,E231),"")</f>
        <v/>
      </c>
      <c r="Q231" s="127" t="str">
        <f t="shared" si="54"/>
        <v/>
      </c>
      <c r="R231" s="126" t="str">
        <f t="shared" si="55"/>
        <v/>
      </c>
      <c r="S231" s="126" t="str">
        <f t="shared" si="48"/>
        <v/>
      </c>
      <c r="T231" s="128" t="str">
        <f>IF(OR(S231="R",S231=""),"",COUNTIFS($P$4:P231,P231,$S$4:S231,"S")*U231)</f>
        <v/>
      </c>
      <c r="U231" s="128" t="str">
        <f>IF(ISNUMBER(N231),IF($C$11=TRUE,IF(OR(ISODD(COUNTIF($N$4:N231,1)),Y231="Yes"),1,-1),1),"")</f>
        <v/>
      </c>
      <c r="V231" s="128" t="str">
        <f ca="1">IFERROR(IF(AND(S231="R",W231&lt;&gt;""),1,IF(S231="R",MAX(OFFSET(V230,0,0,-1*(ROW(W231)-3-MATCH(MAX($W$4:W230),$W$4:W230,0)),1))+1,"")),"")</f>
        <v/>
      </c>
      <c r="W231" s="129" t="str">
        <f>IFERROR(IF(AND(S231="R", P231&gt;MAX($X$3:X230)),P231,""),"")</f>
        <v/>
      </c>
      <c r="X231" s="129" t="str">
        <f>IFERROR(IF(AND(W231="",Q231&gt;=MAX($X$3:X230)),IF(S231="R",Q231,IF(AND(W231="",P231&lt;=MAX($X$3:X230)),MAX($X$3:X230),"")),IF(W231&lt;&gt;"", Q231,"")),"")</f>
        <v/>
      </c>
      <c r="Y231" s="126" t="str">
        <f>IF(S231="S",IF(OR(P231&lt;=MAX($X$3:X230),P231&gt;=IF(MIN(W$53:$W232)&lt;1,99999999,MIN(W$53:$W232))),"Yes","No"),"")</f>
        <v/>
      </c>
      <c r="AA231" s="130" t="str">
        <f t="shared" si="49"/>
        <v/>
      </c>
      <c r="AB231" s="131" t="str">
        <f t="array" ref="AB231">IF(AA231&lt;=$AA$2,MIN(IF($L$4:$L$503&lt;=AB230,99999999999,$L$4:$L$503)),"")</f>
        <v/>
      </c>
      <c r="AC231" s="130" t="str">
        <f>IF(ISNUMBER(AA231),IF(Dashboard!$H$6&lt;&gt;"Horizontal",AC230+dateDistance,AC230),"")</f>
        <v/>
      </c>
      <c r="AD231" s="130" t="str">
        <f>IF(ISNUMBER(AA231),IF(Dashboard!$H$6="Horizontal",AD230+dateDistance,AD230),"")</f>
        <v/>
      </c>
      <c r="AE231" s="132" t="str">
        <f>IF(ISNUMBER(P231), IF(Dashboard!$H$6="Horizontal",IF(S231="S",INDEX($AC$4:$AC$503,MATCH(P231,$AB$4:$AB$503,0),1)+boxDistance*(T231+IF(Y231="No",IF(ISODD(T231),IF(T231&gt;0,1,-1),0),0))*IF(Y231="No",IF(ISODD(T231),0.5,-0.5),1),timelineStartRow - boxDistance * V231),IF( S231="S",INDEX($AC$4:$AC$503,MATCH(P231,$AB$4:$AB$503,0),1),INDEX($AC$4:$AC$503,MATCH(P231,$AB$4:$AB$503,0),1)&amp;"-"&amp;INDEX($AC$4:$AC$503,MATCH(Q231,$AB$4:$AB$503,0),1))),"")</f>
        <v/>
      </c>
      <c r="AF231" s="132" t="str">
        <f>IF(ISNUMBER(P231), IF(Dashboard!$H$6&lt;&gt;"Horizontal",IF(S231="S",INDEX($AD$4:$AD$503,MATCH(P231,$AB$4:$AB$503,0),1)+boxDistance*(T231+IF(Y231="No",IF(ISODD(T231),IF(T231&gt;0,1,-1),0),0))*IF(Y231="No",IF(ISODD(T231),0.5,-0.5),1),timelineStartColumn-boxDistance * IF(AND(ISNUMBER(V231),V231&gt;1),V231*0.85,1)   ),IF( S231="S",INDEX($AD$4:$AD$503,MATCH(P231,$AB$4:$AB$503,0),1),INDEX($AD$4:$AD$503,MATCH(P231,$AB$4:$AB$503,0),1)&amp;"-"&amp;INDEX($AD$4:$AD$503,MATCH(Q231,$AB$4:$AB$503,0),1))),"")</f>
        <v/>
      </c>
      <c r="AG231" s="133" t="str">
        <f t="shared" si="56"/>
        <v/>
      </c>
      <c r="AH231" s="134" t="str">
        <f t="shared" si="50"/>
        <v/>
      </c>
      <c r="AI231" s="135" t="str">
        <f t="shared" si="51"/>
        <v/>
      </c>
      <c r="AJ231" s="135" t="str">
        <f t="shared" si="57"/>
        <v/>
      </c>
      <c r="AK231" s="126" t="str">
        <f t="shared" si="58"/>
        <v/>
      </c>
      <c r="AL231" s="126" t="str">
        <f ca="1">IFERROR(IF(AK231="","", MATCH(AK231,OFFSET(Icons!$B$5,1,AM231-3,20,1),0)+5),"")</f>
        <v/>
      </c>
      <c r="AM231" s="126" t="str">
        <f t="shared" si="59"/>
        <v/>
      </c>
      <c r="AN231" s="90"/>
    </row>
    <row r="232" spans="5:40" ht="15" customHeight="1" x14ac:dyDescent="0.25">
      <c r="E232" s="126">
        <v>229</v>
      </c>
      <c r="F232" s="126"/>
      <c r="G232" s="127"/>
      <c r="H232" s="127"/>
      <c r="I232" s="126"/>
      <c r="K232" s="137" t="str">
        <f t="shared" si="52"/>
        <v/>
      </c>
      <c r="L232" s="127" t="str">
        <f t="shared" si="47"/>
        <v/>
      </c>
      <c r="N232" s="128" t="str">
        <f t="shared" si="53"/>
        <v/>
      </c>
      <c r="O232" s="126" t="str">
        <f t="array" ref="O232">IFERROR(SMALL(IF(($G$4:$G$253=P232),ROW($G$4:$G$253)-ROW($G$3),"" ),N232),"")</f>
        <v/>
      </c>
      <c r="P232" s="127" t="str">
        <f t="array" ref="P232">IFERROR(SMALL($G$4:$G$253,E232),"")</f>
        <v/>
      </c>
      <c r="Q232" s="127" t="str">
        <f t="shared" si="54"/>
        <v/>
      </c>
      <c r="R232" s="126" t="str">
        <f t="shared" si="55"/>
        <v/>
      </c>
      <c r="S232" s="126" t="str">
        <f t="shared" si="48"/>
        <v/>
      </c>
      <c r="T232" s="128" t="str">
        <f>IF(OR(S232="R",S232=""),"",COUNTIFS($P$4:P232,P232,$S$4:S232,"S")*U232)</f>
        <v/>
      </c>
      <c r="U232" s="128" t="str">
        <f>IF(ISNUMBER(N232),IF($C$11=TRUE,IF(OR(ISODD(COUNTIF($N$4:N232,1)),Y232="Yes"),1,-1),1),"")</f>
        <v/>
      </c>
      <c r="V232" s="128" t="str">
        <f ca="1">IFERROR(IF(AND(S232="R",W232&lt;&gt;""),1,IF(S232="R",MAX(OFFSET(V231,0,0,-1*(ROW(W232)-3-MATCH(MAX($W$4:W231),$W$4:W231,0)),1))+1,"")),"")</f>
        <v/>
      </c>
      <c r="W232" s="129" t="str">
        <f>IFERROR(IF(AND(S232="R", P232&gt;MAX($X$3:X231)),P232,""),"")</f>
        <v/>
      </c>
      <c r="X232" s="129" t="str">
        <f>IFERROR(IF(AND(W232="",Q232&gt;=MAX($X$3:X231)),IF(S232="R",Q232,IF(AND(W232="",P232&lt;=MAX($X$3:X231)),MAX($X$3:X231),"")),IF(W232&lt;&gt;"", Q232,"")),"")</f>
        <v/>
      </c>
      <c r="Y232" s="126" t="str">
        <f>IF(S232="S",IF(OR(P232&lt;=MAX($X$3:X231),P232&gt;=IF(MIN(W$53:$W233)&lt;1,99999999,MIN(W$53:$W233))),"Yes","No"),"")</f>
        <v/>
      </c>
      <c r="AA232" s="130" t="str">
        <f t="shared" si="49"/>
        <v/>
      </c>
      <c r="AB232" s="131" t="str">
        <f t="array" ref="AB232">IF(AA232&lt;=$AA$2,MIN(IF($L$4:$L$503&lt;=AB231,99999999999,$L$4:$L$503)),"")</f>
        <v/>
      </c>
      <c r="AC232" s="130" t="str">
        <f>IF(ISNUMBER(AA232),IF(Dashboard!$H$6&lt;&gt;"Horizontal",AC231+dateDistance,AC231),"")</f>
        <v/>
      </c>
      <c r="AD232" s="130" t="str">
        <f>IF(ISNUMBER(AA232),IF(Dashboard!$H$6="Horizontal",AD231+dateDistance,AD231),"")</f>
        <v/>
      </c>
      <c r="AE232" s="132" t="str">
        <f>IF(ISNUMBER(P232), IF(Dashboard!$H$6="Horizontal",IF(S232="S",INDEX($AC$4:$AC$503,MATCH(P232,$AB$4:$AB$503,0),1)+boxDistance*(T232+IF(Y232="No",IF(ISODD(T232),IF(T232&gt;0,1,-1),0),0))*IF(Y232="No",IF(ISODD(T232),0.5,-0.5),1),timelineStartRow - boxDistance * V232),IF( S232="S",INDEX($AC$4:$AC$503,MATCH(P232,$AB$4:$AB$503,0),1),INDEX($AC$4:$AC$503,MATCH(P232,$AB$4:$AB$503,0),1)&amp;"-"&amp;INDEX($AC$4:$AC$503,MATCH(Q232,$AB$4:$AB$503,0),1))),"")</f>
        <v/>
      </c>
      <c r="AF232" s="132" t="str">
        <f>IF(ISNUMBER(P232), IF(Dashboard!$H$6&lt;&gt;"Horizontal",IF(S232="S",INDEX($AD$4:$AD$503,MATCH(P232,$AB$4:$AB$503,0),1)+boxDistance*(T232+IF(Y232="No",IF(ISODD(T232),IF(T232&gt;0,1,-1),0),0))*IF(Y232="No",IF(ISODD(T232),0.5,-0.5),1),timelineStartColumn-boxDistance * IF(AND(ISNUMBER(V232),V232&gt;1),V232*0.85,1)   ),IF( S232="S",INDEX($AD$4:$AD$503,MATCH(P232,$AB$4:$AB$503,0),1),INDEX($AD$4:$AD$503,MATCH(P232,$AB$4:$AB$503,0),1)&amp;"-"&amp;INDEX($AD$4:$AD$503,MATCH(Q232,$AB$4:$AB$503,0),1))),"")</f>
        <v/>
      </c>
      <c r="AG232" s="133" t="str">
        <f t="shared" si="56"/>
        <v/>
      </c>
      <c r="AH232" s="134" t="str">
        <f t="shared" si="50"/>
        <v/>
      </c>
      <c r="AI232" s="135" t="str">
        <f t="shared" si="51"/>
        <v/>
      </c>
      <c r="AJ232" s="135" t="str">
        <f t="shared" si="57"/>
        <v/>
      </c>
      <c r="AK232" s="126" t="str">
        <f t="shared" si="58"/>
        <v/>
      </c>
      <c r="AL232" s="126" t="str">
        <f ca="1">IFERROR(IF(AK232="","", MATCH(AK232,OFFSET(Icons!$B$5,1,AM232-3,20,1),0)+5),"")</f>
        <v/>
      </c>
      <c r="AM232" s="126" t="str">
        <f t="shared" si="59"/>
        <v/>
      </c>
      <c r="AN232" s="90"/>
    </row>
    <row r="233" spans="5:40" ht="15" customHeight="1" x14ac:dyDescent="0.25">
      <c r="E233" s="126">
        <v>230</v>
      </c>
      <c r="F233" s="126"/>
      <c r="G233" s="127"/>
      <c r="H233" s="127"/>
      <c r="I233" s="126"/>
      <c r="K233" s="137" t="str">
        <f t="shared" si="52"/>
        <v/>
      </c>
      <c r="L233" s="127" t="str">
        <f t="shared" si="47"/>
        <v/>
      </c>
      <c r="N233" s="128" t="str">
        <f t="shared" si="53"/>
        <v/>
      </c>
      <c r="O233" s="126" t="str">
        <f t="array" ref="O233">IFERROR(SMALL(IF(($G$4:$G$253=P233),ROW($G$4:$G$253)-ROW($G$3),"" ),N233),"")</f>
        <v/>
      </c>
      <c r="P233" s="127" t="str">
        <f t="array" ref="P233">IFERROR(SMALL($G$4:$G$253,E233),"")</f>
        <v/>
      </c>
      <c r="Q233" s="127" t="str">
        <f t="shared" si="54"/>
        <v/>
      </c>
      <c r="R233" s="126" t="str">
        <f t="shared" si="55"/>
        <v/>
      </c>
      <c r="S233" s="126" t="str">
        <f t="shared" si="48"/>
        <v/>
      </c>
      <c r="T233" s="128" t="str">
        <f>IF(OR(S233="R",S233=""),"",COUNTIFS($P$4:P233,P233,$S$4:S233,"S")*U233)</f>
        <v/>
      </c>
      <c r="U233" s="128" t="str">
        <f>IF(ISNUMBER(N233),IF($C$11=TRUE,IF(OR(ISODD(COUNTIF($N$4:N233,1)),Y233="Yes"),1,-1),1),"")</f>
        <v/>
      </c>
      <c r="V233" s="128" t="str">
        <f ca="1">IFERROR(IF(AND(S233="R",W233&lt;&gt;""),1,IF(S233="R",MAX(OFFSET(V232,0,0,-1*(ROW(W233)-3-MATCH(MAX($W$4:W232),$W$4:W232,0)),1))+1,"")),"")</f>
        <v/>
      </c>
      <c r="W233" s="129" t="str">
        <f>IFERROR(IF(AND(S233="R", P233&gt;MAX($X$3:X232)),P233,""),"")</f>
        <v/>
      </c>
      <c r="X233" s="129" t="str">
        <f>IFERROR(IF(AND(W233="",Q233&gt;=MAX($X$3:X232)),IF(S233="R",Q233,IF(AND(W233="",P233&lt;=MAX($X$3:X232)),MAX($X$3:X232),"")),IF(W233&lt;&gt;"", Q233,"")),"")</f>
        <v/>
      </c>
      <c r="Y233" s="126" t="str">
        <f>IF(S233="S",IF(OR(P233&lt;=MAX($X$3:X232),P233&gt;=IF(MIN(W$53:$W234)&lt;1,99999999,MIN(W$53:$W234))),"Yes","No"),"")</f>
        <v/>
      </c>
      <c r="AA233" s="130" t="str">
        <f t="shared" si="49"/>
        <v/>
      </c>
      <c r="AB233" s="131" t="str">
        <f t="array" ref="AB233">IF(AA233&lt;=$AA$2,MIN(IF($L$4:$L$503&lt;=AB232,99999999999,$L$4:$L$503)),"")</f>
        <v/>
      </c>
      <c r="AC233" s="130" t="str">
        <f>IF(ISNUMBER(AA233),IF(Dashboard!$H$6&lt;&gt;"Horizontal",AC232+dateDistance,AC232),"")</f>
        <v/>
      </c>
      <c r="AD233" s="130" t="str">
        <f>IF(ISNUMBER(AA233),IF(Dashboard!$H$6="Horizontal",AD232+dateDistance,AD232),"")</f>
        <v/>
      </c>
      <c r="AE233" s="132" t="str">
        <f>IF(ISNUMBER(P233), IF(Dashboard!$H$6="Horizontal",IF(S233="S",INDEX($AC$4:$AC$503,MATCH(P233,$AB$4:$AB$503,0),1)+boxDistance*(T233+IF(Y233="No",IF(ISODD(T233),IF(T233&gt;0,1,-1),0),0))*IF(Y233="No",IF(ISODD(T233),0.5,-0.5),1),timelineStartRow - boxDistance * V233),IF( S233="S",INDEX($AC$4:$AC$503,MATCH(P233,$AB$4:$AB$503,0),1),INDEX($AC$4:$AC$503,MATCH(P233,$AB$4:$AB$503,0),1)&amp;"-"&amp;INDEX($AC$4:$AC$503,MATCH(Q233,$AB$4:$AB$503,0),1))),"")</f>
        <v/>
      </c>
      <c r="AF233" s="132" t="str">
        <f>IF(ISNUMBER(P233), IF(Dashboard!$H$6&lt;&gt;"Horizontal",IF(S233="S",INDEX($AD$4:$AD$503,MATCH(P233,$AB$4:$AB$503,0),1)+boxDistance*(T233+IF(Y233="No",IF(ISODD(T233),IF(T233&gt;0,1,-1),0),0))*IF(Y233="No",IF(ISODD(T233),0.5,-0.5),1),timelineStartColumn-boxDistance * IF(AND(ISNUMBER(V233),V233&gt;1),V233*0.85,1)   ),IF( S233="S",INDEX($AD$4:$AD$503,MATCH(P233,$AB$4:$AB$503,0),1),INDEX($AD$4:$AD$503,MATCH(P233,$AB$4:$AB$503,0),1)&amp;"-"&amp;INDEX($AD$4:$AD$503,MATCH(Q233,$AB$4:$AB$503,0),1))),"")</f>
        <v/>
      </c>
      <c r="AG233" s="133" t="str">
        <f t="shared" si="56"/>
        <v/>
      </c>
      <c r="AH233" s="134" t="str">
        <f t="shared" si="50"/>
        <v/>
      </c>
      <c r="AI233" s="135" t="str">
        <f t="shared" si="51"/>
        <v/>
      </c>
      <c r="AJ233" s="135" t="str">
        <f t="shared" si="57"/>
        <v/>
      </c>
      <c r="AK233" s="126" t="str">
        <f t="shared" si="58"/>
        <v/>
      </c>
      <c r="AL233" s="126" t="str">
        <f ca="1">IFERROR(IF(AK233="","", MATCH(AK233,OFFSET(Icons!$B$5,1,AM233-3,20,1),0)+5),"")</f>
        <v/>
      </c>
      <c r="AM233" s="126" t="str">
        <f t="shared" si="59"/>
        <v/>
      </c>
      <c r="AN233" s="90"/>
    </row>
    <row r="234" spans="5:40" ht="15" customHeight="1" x14ac:dyDescent="0.25">
      <c r="E234" s="126">
        <v>231</v>
      </c>
      <c r="F234" s="126"/>
      <c r="G234" s="127"/>
      <c r="H234" s="127"/>
      <c r="I234" s="126"/>
      <c r="K234" s="137" t="str">
        <f t="shared" si="52"/>
        <v/>
      </c>
      <c r="L234" s="127" t="str">
        <f t="shared" si="47"/>
        <v/>
      </c>
      <c r="N234" s="128" t="str">
        <f t="shared" si="53"/>
        <v/>
      </c>
      <c r="O234" s="126" t="str">
        <f t="array" ref="O234">IFERROR(SMALL(IF(($G$4:$G$253=P234),ROW($G$4:$G$253)-ROW($G$3),"" ),N234),"")</f>
        <v/>
      </c>
      <c r="P234" s="127" t="str">
        <f t="array" ref="P234">IFERROR(SMALL($G$4:$G$253,E234),"")</f>
        <v/>
      </c>
      <c r="Q234" s="127" t="str">
        <f t="shared" si="54"/>
        <v/>
      </c>
      <c r="R234" s="126" t="str">
        <f t="shared" si="55"/>
        <v/>
      </c>
      <c r="S234" s="126" t="str">
        <f t="shared" si="48"/>
        <v/>
      </c>
      <c r="T234" s="128" t="str">
        <f>IF(OR(S234="R",S234=""),"",COUNTIFS($P$4:P234,P234,$S$4:S234,"S")*U234)</f>
        <v/>
      </c>
      <c r="U234" s="128" t="str">
        <f>IF(ISNUMBER(N234),IF($C$11=TRUE,IF(OR(ISODD(COUNTIF($N$4:N234,1)),Y234="Yes"),1,-1),1),"")</f>
        <v/>
      </c>
      <c r="V234" s="128" t="str">
        <f ca="1">IFERROR(IF(AND(S234="R",W234&lt;&gt;""),1,IF(S234="R",MAX(OFFSET(V233,0,0,-1*(ROW(W234)-3-MATCH(MAX($W$4:W233),$W$4:W233,0)),1))+1,"")),"")</f>
        <v/>
      </c>
      <c r="W234" s="129" t="str">
        <f>IFERROR(IF(AND(S234="R", P234&gt;MAX($X$3:X233)),P234,""),"")</f>
        <v/>
      </c>
      <c r="X234" s="129" t="str">
        <f>IFERROR(IF(AND(W234="",Q234&gt;=MAX($X$3:X233)),IF(S234="R",Q234,IF(AND(W234="",P234&lt;=MAX($X$3:X233)),MAX($X$3:X233),"")),IF(W234&lt;&gt;"", Q234,"")),"")</f>
        <v/>
      </c>
      <c r="Y234" s="126" t="str">
        <f>IF(S234="S",IF(OR(P234&lt;=MAX($X$3:X233),P234&gt;=IF(MIN(W$53:$W235)&lt;1,99999999,MIN(W$53:$W235))),"Yes","No"),"")</f>
        <v/>
      </c>
      <c r="AA234" s="130" t="str">
        <f t="shared" si="49"/>
        <v/>
      </c>
      <c r="AB234" s="131" t="str">
        <f t="array" ref="AB234">IF(AA234&lt;=$AA$2,MIN(IF($L$4:$L$503&lt;=AB233,99999999999,$L$4:$L$503)),"")</f>
        <v/>
      </c>
      <c r="AC234" s="130" t="str">
        <f>IF(ISNUMBER(AA234),IF(Dashboard!$H$6&lt;&gt;"Horizontal",AC233+dateDistance,AC233),"")</f>
        <v/>
      </c>
      <c r="AD234" s="130" t="str">
        <f>IF(ISNUMBER(AA234),IF(Dashboard!$H$6="Horizontal",AD233+dateDistance,AD233),"")</f>
        <v/>
      </c>
      <c r="AE234" s="132" t="str">
        <f>IF(ISNUMBER(P234), IF(Dashboard!$H$6="Horizontal",IF(S234="S",INDEX($AC$4:$AC$503,MATCH(P234,$AB$4:$AB$503,0),1)+boxDistance*(T234+IF(Y234="No",IF(ISODD(T234),IF(T234&gt;0,1,-1),0),0))*IF(Y234="No",IF(ISODD(T234),0.5,-0.5),1),timelineStartRow - boxDistance * V234),IF( S234="S",INDEX($AC$4:$AC$503,MATCH(P234,$AB$4:$AB$503,0),1),INDEX($AC$4:$AC$503,MATCH(P234,$AB$4:$AB$503,0),1)&amp;"-"&amp;INDEX($AC$4:$AC$503,MATCH(Q234,$AB$4:$AB$503,0),1))),"")</f>
        <v/>
      </c>
      <c r="AF234" s="132" t="str">
        <f>IF(ISNUMBER(P234), IF(Dashboard!$H$6&lt;&gt;"Horizontal",IF(S234="S",INDEX($AD$4:$AD$503,MATCH(P234,$AB$4:$AB$503,0),1)+boxDistance*(T234+IF(Y234="No",IF(ISODD(T234),IF(T234&gt;0,1,-1),0),0))*IF(Y234="No",IF(ISODD(T234),0.5,-0.5),1),timelineStartColumn-boxDistance * IF(AND(ISNUMBER(V234),V234&gt;1),V234*0.85,1)   ),IF( S234="S",INDEX($AD$4:$AD$503,MATCH(P234,$AB$4:$AB$503,0),1),INDEX($AD$4:$AD$503,MATCH(P234,$AB$4:$AB$503,0),1)&amp;"-"&amp;INDEX($AD$4:$AD$503,MATCH(Q234,$AB$4:$AB$503,0),1))),"")</f>
        <v/>
      </c>
      <c r="AG234" s="133" t="str">
        <f t="shared" si="56"/>
        <v/>
      </c>
      <c r="AH234" s="134" t="str">
        <f t="shared" si="50"/>
        <v/>
      </c>
      <c r="AI234" s="135" t="str">
        <f t="shared" si="51"/>
        <v/>
      </c>
      <c r="AJ234" s="135" t="str">
        <f t="shared" si="57"/>
        <v/>
      </c>
      <c r="AK234" s="126" t="str">
        <f t="shared" si="58"/>
        <v/>
      </c>
      <c r="AL234" s="126" t="str">
        <f ca="1">IFERROR(IF(AK234="","", MATCH(AK234,OFFSET(Icons!$B$5,1,AM234-3,20,1),0)+5),"")</f>
        <v/>
      </c>
      <c r="AM234" s="126" t="str">
        <f t="shared" si="59"/>
        <v/>
      </c>
      <c r="AN234" s="90"/>
    </row>
    <row r="235" spans="5:40" ht="15" customHeight="1" x14ac:dyDescent="0.25">
      <c r="E235" s="126">
        <v>232</v>
      </c>
      <c r="F235" s="126"/>
      <c r="G235" s="127"/>
      <c r="H235" s="127"/>
      <c r="I235" s="126"/>
      <c r="K235" s="137" t="str">
        <f t="shared" si="52"/>
        <v/>
      </c>
      <c r="L235" s="127" t="str">
        <f t="shared" si="47"/>
        <v/>
      </c>
      <c r="N235" s="128" t="str">
        <f t="shared" si="53"/>
        <v/>
      </c>
      <c r="O235" s="126" t="str">
        <f t="array" ref="O235">IFERROR(SMALL(IF(($G$4:$G$253=P235),ROW($G$4:$G$253)-ROW($G$3),"" ),N235),"")</f>
        <v/>
      </c>
      <c r="P235" s="127" t="str">
        <f t="array" ref="P235">IFERROR(SMALL($G$4:$G$253,E235),"")</f>
        <v/>
      </c>
      <c r="Q235" s="127" t="str">
        <f t="shared" si="54"/>
        <v/>
      </c>
      <c r="R235" s="126" t="str">
        <f t="shared" si="55"/>
        <v/>
      </c>
      <c r="S235" s="126" t="str">
        <f t="shared" si="48"/>
        <v/>
      </c>
      <c r="T235" s="128" t="str">
        <f>IF(OR(S235="R",S235=""),"",COUNTIFS($P$4:P235,P235,$S$4:S235,"S")*U235)</f>
        <v/>
      </c>
      <c r="U235" s="128" t="str">
        <f>IF(ISNUMBER(N235),IF($C$11=TRUE,IF(OR(ISODD(COUNTIF($N$4:N235,1)),Y235="Yes"),1,-1),1),"")</f>
        <v/>
      </c>
      <c r="V235" s="128" t="str">
        <f ca="1">IFERROR(IF(AND(S235="R",W235&lt;&gt;""),1,IF(S235="R",MAX(OFFSET(V234,0,0,-1*(ROW(W235)-3-MATCH(MAX($W$4:W234),$W$4:W234,0)),1))+1,"")),"")</f>
        <v/>
      </c>
      <c r="W235" s="129" t="str">
        <f>IFERROR(IF(AND(S235="R", P235&gt;MAX($X$3:X234)),P235,""),"")</f>
        <v/>
      </c>
      <c r="X235" s="129" t="str">
        <f>IFERROR(IF(AND(W235="",Q235&gt;=MAX($X$3:X234)),IF(S235="R",Q235,IF(AND(W235="",P235&lt;=MAX($X$3:X234)),MAX($X$3:X234),"")),IF(W235&lt;&gt;"", Q235,"")),"")</f>
        <v/>
      </c>
      <c r="Y235" s="126" t="str">
        <f>IF(S235="S",IF(OR(P235&lt;=MAX($X$3:X234),P235&gt;=IF(MIN(W$53:$W236)&lt;1,99999999,MIN(W$53:$W236))),"Yes","No"),"")</f>
        <v/>
      </c>
      <c r="AA235" s="130" t="str">
        <f t="shared" si="49"/>
        <v/>
      </c>
      <c r="AB235" s="131" t="str">
        <f t="array" ref="AB235">IF(AA235&lt;=$AA$2,MIN(IF($L$4:$L$503&lt;=AB234,99999999999,$L$4:$L$503)),"")</f>
        <v/>
      </c>
      <c r="AC235" s="130" t="str">
        <f>IF(ISNUMBER(AA235),IF(Dashboard!$H$6&lt;&gt;"Horizontal",AC234+dateDistance,AC234),"")</f>
        <v/>
      </c>
      <c r="AD235" s="130" t="str">
        <f>IF(ISNUMBER(AA235),IF(Dashboard!$H$6="Horizontal",AD234+dateDistance,AD234),"")</f>
        <v/>
      </c>
      <c r="AE235" s="132" t="str">
        <f>IF(ISNUMBER(P235), IF(Dashboard!$H$6="Horizontal",IF(S235="S",INDEX($AC$4:$AC$503,MATCH(P235,$AB$4:$AB$503,0),1)+boxDistance*(T235+IF(Y235="No",IF(ISODD(T235),IF(T235&gt;0,1,-1),0),0))*IF(Y235="No",IF(ISODD(T235),0.5,-0.5),1),timelineStartRow - boxDistance * V235),IF( S235="S",INDEX($AC$4:$AC$503,MATCH(P235,$AB$4:$AB$503,0),1),INDEX($AC$4:$AC$503,MATCH(P235,$AB$4:$AB$503,0),1)&amp;"-"&amp;INDEX($AC$4:$AC$503,MATCH(Q235,$AB$4:$AB$503,0),1))),"")</f>
        <v/>
      </c>
      <c r="AF235" s="132" t="str">
        <f>IF(ISNUMBER(P235), IF(Dashboard!$H$6&lt;&gt;"Horizontal",IF(S235="S",INDEX($AD$4:$AD$503,MATCH(P235,$AB$4:$AB$503,0),1)+boxDistance*(T235+IF(Y235="No",IF(ISODD(T235),IF(T235&gt;0,1,-1),0),0))*IF(Y235="No",IF(ISODD(T235),0.5,-0.5),1),timelineStartColumn-boxDistance * IF(AND(ISNUMBER(V235),V235&gt;1),V235*0.85,1)   ),IF( S235="S",INDEX($AD$4:$AD$503,MATCH(P235,$AB$4:$AB$503,0),1),INDEX($AD$4:$AD$503,MATCH(P235,$AB$4:$AB$503,0),1)&amp;"-"&amp;INDEX($AD$4:$AD$503,MATCH(Q235,$AB$4:$AB$503,0),1))),"")</f>
        <v/>
      </c>
      <c r="AG235" s="133" t="str">
        <f t="shared" si="56"/>
        <v/>
      </c>
      <c r="AH235" s="134" t="str">
        <f t="shared" si="50"/>
        <v/>
      </c>
      <c r="AI235" s="135" t="str">
        <f t="shared" si="51"/>
        <v/>
      </c>
      <c r="AJ235" s="135" t="str">
        <f t="shared" si="57"/>
        <v/>
      </c>
      <c r="AK235" s="126" t="str">
        <f t="shared" si="58"/>
        <v/>
      </c>
      <c r="AL235" s="126" t="str">
        <f ca="1">IFERROR(IF(AK235="","", MATCH(AK235,OFFSET(Icons!$B$5,1,AM235-3,20,1),0)+5),"")</f>
        <v/>
      </c>
      <c r="AM235" s="126" t="str">
        <f t="shared" si="59"/>
        <v/>
      </c>
      <c r="AN235" s="90"/>
    </row>
    <row r="236" spans="5:40" ht="15" customHeight="1" x14ac:dyDescent="0.25">
      <c r="E236" s="126">
        <v>233</v>
      </c>
      <c r="F236" s="126"/>
      <c r="G236" s="127"/>
      <c r="H236" s="127"/>
      <c r="I236" s="126"/>
      <c r="K236" s="137" t="str">
        <f t="shared" si="52"/>
        <v/>
      </c>
      <c r="L236" s="127" t="str">
        <f t="shared" si="47"/>
        <v/>
      </c>
      <c r="N236" s="128" t="str">
        <f t="shared" si="53"/>
        <v/>
      </c>
      <c r="O236" s="126" t="str">
        <f t="array" ref="O236">IFERROR(SMALL(IF(($G$4:$G$253=P236),ROW($G$4:$G$253)-ROW($G$3),"" ),N236),"")</f>
        <v/>
      </c>
      <c r="P236" s="127" t="str">
        <f t="array" ref="P236">IFERROR(SMALL($G$4:$G$253,E236),"")</f>
        <v/>
      </c>
      <c r="Q236" s="127" t="str">
        <f t="shared" si="54"/>
        <v/>
      </c>
      <c r="R236" s="126" t="str">
        <f t="shared" si="55"/>
        <v/>
      </c>
      <c r="S236" s="126" t="str">
        <f t="shared" si="48"/>
        <v/>
      </c>
      <c r="T236" s="128" t="str">
        <f>IF(OR(S236="R",S236=""),"",COUNTIFS($P$4:P236,P236,$S$4:S236,"S")*U236)</f>
        <v/>
      </c>
      <c r="U236" s="128" t="str">
        <f>IF(ISNUMBER(N236),IF($C$11=TRUE,IF(OR(ISODD(COUNTIF($N$4:N236,1)),Y236="Yes"),1,-1),1),"")</f>
        <v/>
      </c>
      <c r="V236" s="128" t="str">
        <f ca="1">IFERROR(IF(AND(S236="R",W236&lt;&gt;""),1,IF(S236="R",MAX(OFFSET(V235,0,0,-1*(ROW(W236)-3-MATCH(MAX($W$4:W235),$W$4:W235,0)),1))+1,"")),"")</f>
        <v/>
      </c>
      <c r="W236" s="129" t="str">
        <f>IFERROR(IF(AND(S236="R", P236&gt;MAX($X$3:X235)),P236,""),"")</f>
        <v/>
      </c>
      <c r="X236" s="129" t="str">
        <f>IFERROR(IF(AND(W236="",Q236&gt;=MAX($X$3:X235)),IF(S236="R",Q236,IF(AND(W236="",P236&lt;=MAX($X$3:X235)),MAX($X$3:X235),"")),IF(W236&lt;&gt;"", Q236,"")),"")</f>
        <v/>
      </c>
      <c r="Y236" s="126" t="str">
        <f>IF(S236="S",IF(OR(P236&lt;=MAX($X$3:X235),P236&gt;=IF(MIN(W$53:$W237)&lt;1,99999999,MIN(W$53:$W237))),"Yes","No"),"")</f>
        <v/>
      </c>
      <c r="AA236" s="130" t="str">
        <f t="shared" si="49"/>
        <v/>
      </c>
      <c r="AB236" s="131" t="str">
        <f t="array" ref="AB236">IF(AA236&lt;=$AA$2,MIN(IF($L$4:$L$503&lt;=AB235,99999999999,$L$4:$L$503)),"")</f>
        <v/>
      </c>
      <c r="AC236" s="130" t="str">
        <f>IF(ISNUMBER(AA236),IF(Dashboard!$H$6&lt;&gt;"Horizontal",AC235+dateDistance,AC235),"")</f>
        <v/>
      </c>
      <c r="AD236" s="130" t="str">
        <f>IF(ISNUMBER(AA236),IF(Dashboard!$H$6="Horizontal",AD235+dateDistance,AD235),"")</f>
        <v/>
      </c>
      <c r="AE236" s="132" t="str">
        <f>IF(ISNUMBER(P236), IF(Dashboard!$H$6="Horizontal",IF(S236="S",INDEX($AC$4:$AC$503,MATCH(P236,$AB$4:$AB$503,0),1)+boxDistance*(T236+IF(Y236="No",IF(ISODD(T236),IF(T236&gt;0,1,-1),0),0))*IF(Y236="No",IF(ISODD(T236),0.5,-0.5),1),timelineStartRow - boxDistance * V236),IF( S236="S",INDEX($AC$4:$AC$503,MATCH(P236,$AB$4:$AB$503,0),1),INDEX($AC$4:$AC$503,MATCH(P236,$AB$4:$AB$503,0),1)&amp;"-"&amp;INDEX($AC$4:$AC$503,MATCH(Q236,$AB$4:$AB$503,0),1))),"")</f>
        <v/>
      </c>
      <c r="AF236" s="132" t="str">
        <f>IF(ISNUMBER(P236), IF(Dashboard!$H$6&lt;&gt;"Horizontal",IF(S236="S",INDEX($AD$4:$AD$503,MATCH(P236,$AB$4:$AB$503,0),1)+boxDistance*(T236+IF(Y236="No",IF(ISODD(T236),IF(T236&gt;0,1,-1),0),0))*IF(Y236="No",IF(ISODD(T236),0.5,-0.5),1),timelineStartColumn-boxDistance * IF(AND(ISNUMBER(V236),V236&gt;1),V236*0.85,1)   ),IF( S236="S",INDEX($AD$4:$AD$503,MATCH(P236,$AB$4:$AB$503,0),1),INDEX($AD$4:$AD$503,MATCH(P236,$AB$4:$AB$503,0),1)&amp;"-"&amp;INDEX($AD$4:$AD$503,MATCH(Q236,$AB$4:$AB$503,0),1))),"")</f>
        <v/>
      </c>
      <c r="AG236" s="133" t="str">
        <f t="shared" si="56"/>
        <v/>
      </c>
      <c r="AH236" s="134" t="str">
        <f t="shared" si="50"/>
        <v/>
      </c>
      <c r="AI236" s="135" t="str">
        <f t="shared" si="51"/>
        <v/>
      </c>
      <c r="AJ236" s="135" t="str">
        <f t="shared" si="57"/>
        <v/>
      </c>
      <c r="AK236" s="126" t="str">
        <f t="shared" si="58"/>
        <v/>
      </c>
      <c r="AL236" s="126" t="str">
        <f ca="1">IFERROR(IF(AK236="","", MATCH(AK236,OFFSET(Icons!$B$5,1,AM236-3,20,1),0)+5),"")</f>
        <v/>
      </c>
      <c r="AM236" s="126" t="str">
        <f t="shared" si="59"/>
        <v/>
      </c>
      <c r="AN236" s="90"/>
    </row>
    <row r="237" spans="5:40" ht="15" customHeight="1" x14ac:dyDescent="0.25">
      <c r="E237" s="126">
        <v>234</v>
      </c>
      <c r="F237" s="126"/>
      <c r="G237" s="127"/>
      <c r="H237" s="127"/>
      <c r="I237" s="126"/>
      <c r="K237" s="137" t="str">
        <f t="shared" si="52"/>
        <v/>
      </c>
      <c r="L237" s="127" t="str">
        <f t="shared" si="47"/>
        <v/>
      </c>
      <c r="N237" s="128" t="str">
        <f t="shared" si="53"/>
        <v/>
      </c>
      <c r="O237" s="126" t="str">
        <f t="array" ref="O237">IFERROR(SMALL(IF(($G$4:$G$253=P237),ROW($G$4:$G$253)-ROW($G$3),"" ),N237),"")</f>
        <v/>
      </c>
      <c r="P237" s="127" t="str">
        <f t="array" ref="P237">IFERROR(SMALL($G$4:$G$253,E237),"")</f>
        <v/>
      </c>
      <c r="Q237" s="127" t="str">
        <f t="shared" si="54"/>
        <v/>
      </c>
      <c r="R237" s="126" t="str">
        <f t="shared" si="55"/>
        <v/>
      </c>
      <c r="S237" s="126" t="str">
        <f t="shared" si="48"/>
        <v/>
      </c>
      <c r="T237" s="128" t="str">
        <f>IF(OR(S237="R",S237=""),"",COUNTIFS($P$4:P237,P237,$S$4:S237,"S")*U237)</f>
        <v/>
      </c>
      <c r="U237" s="128" t="str">
        <f>IF(ISNUMBER(N237),IF($C$11=TRUE,IF(OR(ISODD(COUNTIF($N$4:N237,1)),Y237="Yes"),1,-1),1),"")</f>
        <v/>
      </c>
      <c r="V237" s="128" t="str">
        <f ca="1">IFERROR(IF(AND(S237="R",W237&lt;&gt;""),1,IF(S237="R",MAX(OFFSET(V236,0,0,-1*(ROW(W237)-3-MATCH(MAX($W$4:W236),$W$4:W236,0)),1))+1,"")),"")</f>
        <v/>
      </c>
      <c r="W237" s="129" t="str">
        <f>IFERROR(IF(AND(S237="R", P237&gt;MAX($X$3:X236)),P237,""),"")</f>
        <v/>
      </c>
      <c r="X237" s="129" t="str">
        <f>IFERROR(IF(AND(W237="",Q237&gt;=MAX($X$3:X236)),IF(S237="R",Q237,IF(AND(W237="",P237&lt;=MAX($X$3:X236)),MAX($X$3:X236),"")),IF(W237&lt;&gt;"", Q237,"")),"")</f>
        <v/>
      </c>
      <c r="Y237" s="126" t="str">
        <f>IF(S237="S",IF(OR(P237&lt;=MAX($X$3:X236),P237&gt;=IF(MIN(W$53:$W238)&lt;1,99999999,MIN(W$53:$W238))),"Yes","No"),"")</f>
        <v/>
      </c>
      <c r="AA237" s="130" t="str">
        <f t="shared" si="49"/>
        <v/>
      </c>
      <c r="AB237" s="131" t="str">
        <f t="array" ref="AB237">IF(AA237&lt;=$AA$2,MIN(IF($L$4:$L$503&lt;=AB236,99999999999,$L$4:$L$503)),"")</f>
        <v/>
      </c>
      <c r="AC237" s="130" t="str">
        <f>IF(ISNUMBER(AA237),IF(Dashboard!$H$6&lt;&gt;"Horizontal",AC236+dateDistance,AC236),"")</f>
        <v/>
      </c>
      <c r="AD237" s="130" t="str">
        <f>IF(ISNUMBER(AA237),IF(Dashboard!$H$6="Horizontal",AD236+dateDistance,AD236),"")</f>
        <v/>
      </c>
      <c r="AE237" s="132" t="str">
        <f>IF(ISNUMBER(P237), IF(Dashboard!$H$6="Horizontal",IF(S237="S",INDEX($AC$4:$AC$503,MATCH(P237,$AB$4:$AB$503,0),1)+boxDistance*(T237+IF(Y237="No",IF(ISODD(T237),IF(T237&gt;0,1,-1),0),0))*IF(Y237="No",IF(ISODD(T237),0.5,-0.5),1),timelineStartRow - boxDistance * V237),IF( S237="S",INDEX($AC$4:$AC$503,MATCH(P237,$AB$4:$AB$503,0),1),INDEX($AC$4:$AC$503,MATCH(P237,$AB$4:$AB$503,0),1)&amp;"-"&amp;INDEX($AC$4:$AC$503,MATCH(Q237,$AB$4:$AB$503,0),1))),"")</f>
        <v/>
      </c>
      <c r="AF237" s="132" t="str">
        <f>IF(ISNUMBER(P237), IF(Dashboard!$H$6&lt;&gt;"Horizontal",IF(S237="S",INDEX($AD$4:$AD$503,MATCH(P237,$AB$4:$AB$503,0),1)+boxDistance*(T237+IF(Y237="No",IF(ISODD(T237),IF(T237&gt;0,1,-1),0),0))*IF(Y237="No",IF(ISODD(T237),0.5,-0.5),1),timelineStartColumn-boxDistance * IF(AND(ISNUMBER(V237),V237&gt;1),V237*0.85,1)   ),IF( S237="S",INDEX($AD$4:$AD$503,MATCH(P237,$AB$4:$AB$503,0),1),INDEX($AD$4:$AD$503,MATCH(P237,$AB$4:$AB$503,0),1)&amp;"-"&amp;INDEX($AD$4:$AD$503,MATCH(Q237,$AB$4:$AB$503,0),1))),"")</f>
        <v/>
      </c>
      <c r="AG237" s="133" t="str">
        <f t="shared" si="56"/>
        <v/>
      </c>
      <c r="AH237" s="134" t="str">
        <f t="shared" si="50"/>
        <v/>
      </c>
      <c r="AI237" s="135" t="str">
        <f t="shared" si="51"/>
        <v/>
      </c>
      <c r="AJ237" s="135" t="str">
        <f t="shared" si="57"/>
        <v/>
      </c>
      <c r="AK237" s="126" t="str">
        <f t="shared" si="58"/>
        <v/>
      </c>
      <c r="AL237" s="126" t="str">
        <f ca="1">IFERROR(IF(AK237="","", MATCH(AK237,OFFSET(Icons!$B$5,1,AM237-3,20,1),0)+5),"")</f>
        <v/>
      </c>
      <c r="AM237" s="126" t="str">
        <f t="shared" si="59"/>
        <v/>
      </c>
      <c r="AN237" s="90"/>
    </row>
    <row r="238" spans="5:40" ht="15" customHeight="1" x14ac:dyDescent="0.25">
      <c r="E238" s="126">
        <v>235</v>
      </c>
      <c r="F238" s="126"/>
      <c r="G238" s="127"/>
      <c r="H238" s="127"/>
      <c r="I238" s="126"/>
      <c r="K238" s="137" t="str">
        <f t="shared" si="52"/>
        <v/>
      </c>
      <c r="L238" s="127" t="str">
        <f t="shared" si="47"/>
        <v/>
      </c>
      <c r="N238" s="128" t="str">
        <f t="shared" si="53"/>
        <v/>
      </c>
      <c r="O238" s="126" t="str">
        <f t="array" ref="O238">IFERROR(SMALL(IF(($G$4:$G$253=P238),ROW($G$4:$G$253)-ROW($G$3),"" ),N238),"")</f>
        <v/>
      </c>
      <c r="P238" s="127" t="str">
        <f t="array" ref="P238">IFERROR(SMALL($G$4:$G$253,E238),"")</f>
        <v/>
      </c>
      <c r="Q238" s="127" t="str">
        <f t="shared" si="54"/>
        <v/>
      </c>
      <c r="R238" s="126" t="str">
        <f t="shared" si="55"/>
        <v/>
      </c>
      <c r="S238" s="126" t="str">
        <f t="shared" si="48"/>
        <v/>
      </c>
      <c r="T238" s="128" t="str">
        <f>IF(OR(S238="R",S238=""),"",COUNTIFS($P$4:P238,P238,$S$4:S238,"S")*U238)</f>
        <v/>
      </c>
      <c r="U238" s="128" t="str">
        <f>IF(ISNUMBER(N238),IF($C$11=TRUE,IF(OR(ISODD(COUNTIF($N$4:N238,1)),Y238="Yes"),1,-1),1),"")</f>
        <v/>
      </c>
      <c r="V238" s="128" t="str">
        <f ca="1">IFERROR(IF(AND(S238="R",W238&lt;&gt;""),1,IF(S238="R",MAX(OFFSET(V237,0,0,-1*(ROW(W238)-3-MATCH(MAX($W$4:W237),$W$4:W237,0)),1))+1,"")),"")</f>
        <v/>
      </c>
      <c r="W238" s="129" t="str">
        <f>IFERROR(IF(AND(S238="R", P238&gt;MAX($X$3:X237)),P238,""),"")</f>
        <v/>
      </c>
      <c r="X238" s="129" t="str">
        <f>IFERROR(IF(AND(W238="",Q238&gt;=MAX($X$3:X237)),IF(S238="R",Q238,IF(AND(W238="",P238&lt;=MAX($X$3:X237)),MAX($X$3:X237),"")),IF(W238&lt;&gt;"", Q238,"")),"")</f>
        <v/>
      </c>
      <c r="Y238" s="126" t="str">
        <f>IF(S238="S",IF(OR(P238&lt;=MAX($X$3:X237),P238&gt;=IF(MIN(W$53:$W239)&lt;1,99999999,MIN(W$53:$W239))),"Yes","No"),"")</f>
        <v/>
      </c>
      <c r="AA238" s="130" t="str">
        <f t="shared" si="49"/>
        <v/>
      </c>
      <c r="AB238" s="131" t="str">
        <f t="array" ref="AB238">IF(AA238&lt;=$AA$2,MIN(IF($L$4:$L$503&lt;=AB237,99999999999,$L$4:$L$503)),"")</f>
        <v/>
      </c>
      <c r="AC238" s="130" t="str">
        <f>IF(ISNUMBER(AA238),IF(Dashboard!$H$6&lt;&gt;"Horizontal",AC237+dateDistance,AC237),"")</f>
        <v/>
      </c>
      <c r="AD238" s="130" t="str">
        <f>IF(ISNUMBER(AA238),IF(Dashboard!$H$6="Horizontal",AD237+dateDistance,AD237),"")</f>
        <v/>
      </c>
      <c r="AE238" s="132" t="str">
        <f>IF(ISNUMBER(P238), IF(Dashboard!$H$6="Horizontal",IF(S238="S",INDEX($AC$4:$AC$503,MATCH(P238,$AB$4:$AB$503,0),1)+boxDistance*(T238+IF(Y238="No",IF(ISODD(T238),IF(T238&gt;0,1,-1),0),0))*IF(Y238="No",IF(ISODD(T238),0.5,-0.5),1),timelineStartRow - boxDistance * V238),IF( S238="S",INDEX($AC$4:$AC$503,MATCH(P238,$AB$4:$AB$503,0),1),INDEX($AC$4:$AC$503,MATCH(P238,$AB$4:$AB$503,0),1)&amp;"-"&amp;INDEX($AC$4:$AC$503,MATCH(Q238,$AB$4:$AB$503,0),1))),"")</f>
        <v/>
      </c>
      <c r="AF238" s="132" t="str">
        <f>IF(ISNUMBER(P238), IF(Dashboard!$H$6&lt;&gt;"Horizontal",IF(S238="S",INDEX($AD$4:$AD$503,MATCH(P238,$AB$4:$AB$503,0),1)+boxDistance*(T238+IF(Y238="No",IF(ISODD(T238),IF(T238&gt;0,1,-1),0),0))*IF(Y238="No",IF(ISODD(T238),0.5,-0.5),1),timelineStartColumn-boxDistance * IF(AND(ISNUMBER(V238),V238&gt;1),V238*0.85,1)   ),IF( S238="S",INDEX($AD$4:$AD$503,MATCH(P238,$AB$4:$AB$503,0),1),INDEX($AD$4:$AD$503,MATCH(P238,$AB$4:$AB$503,0),1)&amp;"-"&amp;INDEX($AD$4:$AD$503,MATCH(Q238,$AB$4:$AB$503,0),1))),"")</f>
        <v/>
      </c>
      <c r="AG238" s="133" t="str">
        <f t="shared" si="56"/>
        <v/>
      </c>
      <c r="AH238" s="134" t="str">
        <f t="shared" si="50"/>
        <v/>
      </c>
      <c r="AI238" s="135" t="str">
        <f t="shared" si="51"/>
        <v/>
      </c>
      <c r="AJ238" s="135" t="str">
        <f t="shared" si="57"/>
        <v/>
      </c>
      <c r="AK238" s="126" t="str">
        <f t="shared" si="58"/>
        <v/>
      </c>
      <c r="AL238" s="126" t="str">
        <f ca="1">IFERROR(IF(AK238="","", MATCH(AK238,OFFSET(Icons!$B$5,1,AM238-3,20,1),0)+5),"")</f>
        <v/>
      </c>
      <c r="AM238" s="126" t="str">
        <f t="shared" si="59"/>
        <v/>
      </c>
      <c r="AN238" s="90"/>
    </row>
    <row r="239" spans="5:40" ht="15" customHeight="1" x14ac:dyDescent="0.25">
      <c r="E239" s="126">
        <v>236</v>
      </c>
      <c r="F239" s="126"/>
      <c r="G239" s="127"/>
      <c r="H239" s="127"/>
      <c r="I239" s="126"/>
      <c r="K239" s="137" t="str">
        <f t="shared" si="52"/>
        <v/>
      </c>
      <c r="L239" s="127" t="str">
        <f t="shared" si="47"/>
        <v/>
      </c>
      <c r="N239" s="128" t="str">
        <f t="shared" si="53"/>
        <v/>
      </c>
      <c r="O239" s="126" t="str">
        <f t="array" ref="O239">IFERROR(SMALL(IF(($G$4:$G$253=P239),ROW($G$4:$G$253)-ROW($G$3),"" ),N239),"")</f>
        <v/>
      </c>
      <c r="P239" s="127" t="str">
        <f t="array" ref="P239">IFERROR(SMALL($G$4:$G$253,E239),"")</f>
        <v/>
      </c>
      <c r="Q239" s="127" t="str">
        <f t="shared" si="54"/>
        <v/>
      </c>
      <c r="R239" s="126" t="str">
        <f t="shared" si="55"/>
        <v/>
      </c>
      <c r="S239" s="126" t="str">
        <f t="shared" si="48"/>
        <v/>
      </c>
      <c r="T239" s="128" t="str">
        <f>IF(OR(S239="R",S239=""),"",COUNTIFS($P$4:P239,P239,$S$4:S239,"S")*U239)</f>
        <v/>
      </c>
      <c r="U239" s="128" t="str">
        <f>IF(ISNUMBER(N239),IF($C$11=TRUE,IF(OR(ISODD(COUNTIF($N$4:N239,1)),Y239="Yes"),1,-1),1),"")</f>
        <v/>
      </c>
      <c r="V239" s="128" t="str">
        <f ca="1">IFERROR(IF(AND(S239="R",W239&lt;&gt;""),1,IF(S239="R",MAX(OFFSET(V238,0,0,-1*(ROW(W239)-3-MATCH(MAX($W$4:W238),$W$4:W238,0)),1))+1,"")),"")</f>
        <v/>
      </c>
      <c r="W239" s="129" t="str">
        <f>IFERROR(IF(AND(S239="R", P239&gt;MAX($X$3:X238)),P239,""),"")</f>
        <v/>
      </c>
      <c r="X239" s="129" t="str">
        <f>IFERROR(IF(AND(W239="",Q239&gt;=MAX($X$3:X238)),IF(S239="R",Q239,IF(AND(W239="",P239&lt;=MAX($X$3:X238)),MAX($X$3:X238),"")),IF(W239&lt;&gt;"", Q239,"")),"")</f>
        <v/>
      </c>
      <c r="Y239" s="126" t="str">
        <f>IF(S239="S",IF(OR(P239&lt;=MAX($X$3:X238),P239&gt;=IF(MIN(W$53:$W240)&lt;1,99999999,MIN(W$53:$W240))),"Yes","No"),"")</f>
        <v/>
      </c>
      <c r="AA239" s="130" t="str">
        <f t="shared" si="49"/>
        <v/>
      </c>
      <c r="AB239" s="131" t="str">
        <f t="array" ref="AB239">IF(AA239&lt;=$AA$2,MIN(IF($L$4:$L$503&lt;=AB238,99999999999,$L$4:$L$503)),"")</f>
        <v/>
      </c>
      <c r="AC239" s="130" t="str">
        <f>IF(ISNUMBER(AA239),IF(Dashboard!$H$6&lt;&gt;"Horizontal",AC238+dateDistance,AC238),"")</f>
        <v/>
      </c>
      <c r="AD239" s="130" t="str">
        <f>IF(ISNUMBER(AA239),IF(Dashboard!$H$6="Horizontal",AD238+dateDistance,AD238),"")</f>
        <v/>
      </c>
      <c r="AE239" s="132" t="str">
        <f>IF(ISNUMBER(P239), IF(Dashboard!$H$6="Horizontal",IF(S239="S",INDEX($AC$4:$AC$503,MATCH(P239,$AB$4:$AB$503,0),1)+boxDistance*(T239+IF(Y239="No",IF(ISODD(T239),IF(T239&gt;0,1,-1),0),0))*IF(Y239="No",IF(ISODD(T239),0.5,-0.5),1),timelineStartRow - boxDistance * V239),IF( S239="S",INDEX($AC$4:$AC$503,MATCH(P239,$AB$4:$AB$503,0),1),INDEX($AC$4:$AC$503,MATCH(P239,$AB$4:$AB$503,0),1)&amp;"-"&amp;INDEX($AC$4:$AC$503,MATCH(Q239,$AB$4:$AB$503,0),1))),"")</f>
        <v/>
      </c>
      <c r="AF239" s="132" t="str">
        <f>IF(ISNUMBER(P239), IF(Dashboard!$H$6&lt;&gt;"Horizontal",IF(S239="S",INDEX($AD$4:$AD$503,MATCH(P239,$AB$4:$AB$503,0),1)+boxDistance*(T239+IF(Y239="No",IF(ISODD(T239),IF(T239&gt;0,1,-1),0),0))*IF(Y239="No",IF(ISODD(T239),0.5,-0.5),1),timelineStartColumn-boxDistance * IF(AND(ISNUMBER(V239),V239&gt;1),V239*0.85,1)   ),IF( S239="S",INDEX($AD$4:$AD$503,MATCH(P239,$AB$4:$AB$503,0),1),INDEX($AD$4:$AD$503,MATCH(P239,$AB$4:$AB$503,0),1)&amp;"-"&amp;INDEX($AD$4:$AD$503,MATCH(Q239,$AB$4:$AB$503,0),1))),"")</f>
        <v/>
      </c>
      <c r="AG239" s="133" t="str">
        <f t="shared" si="56"/>
        <v/>
      </c>
      <c r="AH239" s="134" t="str">
        <f t="shared" si="50"/>
        <v/>
      </c>
      <c r="AI239" s="135" t="str">
        <f t="shared" si="51"/>
        <v/>
      </c>
      <c r="AJ239" s="135" t="str">
        <f t="shared" si="57"/>
        <v/>
      </c>
      <c r="AK239" s="126" t="str">
        <f t="shared" si="58"/>
        <v/>
      </c>
      <c r="AL239" s="126" t="str">
        <f ca="1">IFERROR(IF(AK239="","", MATCH(AK239,OFFSET(Icons!$B$5,1,AM239-3,20,1),0)+5),"")</f>
        <v/>
      </c>
      <c r="AM239" s="126" t="str">
        <f t="shared" si="59"/>
        <v/>
      </c>
      <c r="AN239" s="90"/>
    </row>
    <row r="240" spans="5:40" ht="15" customHeight="1" x14ac:dyDescent="0.25">
      <c r="E240" s="126">
        <v>237</v>
      </c>
      <c r="F240" s="126"/>
      <c r="G240" s="127"/>
      <c r="H240" s="127"/>
      <c r="I240" s="126"/>
      <c r="K240" s="137" t="str">
        <f t="shared" si="52"/>
        <v/>
      </c>
      <c r="L240" s="127" t="str">
        <f t="shared" si="47"/>
        <v/>
      </c>
      <c r="N240" s="128" t="str">
        <f t="shared" si="53"/>
        <v/>
      </c>
      <c r="O240" s="126" t="str">
        <f t="array" ref="O240">IFERROR(SMALL(IF(($G$4:$G$253=P240),ROW($G$4:$G$253)-ROW($G$3),"" ),N240),"")</f>
        <v/>
      </c>
      <c r="P240" s="127" t="str">
        <f t="array" ref="P240">IFERROR(SMALL($G$4:$G$253,E240),"")</f>
        <v/>
      </c>
      <c r="Q240" s="127" t="str">
        <f t="shared" si="54"/>
        <v/>
      </c>
      <c r="R240" s="126" t="str">
        <f t="shared" si="55"/>
        <v/>
      </c>
      <c r="S240" s="126" t="str">
        <f t="shared" si="48"/>
        <v/>
      </c>
      <c r="T240" s="128" t="str">
        <f>IF(OR(S240="R",S240=""),"",COUNTIFS($P$4:P240,P240,$S$4:S240,"S")*U240)</f>
        <v/>
      </c>
      <c r="U240" s="128" t="str">
        <f>IF(ISNUMBER(N240),IF($C$11=TRUE,IF(OR(ISODD(COUNTIF($N$4:N240,1)),Y240="Yes"),1,-1),1),"")</f>
        <v/>
      </c>
      <c r="V240" s="128" t="str">
        <f ca="1">IFERROR(IF(AND(S240="R",W240&lt;&gt;""),1,IF(S240="R",MAX(OFFSET(V239,0,0,-1*(ROW(W240)-3-MATCH(MAX($W$4:W239),$W$4:W239,0)),1))+1,"")),"")</f>
        <v/>
      </c>
      <c r="W240" s="129" t="str">
        <f>IFERROR(IF(AND(S240="R", P240&gt;MAX($X$3:X239)),P240,""),"")</f>
        <v/>
      </c>
      <c r="X240" s="129" t="str">
        <f>IFERROR(IF(AND(W240="",Q240&gt;=MAX($X$3:X239)),IF(S240="R",Q240,IF(AND(W240="",P240&lt;=MAX($X$3:X239)),MAX($X$3:X239),"")),IF(W240&lt;&gt;"", Q240,"")),"")</f>
        <v/>
      </c>
      <c r="Y240" s="126" t="str">
        <f>IF(S240="S",IF(OR(P240&lt;=MAX($X$3:X239),P240&gt;=IF(MIN(W$53:$W241)&lt;1,99999999,MIN(W$53:$W241))),"Yes","No"),"")</f>
        <v/>
      </c>
      <c r="AA240" s="130" t="str">
        <f t="shared" si="49"/>
        <v/>
      </c>
      <c r="AB240" s="131" t="str">
        <f t="array" ref="AB240">IF(AA240&lt;=$AA$2,MIN(IF($L$4:$L$503&lt;=AB239,99999999999,$L$4:$L$503)),"")</f>
        <v/>
      </c>
      <c r="AC240" s="130" t="str">
        <f>IF(ISNUMBER(AA240),IF(Dashboard!$H$6&lt;&gt;"Horizontal",AC239+dateDistance,AC239),"")</f>
        <v/>
      </c>
      <c r="AD240" s="130" t="str">
        <f>IF(ISNUMBER(AA240),IF(Dashboard!$H$6="Horizontal",AD239+dateDistance,AD239),"")</f>
        <v/>
      </c>
      <c r="AE240" s="132" t="str">
        <f>IF(ISNUMBER(P240), IF(Dashboard!$H$6="Horizontal",IF(S240="S",INDEX($AC$4:$AC$503,MATCH(P240,$AB$4:$AB$503,0),1)+boxDistance*(T240+IF(Y240="No",IF(ISODD(T240),IF(T240&gt;0,1,-1),0),0))*IF(Y240="No",IF(ISODD(T240),0.5,-0.5),1),timelineStartRow - boxDistance * V240),IF( S240="S",INDEX($AC$4:$AC$503,MATCH(P240,$AB$4:$AB$503,0),1),INDEX($AC$4:$AC$503,MATCH(P240,$AB$4:$AB$503,0),1)&amp;"-"&amp;INDEX($AC$4:$AC$503,MATCH(Q240,$AB$4:$AB$503,0),1))),"")</f>
        <v/>
      </c>
      <c r="AF240" s="132" t="str">
        <f>IF(ISNUMBER(P240), IF(Dashboard!$H$6&lt;&gt;"Horizontal",IF(S240="S",INDEX($AD$4:$AD$503,MATCH(P240,$AB$4:$AB$503,0),1)+boxDistance*(T240+IF(Y240="No",IF(ISODD(T240),IF(T240&gt;0,1,-1),0),0))*IF(Y240="No",IF(ISODD(T240),0.5,-0.5),1),timelineStartColumn-boxDistance * IF(AND(ISNUMBER(V240),V240&gt;1),V240*0.85,1)   ),IF( S240="S",INDEX($AD$4:$AD$503,MATCH(P240,$AB$4:$AB$503,0),1),INDEX($AD$4:$AD$503,MATCH(P240,$AB$4:$AB$503,0),1)&amp;"-"&amp;INDEX($AD$4:$AD$503,MATCH(Q240,$AB$4:$AB$503,0),1))),"")</f>
        <v/>
      </c>
      <c r="AG240" s="133" t="str">
        <f t="shared" si="56"/>
        <v/>
      </c>
      <c r="AH240" s="134" t="str">
        <f t="shared" si="50"/>
        <v/>
      </c>
      <c r="AI240" s="135" t="str">
        <f t="shared" si="51"/>
        <v/>
      </c>
      <c r="AJ240" s="135" t="str">
        <f t="shared" si="57"/>
        <v/>
      </c>
      <c r="AK240" s="126" t="str">
        <f t="shared" si="58"/>
        <v/>
      </c>
      <c r="AL240" s="126" t="str">
        <f ca="1">IFERROR(IF(AK240="","", MATCH(AK240,OFFSET(Icons!$B$5,1,AM240-3,20,1),0)+5),"")</f>
        <v/>
      </c>
      <c r="AM240" s="126" t="str">
        <f t="shared" si="59"/>
        <v/>
      </c>
      <c r="AN240" s="90"/>
    </row>
    <row r="241" spans="5:40" ht="15" customHeight="1" x14ac:dyDescent="0.25">
      <c r="E241" s="126">
        <v>238</v>
      </c>
      <c r="F241" s="126"/>
      <c r="G241" s="127"/>
      <c r="H241" s="127"/>
      <c r="I241" s="126"/>
      <c r="K241" s="137" t="str">
        <f t="shared" si="52"/>
        <v/>
      </c>
      <c r="L241" s="127" t="str">
        <f t="shared" si="47"/>
        <v/>
      </c>
      <c r="N241" s="128" t="str">
        <f t="shared" si="53"/>
        <v/>
      </c>
      <c r="O241" s="126" t="str">
        <f t="array" ref="O241">IFERROR(SMALL(IF(($G$4:$G$253=P241),ROW($G$4:$G$253)-ROW($G$3),"" ),N241),"")</f>
        <v/>
      </c>
      <c r="P241" s="127" t="str">
        <f t="array" ref="P241">IFERROR(SMALL($G$4:$G$253,E241),"")</f>
        <v/>
      </c>
      <c r="Q241" s="127" t="str">
        <f t="shared" si="54"/>
        <v/>
      </c>
      <c r="R241" s="126" t="str">
        <f t="shared" si="55"/>
        <v/>
      </c>
      <c r="S241" s="126" t="str">
        <f t="shared" si="48"/>
        <v/>
      </c>
      <c r="T241" s="128" t="str">
        <f>IF(OR(S241="R",S241=""),"",COUNTIFS($P$4:P241,P241,$S$4:S241,"S")*U241)</f>
        <v/>
      </c>
      <c r="U241" s="128" t="str">
        <f>IF(ISNUMBER(N241),IF($C$11=TRUE,IF(OR(ISODD(COUNTIF($N$4:N241,1)),Y241="Yes"),1,-1),1),"")</f>
        <v/>
      </c>
      <c r="V241" s="128" t="str">
        <f ca="1">IFERROR(IF(AND(S241="R",W241&lt;&gt;""),1,IF(S241="R",MAX(OFFSET(V240,0,0,-1*(ROW(W241)-3-MATCH(MAX($W$4:W240),$W$4:W240,0)),1))+1,"")),"")</f>
        <v/>
      </c>
      <c r="W241" s="129" t="str">
        <f>IFERROR(IF(AND(S241="R", P241&gt;MAX($X$3:X240)),P241,""),"")</f>
        <v/>
      </c>
      <c r="X241" s="129" t="str">
        <f>IFERROR(IF(AND(W241="",Q241&gt;=MAX($X$3:X240)),IF(S241="R",Q241,IF(AND(W241="",P241&lt;=MAX($X$3:X240)),MAX($X$3:X240),"")),IF(W241&lt;&gt;"", Q241,"")),"")</f>
        <v/>
      </c>
      <c r="Y241" s="126" t="str">
        <f>IF(S241="S",IF(OR(P241&lt;=MAX($X$3:X240),P241&gt;=IF(MIN(W$53:$W242)&lt;1,99999999,MIN(W$53:$W242))),"Yes","No"),"")</f>
        <v/>
      </c>
      <c r="AA241" s="130" t="str">
        <f t="shared" si="49"/>
        <v/>
      </c>
      <c r="AB241" s="131" t="str">
        <f t="array" ref="AB241">IF(AA241&lt;=$AA$2,MIN(IF($L$4:$L$503&lt;=AB240,99999999999,$L$4:$L$503)),"")</f>
        <v/>
      </c>
      <c r="AC241" s="130" t="str">
        <f>IF(ISNUMBER(AA241),IF(Dashboard!$H$6&lt;&gt;"Horizontal",AC240+dateDistance,AC240),"")</f>
        <v/>
      </c>
      <c r="AD241" s="130" t="str">
        <f>IF(ISNUMBER(AA241),IF(Dashboard!$H$6="Horizontal",AD240+dateDistance,AD240),"")</f>
        <v/>
      </c>
      <c r="AE241" s="132" t="str">
        <f>IF(ISNUMBER(P241), IF(Dashboard!$H$6="Horizontal",IF(S241="S",INDEX($AC$4:$AC$503,MATCH(P241,$AB$4:$AB$503,0),1)+boxDistance*(T241+IF(Y241="No",IF(ISODD(T241),IF(T241&gt;0,1,-1),0),0))*IF(Y241="No",IF(ISODD(T241),0.5,-0.5),1),timelineStartRow - boxDistance * V241),IF( S241="S",INDEX($AC$4:$AC$503,MATCH(P241,$AB$4:$AB$503,0),1),INDEX($AC$4:$AC$503,MATCH(P241,$AB$4:$AB$503,0),1)&amp;"-"&amp;INDEX($AC$4:$AC$503,MATCH(Q241,$AB$4:$AB$503,0),1))),"")</f>
        <v/>
      </c>
      <c r="AF241" s="132" t="str">
        <f>IF(ISNUMBER(P241), IF(Dashboard!$H$6&lt;&gt;"Horizontal",IF(S241="S",INDEX($AD$4:$AD$503,MATCH(P241,$AB$4:$AB$503,0),1)+boxDistance*(T241+IF(Y241="No",IF(ISODD(T241),IF(T241&gt;0,1,-1),0),0))*IF(Y241="No",IF(ISODD(T241),0.5,-0.5),1),timelineStartColumn-boxDistance * IF(AND(ISNUMBER(V241),V241&gt;1),V241*0.85,1)   ),IF( S241="S",INDEX($AD$4:$AD$503,MATCH(P241,$AB$4:$AB$503,0),1),INDEX($AD$4:$AD$503,MATCH(P241,$AB$4:$AB$503,0),1)&amp;"-"&amp;INDEX($AD$4:$AD$503,MATCH(Q241,$AB$4:$AB$503,0),1))),"")</f>
        <v/>
      </c>
      <c r="AG241" s="133" t="str">
        <f t="shared" si="56"/>
        <v/>
      </c>
      <c r="AH241" s="134" t="str">
        <f t="shared" si="50"/>
        <v/>
      </c>
      <c r="AI241" s="135" t="str">
        <f t="shared" si="51"/>
        <v/>
      </c>
      <c r="AJ241" s="135" t="str">
        <f t="shared" si="57"/>
        <v/>
      </c>
      <c r="AK241" s="126" t="str">
        <f t="shared" si="58"/>
        <v/>
      </c>
      <c r="AL241" s="126" t="str">
        <f ca="1">IFERROR(IF(AK241="","", MATCH(AK241,OFFSET(Icons!$B$5,1,AM241-3,20,1),0)+5),"")</f>
        <v/>
      </c>
      <c r="AM241" s="126" t="str">
        <f t="shared" si="59"/>
        <v/>
      </c>
      <c r="AN241" s="90"/>
    </row>
    <row r="242" spans="5:40" ht="15" customHeight="1" x14ac:dyDescent="0.25">
      <c r="E242" s="126">
        <v>239</v>
      </c>
      <c r="F242" s="126"/>
      <c r="G242" s="127"/>
      <c r="H242" s="127"/>
      <c r="I242" s="126"/>
      <c r="K242" s="137" t="str">
        <f t="shared" si="52"/>
        <v/>
      </c>
      <c r="L242" s="127" t="str">
        <f t="shared" si="47"/>
        <v/>
      </c>
      <c r="N242" s="128" t="str">
        <f t="shared" si="53"/>
        <v/>
      </c>
      <c r="O242" s="126" t="str">
        <f t="array" ref="O242">IFERROR(SMALL(IF(($G$4:$G$253=P242),ROW($G$4:$G$253)-ROW($G$3),"" ),N242),"")</f>
        <v/>
      </c>
      <c r="P242" s="127" t="str">
        <f t="array" ref="P242">IFERROR(SMALL($G$4:$G$253,E242),"")</f>
        <v/>
      </c>
      <c r="Q242" s="127" t="str">
        <f t="shared" si="54"/>
        <v/>
      </c>
      <c r="R242" s="126" t="str">
        <f t="shared" si="55"/>
        <v/>
      </c>
      <c r="S242" s="126" t="str">
        <f t="shared" si="48"/>
        <v/>
      </c>
      <c r="T242" s="128" t="str">
        <f>IF(OR(S242="R",S242=""),"",COUNTIFS($P$4:P242,P242,$S$4:S242,"S")*U242)</f>
        <v/>
      </c>
      <c r="U242" s="128" t="str">
        <f>IF(ISNUMBER(N242),IF($C$11=TRUE,IF(OR(ISODD(COUNTIF($N$4:N242,1)),Y242="Yes"),1,-1),1),"")</f>
        <v/>
      </c>
      <c r="V242" s="128" t="str">
        <f ca="1">IFERROR(IF(AND(S242="R",W242&lt;&gt;""),1,IF(S242="R",MAX(OFFSET(V241,0,0,-1*(ROW(W242)-3-MATCH(MAX($W$4:W241),$W$4:W241,0)),1))+1,"")),"")</f>
        <v/>
      </c>
      <c r="W242" s="129" t="str">
        <f>IFERROR(IF(AND(S242="R", P242&gt;MAX($X$3:X241)),P242,""),"")</f>
        <v/>
      </c>
      <c r="X242" s="129" t="str">
        <f>IFERROR(IF(AND(W242="",Q242&gt;=MAX($X$3:X241)),IF(S242="R",Q242,IF(AND(W242="",P242&lt;=MAX($X$3:X241)),MAX($X$3:X241),"")),IF(W242&lt;&gt;"", Q242,"")),"")</f>
        <v/>
      </c>
      <c r="Y242" s="126" t="str">
        <f>IF(S242="S",IF(OR(P242&lt;=MAX($X$3:X241),P242&gt;=IF(MIN(W$53:$W243)&lt;1,99999999,MIN(W$53:$W243))),"Yes","No"),"")</f>
        <v/>
      </c>
      <c r="AA242" s="130" t="str">
        <f t="shared" si="49"/>
        <v/>
      </c>
      <c r="AB242" s="131" t="str">
        <f t="array" ref="AB242">IF(AA242&lt;=$AA$2,MIN(IF($L$4:$L$503&lt;=AB241,99999999999,$L$4:$L$503)),"")</f>
        <v/>
      </c>
      <c r="AC242" s="130" t="str">
        <f>IF(ISNUMBER(AA242),IF(Dashboard!$H$6&lt;&gt;"Horizontal",AC241+dateDistance,AC241),"")</f>
        <v/>
      </c>
      <c r="AD242" s="130" t="str">
        <f>IF(ISNUMBER(AA242),IF(Dashboard!$H$6="Horizontal",AD241+dateDistance,AD241),"")</f>
        <v/>
      </c>
      <c r="AE242" s="132" t="str">
        <f>IF(ISNUMBER(P242), IF(Dashboard!$H$6="Horizontal",IF(S242="S",INDEX($AC$4:$AC$503,MATCH(P242,$AB$4:$AB$503,0),1)+boxDistance*(T242+IF(Y242="No",IF(ISODD(T242),IF(T242&gt;0,1,-1),0),0))*IF(Y242="No",IF(ISODD(T242),0.5,-0.5),1),timelineStartRow - boxDistance * V242),IF( S242="S",INDEX($AC$4:$AC$503,MATCH(P242,$AB$4:$AB$503,0),1),INDEX($AC$4:$AC$503,MATCH(P242,$AB$4:$AB$503,0),1)&amp;"-"&amp;INDEX($AC$4:$AC$503,MATCH(Q242,$AB$4:$AB$503,0),1))),"")</f>
        <v/>
      </c>
      <c r="AF242" s="132" t="str">
        <f>IF(ISNUMBER(P242), IF(Dashboard!$H$6&lt;&gt;"Horizontal",IF(S242="S",INDEX($AD$4:$AD$503,MATCH(P242,$AB$4:$AB$503,0),1)+boxDistance*(T242+IF(Y242="No",IF(ISODD(T242),IF(T242&gt;0,1,-1),0),0))*IF(Y242="No",IF(ISODD(T242),0.5,-0.5),1),timelineStartColumn-boxDistance * IF(AND(ISNUMBER(V242),V242&gt;1),V242*0.85,1)   ),IF( S242="S",INDEX($AD$4:$AD$503,MATCH(P242,$AB$4:$AB$503,0),1),INDEX($AD$4:$AD$503,MATCH(P242,$AB$4:$AB$503,0),1)&amp;"-"&amp;INDEX($AD$4:$AD$503,MATCH(Q242,$AB$4:$AB$503,0),1))),"")</f>
        <v/>
      </c>
      <c r="AG242" s="133" t="str">
        <f t="shared" si="56"/>
        <v/>
      </c>
      <c r="AH242" s="134" t="str">
        <f t="shared" si="50"/>
        <v/>
      </c>
      <c r="AI242" s="135" t="str">
        <f t="shared" si="51"/>
        <v/>
      </c>
      <c r="AJ242" s="135" t="str">
        <f t="shared" si="57"/>
        <v/>
      </c>
      <c r="AK242" s="126" t="str">
        <f t="shared" si="58"/>
        <v/>
      </c>
      <c r="AL242" s="126" t="str">
        <f ca="1">IFERROR(IF(AK242="","", MATCH(AK242,OFFSET(Icons!$B$5,1,AM242-3,20,1),0)+5),"")</f>
        <v/>
      </c>
      <c r="AM242" s="126" t="str">
        <f t="shared" si="59"/>
        <v/>
      </c>
      <c r="AN242" s="90"/>
    </row>
    <row r="243" spans="5:40" ht="15" customHeight="1" x14ac:dyDescent="0.25">
      <c r="E243" s="126">
        <v>240</v>
      </c>
      <c r="F243" s="126"/>
      <c r="G243" s="127"/>
      <c r="H243" s="127"/>
      <c r="I243" s="126"/>
      <c r="K243" s="137" t="str">
        <f t="shared" si="52"/>
        <v/>
      </c>
      <c r="L243" s="127" t="str">
        <f t="shared" si="47"/>
        <v/>
      </c>
      <c r="N243" s="128" t="str">
        <f t="shared" si="53"/>
        <v/>
      </c>
      <c r="O243" s="126" t="str">
        <f t="array" ref="O243">IFERROR(SMALL(IF(($G$4:$G$253=P243),ROW($G$4:$G$253)-ROW($G$3),"" ),N243),"")</f>
        <v/>
      </c>
      <c r="P243" s="127" t="str">
        <f t="array" ref="P243">IFERROR(SMALL($G$4:$G$253,E243),"")</f>
        <v/>
      </c>
      <c r="Q243" s="127" t="str">
        <f t="shared" si="54"/>
        <v/>
      </c>
      <c r="R243" s="126" t="str">
        <f t="shared" si="55"/>
        <v/>
      </c>
      <c r="S243" s="126" t="str">
        <f t="shared" si="48"/>
        <v/>
      </c>
      <c r="T243" s="128" t="str">
        <f>IF(OR(S243="R",S243=""),"",COUNTIFS($P$4:P243,P243,$S$4:S243,"S")*U243)</f>
        <v/>
      </c>
      <c r="U243" s="128" t="str">
        <f>IF(ISNUMBER(N243),IF($C$11=TRUE,IF(OR(ISODD(COUNTIF($N$4:N243,1)),Y243="Yes"),1,-1),1),"")</f>
        <v/>
      </c>
      <c r="V243" s="128" t="str">
        <f ca="1">IFERROR(IF(AND(S243="R",W243&lt;&gt;""),1,IF(S243="R",MAX(OFFSET(V242,0,0,-1*(ROW(W243)-3-MATCH(MAX($W$4:W242),$W$4:W242,0)),1))+1,"")),"")</f>
        <v/>
      </c>
      <c r="W243" s="129" t="str">
        <f>IFERROR(IF(AND(S243="R", P243&gt;MAX($X$3:X242)),P243,""),"")</f>
        <v/>
      </c>
      <c r="X243" s="129" t="str">
        <f>IFERROR(IF(AND(W243="",Q243&gt;=MAX($X$3:X242)),IF(S243="R",Q243,IF(AND(W243="",P243&lt;=MAX($X$3:X242)),MAX($X$3:X242),"")),IF(W243&lt;&gt;"", Q243,"")),"")</f>
        <v/>
      </c>
      <c r="Y243" s="126" t="str">
        <f>IF(S243="S",IF(OR(P243&lt;=MAX($X$3:X242),P243&gt;=IF(MIN(W$53:$W244)&lt;1,99999999,MIN(W$53:$W244))),"Yes","No"),"")</f>
        <v/>
      </c>
      <c r="AA243" s="130" t="str">
        <f t="shared" si="49"/>
        <v/>
      </c>
      <c r="AB243" s="131" t="str">
        <f t="array" ref="AB243">IF(AA243&lt;=$AA$2,MIN(IF($L$4:$L$503&lt;=AB242,99999999999,$L$4:$L$503)),"")</f>
        <v/>
      </c>
      <c r="AC243" s="130" t="str">
        <f>IF(ISNUMBER(AA243),IF(Dashboard!$H$6&lt;&gt;"Horizontal",AC242+dateDistance,AC242),"")</f>
        <v/>
      </c>
      <c r="AD243" s="130" t="str">
        <f>IF(ISNUMBER(AA243),IF(Dashboard!$H$6="Horizontal",AD242+dateDistance,AD242),"")</f>
        <v/>
      </c>
      <c r="AE243" s="132" t="str">
        <f>IF(ISNUMBER(P243), IF(Dashboard!$H$6="Horizontal",IF(S243="S",INDEX($AC$4:$AC$503,MATCH(P243,$AB$4:$AB$503,0),1)+boxDistance*(T243+IF(Y243="No",IF(ISODD(T243),IF(T243&gt;0,1,-1),0),0))*IF(Y243="No",IF(ISODD(T243),0.5,-0.5),1),timelineStartRow - boxDistance * V243),IF( S243="S",INDEX($AC$4:$AC$503,MATCH(P243,$AB$4:$AB$503,0),1),INDEX($AC$4:$AC$503,MATCH(P243,$AB$4:$AB$503,0),1)&amp;"-"&amp;INDEX($AC$4:$AC$503,MATCH(Q243,$AB$4:$AB$503,0),1))),"")</f>
        <v/>
      </c>
      <c r="AF243" s="132" t="str">
        <f>IF(ISNUMBER(P243), IF(Dashboard!$H$6&lt;&gt;"Horizontal",IF(S243="S",INDEX($AD$4:$AD$503,MATCH(P243,$AB$4:$AB$503,0),1)+boxDistance*(T243+IF(Y243="No",IF(ISODD(T243),IF(T243&gt;0,1,-1),0),0))*IF(Y243="No",IF(ISODD(T243),0.5,-0.5),1),timelineStartColumn-boxDistance * IF(AND(ISNUMBER(V243),V243&gt;1),V243*0.85,1)   ),IF( S243="S",INDEX($AD$4:$AD$503,MATCH(P243,$AB$4:$AB$503,0),1),INDEX($AD$4:$AD$503,MATCH(P243,$AB$4:$AB$503,0),1)&amp;"-"&amp;INDEX($AD$4:$AD$503,MATCH(Q243,$AB$4:$AB$503,0),1))),"")</f>
        <v/>
      </c>
      <c r="AG243" s="133" t="str">
        <f t="shared" si="56"/>
        <v/>
      </c>
      <c r="AH243" s="134" t="str">
        <f t="shared" si="50"/>
        <v/>
      </c>
      <c r="AI243" s="135" t="str">
        <f t="shared" si="51"/>
        <v/>
      </c>
      <c r="AJ243" s="135" t="str">
        <f t="shared" si="57"/>
        <v/>
      </c>
      <c r="AK243" s="126" t="str">
        <f t="shared" si="58"/>
        <v/>
      </c>
      <c r="AL243" s="126" t="str">
        <f ca="1">IFERROR(IF(AK243="","", MATCH(AK243,OFFSET(Icons!$B$5,1,AM243-3,20,1),0)+5),"")</f>
        <v/>
      </c>
      <c r="AM243" s="126" t="str">
        <f t="shared" si="59"/>
        <v/>
      </c>
      <c r="AN243" s="90"/>
    </row>
    <row r="244" spans="5:40" ht="15" customHeight="1" x14ac:dyDescent="0.25">
      <c r="E244" s="126">
        <v>241</v>
      </c>
      <c r="F244" s="126"/>
      <c r="G244" s="127"/>
      <c r="H244" s="127"/>
      <c r="I244" s="126"/>
      <c r="K244" s="137" t="str">
        <f t="shared" si="52"/>
        <v/>
      </c>
      <c r="L244" s="127" t="str">
        <f t="shared" si="47"/>
        <v/>
      </c>
      <c r="N244" s="128" t="str">
        <f t="shared" si="53"/>
        <v/>
      </c>
      <c r="O244" s="126" t="str">
        <f t="array" ref="O244">IFERROR(SMALL(IF(($G$4:$G$253=P244),ROW($G$4:$G$253)-ROW($G$3),"" ),N244),"")</f>
        <v/>
      </c>
      <c r="P244" s="127" t="str">
        <f t="array" ref="P244">IFERROR(SMALL($G$4:$G$253,E244),"")</f>
        <v/>
      </c>
      <c r="Q244" s="127" t="str">
        <f t="shared" si="54"/>
        <v/>
      </c>
      <c r="R244" s="126" t="str">
        <f t="shared" si="55"/>
        <v/>
      </c>
      <c r="S244" s="126" t="str">
        <f t="shared" si="48"/>
        <v/>
      </c>
      <c r="T244" s="128" t="str">
        <f>IF(OR(S244="R",S244=""),"",COUNTIFS($P$4:P244,P244,$S$4:S244,"S")*U244)</f>
        <v/>
      </c>
      <c r="U244" s="128" t="str">
        <f>IF(ISNUMBER(N244),IF($C$11=TRUE,IF(OR(ISODD(COUNTIF($N$4:N244,1)),Y244="Yes"),1,-1),1),"")</f>
        <v/>
      </c>
      <c r="V244" s="128" t="str">
        <f ca="1">IFERROR(IF(AND(S244="R",W244&lt;&gt;""),1,IF(S244="R",MAX(OFFSET(V243,0,0,-1*(ROW(W244)-3-MATCH(MAX($W$4:W243),$W$4:W243,0)),1))+1,"")),"")</f>
        <v/>
      </c>
      <c r="W244" s="129" t="str">
        <f>IFERROR(IF(AND(S244="R", P244&gt;MAX($X$3:X243)),P244,""),"")</f>
        <v/>
      </c>
      <c r="X244" s="129" t="str">
        <f>IFERROR(IF(AND(W244="",Q244&gt;=MAX($X$3:X243)),IF(S244="R",Q244,IF(AND(W244="",P244&lt;=MAX($X$3:X243)),MAX($X$3:X243),"")),IF(W244&lt;&gt;"", Q244,"")),"")</f>
        <v/>
      </c>
      <c r="Y244" s="126" t="str">
        <f>IF(S244="S",IF(OR(P244&lt;=MAX($X$3:X243),P244&gt;=IF(MIN(W$53:$W245)&lt;1,99999999,MIN(W$53:$W245))),"Yes","No"),"")</f>
        <v/>
      </c>
      <c r="AA244" s="130" t="str">
        <f t="shared" si="49"/>
        <v/>
      </c>
      <c r="AB244" s="131" t="str">
        <f t="array" ref="AB244">IF(AA244&lt;=$AA$2,MIN(IF($L$4:$L$503&lt;=AB243,99999999999,$L$4:$L$503)),"")</f>
        <v/>
      </c>
      <c r="AC244" s="130" t="str">
        <f>IF(ISNUMBER(AA244),IF(Dashboard!$H$6&lt;&gt;"Horizontal",AC243+dateDistance,AC243),"")</f>
        <v/>
      </c>
      <c r="AD244" s="130" t="str">
        <f>IF(ISNUMBER(AA244),IF(Dashboard!$H$6="Horizontal",AD243+dateDistance,AD243),"")</f>
        <v/>
      </c>
      <c r="AE244" s="132" t="str">
        <f>IF(ISNUMBER(P244), IF(Dashboard!$H$6="Horizontal",IF(S244="S",INDEX($AC$4:$AC$503,MATCH(P244,$AB$4:$AB$503,0),1)+boxDistance*(T244+IF(Y244="No",IF(ISODD(T244),IF(T244&gt;0,1,-1),0),0))*IF(Y244="No",IF(ISODD(T244),0.5,-0.5),1),timelineStartRow - boxDistance * V244),IF( S244="S",INDEX($AC$4:$AC$503,MATCH(P244,$AB$4:$AB$503,0),1),INDEX($AC$4:$AC$503,MATCH(P244,$AB$4:$AB$503,0),1)&amp;"-"&amp;INDEX($AC$4:$AC$503,MATCH(Q244,$AB$4:$AB$503,0),1))),"")</f>
        <v/>
      </c>
      <c r="AF244" s="132" t="str">
        <f>IF(ISNUMBER(P244), IF(Dashboard!$H$6&lt;&gt;"Horizontal",IF(S244="S",INDEX($AD$4:$AD$503,MATCH(P244,$AB$4:$AB$503,0),1)+boxDistance*(T244+IF(Y244="No",IF(ISODD(T244),IF(T244&gt;0,1,-1),0),0))*IF(Y244="No",IF(ISODD(T244),0.5,-0.5),1),timelineStartColumn-boxDistance * IF(AND(ISNUMBER(V244),V244&gt;1),V244*0.85,1)   ),IF( S244="S",INDEX($AD$4:$AD$503,MATCH(P244,$AB$4:$AB$503,0),1),INDEX($AD$4:$AD$503,MATCH(P244,$AB$4:$AB$503,0),1)&amp;"-"&amp;INDEX($AD$4:$AD$503,MATCH(Q244,$AB$4:$AB$503,0),1))),"")</f>
        <v/>
      </c>
      <c r="AG244" s="133" t="str">
        <f t="shared" si="56"/>
        <v/>
      </c>
      <c r="AH244" s="134" t="str">
        <f t="shared" si="50"/>
        <v/>
      </c>
      <c r="AI244" s="135" t="str">
        <f t="shared" si="51"/>
        <v/>
      </c>
      <c r="AJ244" s="135" t="str">
        <f t="shared" si="57"/>
        <v/>
      </c>
      <c r="AK244" s="126" t="str">
        <f t="shared" si="58"/>
        <v/>
      </c>
      <c r="AL244" s="126" t="str">
        <f ca="1">IFERROR(IF(AK244="","", MATCH(AK244,OFFSET(Icons!$B$5,1,AM244-3,20,1),0)+5),"")</f>
        <v/>
      </c>
      <c r="AM244" s="126" t="str">
        <f t="shared" si="59"/>
        <v/>
      </c>
      <c r="AN244" s="90"/>
    </row>
    <row r="245" spans="5:40" ht="15" customHeight="1" x14ac:dyDescent="0.25">
      <c r="E245" s="126">
        <v>242</v>
      </c>
      <c r="F245" s="126"/>
      <c r="G245" s="127"/>
      <c r="H245" s="127"/>
      <c r="I245" s="126"/>
      <c r="K245" s="137" t="str">
        <f t="shared" si="52"/>
        <v/>
      </c>
      <c r="L245" s="127" t="str">
        <f t="shared" si="47"/>
        <v/>
      </c>
      <c r="N245" s="128" t="str">
        <f t="shared" si="53"/>
        <v/>
      </c>
      <c r="O245" s="126" t="str">
        <f t="array" ref="O245">IFERROR(SMALL(IF(($G$4:$G$253=P245),ROW($G$4:$G$253)-ROW($G$3),"" ),N245),"")</f>
        <v/>
      </c>
      <c r="P245" s="127" t="str">
        <f t="array" ref="P245">IFERROR(SMALL($G$4:$G$253,E245),"")</f>
        <v/>
      </c>
      <c r="Q245" s="127" t="str">
        <f t="shared" si="54"/>
        <v/>
      </c>
      <c r="R245" s="126" t="str">
        <f t="shared" si="55"/>
        <v/>
      </c>
      <c r="S245" s="126" t="str">
        <f t="shared" si="48"/>
        <v/>
      </c>
      <c r="T245" s="128" t="str">
        <f>IF(OR(S245="R",S245=""),"",COUNTIFS($P$4:P245,P245,$S$4:S245,"S")*U245)</f>
        <v/>
      </c>
      <c r="U245" s="128" t="str">
        <f>IF(ISNUMBER(N245),IF($C$11=TRUE,IF(OR(ISODD(COUNTIF($N$4:N245,1)),Y245="Yes"),1,-1),1),"")</f>
        <v/>
      </c>
      <c r="V245" s="128" t="str">
        <f ca="1">IFERROR(IF(AND(S245="R",W245&lt;&gt;""),1,IF(S245="R",MAX(OFFSET(V244,0,0,-1*(ROW(W245)-3-MATCH(MAX($W$4:W244),$W$4:W244,0)),1))+1,"")),"")</f>
        <v/>
      </c>
      <c r="W245" s="129" t="str">
        <f>IFERROR(IF(AND(S245="R", P245&gt;MAX($X$3:X244)),P245,""),"")</f>
        <v/>
      </c>
      <c r="X245" s="129" t="str">
        <f>IFERROR(IF(AND(W245="",Q245&gt;=MAX($X$3:X244)),IF(S245="R",Q245,IF(AND(W245="",P245&lt;=MAX($X$3:X244)),MAX($X$3:X244),"")),IF(W245&lt;&gt;"", Q245,"")),"")</f>
        <v/>
      </c>
      <c r="Y245" s="126" t="str">
        <f>IF(S245="S",IF(OR(P245&lt;=MAX($X$3:X244),P245&gt;=IF(MIN(W$53:$W246)&lt;1,99999999,MIN(W$53:$W246))),"Yes","No"),"")</f>
        <v/>
      </c>
      <c r="AA245" s="130" t="str">
        <f t="shared" si="49"/>
        <v/>
      </c>
      <c r="AB245" s="131" t="str">
        <f t="array" ref="AB245">IF(AA245&lt;=$AA$2,MIN(IF($L$4:$L$503&lt;=AB244,99999999999,$L$4:$L$503)),"")</f>
        <v/>
      </c>
      <c r="AC245" s="130" t="str">
        <f>IF(ISNUMBER(AA245),IF(Dashboard!$H$6&lt;&gt;"Horizontal",AC244+dateDistance,AC244),"")</f>
        <v/>
      </c>
      <c r="AD245" s="130" t="str">
        <f>IF(ISNUMBER(AA245),IF(Dashboard!$H$6="Horizontal",AD244+dateDistance,AD244),"")</f>
        <v/>
      </c>
      <c r="AE245" s="132" t="str">
        <f>IF(ISNUMBER(P245), IF(Dashboard!$H$6="Horizontal",IF(S245="S",INDEX($AC$4:$AC$503,MATCH(P245,$AB$4:$AB$503,0),1)+boxDistance*(T245+IF(Y245="No",IF(ISODD(T245),IF(T245&gt;0,1,-1),0),0))*IF(Y245="No",IF(ISODD(T245),0.5,-0.5),1),timelineStartRow - boxDistance * V245),IF( S245="S",INDEX($AC$4:$AC$503,MATCH(P245,$AB$4:$AB$503,0),1),INDEX($AC$4:$AC$503,MATCH(P245,$AB$4:$AB$503,0),1)&amp;"-"&amp;INDEX($AC$4:$AC$503,MATCH(Q245,$AB$4:$AB$503,0),1))),"")</f>
        <v/>
      </c>
      <c r="AF245" s="132" t="str">
        <f>IF(ISNUMBER(P245), IF(Dashboard!$H$6&lt;&gt;"Horizontal",IF(S245="S",INDEX($AD$4:$AD$503,MATCH(P245,$AB$4:$AB$503,0),1)+boxDistance*(T245+IF(Y245="No",IF(ISODD(T245),IF(T245&gt;0,1,-1),0),0))*IF(Y245="No",IF(ISODD(T245),0.5,-0.5),1),timelineStartColumn-boxDistance * IF(AND(ISNUMBER(V245),V245&gt;1),V245*0.85,1)   ),IF( S245="S",INDEX($AD$4:$AD$503,MATCH(P245,$AB$4:$AB$503,0),1),INDEX($AD$4:$AD$503,MATCH(P245,$AB$4:$AB$503,0),1)&amp;"-"&amp;INDEX($AD$4:$AD$503,MATCH(Q245,$AB$4:$AB$503,0),1))),"")</f>
        <v/>
      </c>
      <c r="AG245" s="133" t="str">
        <f t="shared" si="56"/>
        <v/>
      </c>
      <c r="AH245" s="134" t="str">
        <f t="shared" si="50"/>
        <v/>
      </c>
      <c r="AI245" s="135" t="str">
        <f t="shared" si="51"/>
        <v/>
      </c>
      <c r="AJ245" s="135" t="str">
        <f t="shared" si="57"/>
        <v/>
      </c>
      <c r="AK245" s="126" t="str">
        <f t="shared" si="58"/>
        <v/>
      </c>
      <c r="AL245" s="126" t="str">
        <f ca="1">IFERROR(IF(AK245="","", MATCH(AK245,OFFSET(Icons!$B$5,1,AM245-3,20,1),0)+5),"")</f>
        <v/>
      </c>
      <c r="AM245" s="126" t="str">
        <f t="shared" si="59"/>
        <v/>
      </c>
      <c r="AN245" s="90"/>
    </row>
    <row r="246" spans="5:40" ht="15" customHeight="1" x14ac:dyDescent="0.25">
      <c r="E246" s="126">
        <v>243</v>
      </c>
      <c r="F246" s="126"/>
      <c r="G246" s="127"/>
      <c r="H246" s="127"/>
      <c r="I246" s="126"/>
      <c r="K246" s="137" t="str">
        <f t="shared" si="52"/>
        <v/>
      </c>
      <c r="L246" s="127" t="str">
        <f t="shared" si="47"/>
        <v/>
      </c>
      <c r="N246" s="128" t="str">
        <f t="shared" si="53"/>
        <v/>
      </c>
      <c r="O246" s="126" t="str">
        <f t="array" ref="O246">IFERROR(SMALL(IF(($G$4:$G$253=P246),ROW($G$4:$G$253)-ROW($G$3),"" ),N246),"")</f>
        <v/>
      </c>
      <c r="P246" s="127" t="str">
        <f t="array" ref="P246">IFERROR(SMALL($G$4:$G$253,E246),"")</f>
        <v/>
      </c>
      <c r="Q246" s="127" t="str">
        <f t="shared" si="54"/>
        <v/>
      </c>
      <c r="R246" s="126" t="str">
        <f t="shared" si="55"/>
        <v/>
      </c>
      <c r="S246" s="126" t="str">
        <f t="shared" si="48"/>
        <v/>
      </c>
      <c r="T246" s="128" t="str">
        <f>IF(OR(S246="R",S246=""),"",COUNTIFS($P$4:P246,P246,$S$4:S246,"S")*U246)</f>
        <v/>
      </c>
      <c r="U246" s="128" t="str">
        <f>IF(ISNUMBER(N246),IF($C$11=TRUE,IF(OR(ISODD(COUNTIF($N$4:N246,1)),Y246="Yes"),1,-1),1),"")</f>
        <v/>
      </c>
      <c r="V246" s="128" t="str">
        <f ca="1">IFERROR(IF(AND(S246="R",W246&lt;&gt;""),1,IF(S246="R",MAX(OFFSET(V245,0,0,-1*(ROW(W246)-3-MATCH(MAX($W$4:W245),$W$4:W245,0)),1))+1,"")),"")</f>
        <v/>
      </c>
      <c r="W246" s="129" t="str">
        <f>IFERROR(IF(AND(S246="R", P246&gt;MAX($X$3:X245)),P246,""),"")</f>
        <v/>
      </c>
      <c r="X246" s="129" t="str">
        <f>IFERROR(IF(AND(W246="",Q246&gt;=MAX($X$3:X245)),IF(S246="R",Q246,IF(AND(W246="",P246&lt;=MAX($X$3:X245)),MAX($X$3:X245),"")),IF(W246&lt;&gt;"", Q246,"")),"")</f>
        <v/>
      </c>
      <c r="Y246" s="126" t="str">
        <f>IF(S246="S",IF(OR(P246&lt;=MAX($X$3:X245),P246&gt;=IF(MIN(W$53:$W247)&lt;1,99999999,MIN(W$53:$W247))),"Yes","No"),"")</f>
        <v/>
      </c>
      <c r="AA246" s="130" t="str">
        <f t="shared" si="49"/>
        <v/>
      </c>
      <c r="AB246" s="131" t="str">
        <f t="array" ref="AB246">IF(AA246&lt;=$AA$2,MIN(IF($L$4:$L$503&lt;=AB245,99999999999,$L$4:$L$503)),"")</f>
        <v/>
      </c>
      <c r="AC246" s="130" t="str">
        <f>IF(ISNUMBER(AA246),IF(Dashboard!$H$6&lt;&gt;"Horizontal",AC245+dateDistance,AC245),"")</f>
        <v/>
      </c>
      <c r="AD246" s="130" t="str">
        <f>IF(ISNUMBER(AA246),IF(Dashboard!$H$6="Horizontal",AD245+dateDistance,AD245),"")</f>
        <v/>
      </c>
      <c r="AE246" s="132" t="str">
        <f>IF(ISNUMBER(P246), IF(Dashboard!$H$6="Horizontal",IF(S246="S",INDEX($AC$4:$AC$503,MATCH(P246,$AB$4:$AB$503,0),1)+boxDistance*(T246+IF(Y246="No",IF(ISODD(T246),IF(T246&gt;0,1,-1),0),0))*IF(Y246="No",IF(ISODD(T246),0.5,-0.5),1),timelineStartRow - boxDistance * V246),IF( S246="S",INDEX($AC$4:$AC$503,MATCH(P246,$AB$4:$AB$503,0),1),INDEX($AC$4:$AC$503,MATCH(P246,$AB$4:$AB$503,0),1)&amp;"-"&amp;INDEX($AC$4:$AC$503,MATCH(Q246,$AB$4:$AB$503,0),1))),"")</f>
        <v/>
      </c>
      <c r="AF246" s="132" t="str">
        <f>IF(ISNUMBER(P246), IF(Dashboard!$H$6&lt;&gt;"Horizontal",IF(S246="S",INDEX($AD$4:$AD$503,MATCH(P246,$AB$4:$AB$503,0),1)+boxDistance*(T246+IF(Y246="No",IF(ISODD(T246),IF(T246&gt;0,1,-1),0),0))*IF(Y246="No",IF(ISODD(T246),0.5,-0.5),1),timelineStartColumn-boxDistance * IF(AND(ISNUMBER(V246),V246&gt;1),V246*0.85,1)   ),IF( S246="S",INDEX($AD$4:$AD$503,MATCH(P246,$AB$4:$AB$503,0),1),INDEX($AD$4:$AD$503,MATCH(P246,$AB$4:$AB$503,0),1)&amp;"-"&amp;INDEX($AD$4:$AD$503,MATCH(Q246,$AB$4:$AB$503,0),1))),"")</f>
        <v/>
      </c>
      <c r="AG246" s="133" t="str">
        <f t="shared" si="56"/>
        <v/>
      </c>
      <c r="AH246" s="134" t="str">
        <f t="shared" si="50"/>
        <v/>
      </c>
      <c r="AI246" s="135" t="str">
        <f t="shared" si="51"/>
        <v/>
      </c>
      <c r="AJ246" s="135" t="str">
        <f t="shared" si="57"/>
        <v/>
      </c>
      <c r="AK246" s="126" t="str">
        <f t="shared" si="58"/>
        <v/>
      </c>
      <c r="AL246" s="126" t="str">
        <f ca="1">IFERROR(IF(AK246="","", MATCH(AK246,OFFSET(Icons!$B$5,1,AM246-3,20,1),0)+5),"")</f>
        <v/>
      </c>
      <c r="AM246" s="126" t="str">
        <f t="shared" si="59"/>
        <v/>
      </c>
      <c r="AN246" s="90"/>
    </row>
    <row r="247" spans="5:40" ht="15" customHeight="1" x14ac:dyDescent="0.25">
      <c r="E247" s="126">
        <v>244</v>
      </c>
      <c r="F247" s="126"/>
      <c r="G247" s="127"/>
      <c r="H247" s="127"/>
      <c r="I247" s="126"/>
      <c r="K247" s="137" t="str">
        <f t="shared" si="52"/>
        <v/>
      </c>
      <c r="L247" s="127" t="str">
        <f t="shared" si="47"/>
        <v/>
      </c>
      <c r="N247" s="128" t="str">
        <f t="shared" si="53"/>
        <v/>
      </c>
      <c r="O247" s="126" t="str">
        <f t="array" ref="O247">IFERROR(SMALL(IF(($G$4:$G$253=P247),ROW($G$4:$G$253)-ROW($G$3),"" ),N247),"")</f>
        <v/>
      </c>
      <c r="P247" s="127" t="str">
        <f t="array" ref="P247">IFERROR(SMALL($G$4:$G$253,E247),"")</f>
        <v/>
      </c>
      <c r="Q247" s="127" t="str">
        <f t="shared" si="54"/>
        <v/>
      </c>
      <c r="R247" s="126" t="str">
        <f t="shared" si="55"/>
        <v/>
      </c>
      <c r="S247" s="126" t="str">
        <f t="shared" si="48"/>
        <v/>
      </c>
      <c r="T247" s="128" t="str">
        <f>IF(OR(S247="R",S247=""),"",COUNTIFS($P$4:P247,P247,$S$4:S247,"S")*U247)</f>
        <v/>
      </c>
      <c r="U247" s="128" t="str">
        <f>IF(ISNUMBER(N247),IF($C$11=TRUE,IF(OR(ISODD(COUNTIF($N$4:N247,1)),Y247="Yes"),1,-1),1),"")</f>
        <v/>
      </c>
      <c r="V247" s="128" t="str">
        <f ca="1">IFERROR(IF(AND(S247="R",W247&lt;&gt;""),1,IF(S247="R",MAX(OFFSET(V246,0,0,-1*(ROW(W247)-3-MATCH(MAX($W$4:W246),$W$4:W246,0)),1))+1,"")),"")</f>
        <v/>
      </c>
      <c r="W247" s="129" t="str">
        <f>IFERROR(IF(AND(S247="R", P247&gt;MAX($X$3:X246)),P247,""),"")</f>
        <v/>
      </c>
      <c r="X247" s="129" t="str">
        <f>IFERROR(IF(AND(W247="",Q247&gt;=MAX($X$3:X246)),IF(S247="R",Q247,IF(AND(W247="",P247&lt;=MAX($X$3:X246)),MAX($X$3:X246),"")),IF(W247&lt;&gt;"", Q247,"")),"")</f>
        <v/>
      </c>
      <c r="Y247" s="126" t="str">
        <f>IF(S247="S",IF(OR(P247&lt;=MAX($X$3:X246),P247&gt;=IF(MIN(W$53:$W248)&lt;1,99999999,MIN(W$53:$W248))),"Yes","No"),"")</f>
        <v/>
      </c>
      <c r="AA247" s="130" t="str">
        <f t="shared" si="49"/>
        <v/>
      </c>
      <c r="AB247" s="131" t="str">
        <f t="array" ref="AB247">IF(AA247&lt;=$AA$2,MIN(IF($L$4:$L$503&lt;=AB246,99999999999,$L$4:$L$503)),"")</f>
        <v/>
      </c>
      <c r="AC247" s="130" t="str">
        <f>IF(ISNUMBER(AA247),IF(Dashboard!$H$6&lt;&gt;"Horizontal",AC246+dateDistance,AC246),"")</f>
        <v/>
      </c>
      <c r="AD247" s="130" t="str">
        <f>IF(ISNUMBER(AA247),IF(Dashboard!$H$6="Horizontal",AD246+dateDistance,AD246),"")</f>
        <v/>
      </c>
      <c r="AE247" s="132" t="str">
        <f>IF(ISNUMBER(P247), IF(Dashboard!$H$6="Horizontal",IF(S247="S",INDEX($AC$4:$AC$503,MATCH(P247,$AB$4:$AB$503,0),1)+boxDistance*(T247+IF(Y247="No",IF(ISODD(T247),IF(T247&gt;0,1,-1),0),0))*IF(Y247="No",IF(ISODD(T247),0.5,-0.5),1),timelineStartRow - boxDistance * V247),IF( S247="S",INDEX($AC$4:$AC$503,MATCH(P247,$AB$4:$AB$503,0),1),INDEX($AC$4:$AC$503,MATCH(P247,$AB$4:$AB$503,0),1)&amp;"-"&amp;INDEX($AC$4:$AC$503,MATCH(Q247,$AB$4:$AB$503,0),1))),"")</f>
        <v/>
      </c>
      <c r="AF247" s="132" t="str">
        <f>IF(ISNUMBER(P247), IF(Dashboard!$H$6&lt;&gt;"Horizontal",IF(S247="S",INDEX($AD$4:$AD$503,MATCH(P247,$AB$4:$AB$503,0),1)+boxDistance*(T247+IF(Y247="No",IF(ISODD(T247),IF(T247&gt;0,1,-1),0),0))*IF(Y247="No",IF(ISODD(T247),0.5,-0.5),1),timelineStartColumn-boxDistance * IF(AND(ISNUMBER(V247),V247&gt;1),V247*0.85,1)   ),IF( S247="S",INDEX($AD$4:$AD$503,MATCH(P247,$AB$4:$AB$503,0),1),INDEX($AD$4:$AD$503,MATCH(P247,$AB$4:$AB$503,0),1)&amp;"-"&amp;INDEX($AD$4:$AD$503,MATCH(Q247,$AB$4:$AB$503,0),1))),"")</f>
        <v/>
      </c>
      <c r="AG247" s="133" t="str">
        <f t="shared" si="56"/>
        <v/>
      </c>
      <c r="AH247" s="134" t="str">
        <f t="shared" si="50"/>
        <v/>
      </c>
      <c r="AI247" s="135" t="str">
        <f t="shared" si="51"/>
        <v/>
      </c>
      <c r="AJ247" s="135" t="str">
        <f t="shared" si="57"/>
        <v/>
      </c>
      <c r="AK247" s="126" t="str">
        <f t="shared" si="58"/>
        <v/>
      </c>
      <c r="AL247" s="126" t="str">
        <f ca="1">IFERROR(IF(AK247="","", MATCH(AK247,OFFSET(Icons!$B$5,1,AM247-3,20,1),0)+5),"")</f>
        <v/>
      </c>
      <c r="AM247" s="126" t="str">
        <f t="shared" si="59"/>
        <v/>
      </c>
      <c r="AN247" s="90"/>
    </row>
    <row r="248" spans="5:40" ht="15" customHeight="1" x14ac:dyDescent="0.25">
      <c r="E248" s="126">
        <v>245</v>
      </c>
      <c r="F248" s="126"/>
      <c r="G248" s="127"/>
      <c r="H248" s="127"/>
      <c r="I248" s="126"/>
      <c r="K248" s="137" t="str">
        <f t="shared" si="52"/>
        <v/>
      </c>
      <c r="L248" s="127" t="str">
        <f t="shared" si="47"/>
        <v/>
      </c>
      <c r="N248" s="128" t="str">
        <f t="shared" si="53"/>
        <v/>
      </c>
      <c r="O248" s="126" t="str">
        <f t="array" ref="O248">IFERROR(SMALL(IF(($G$4:$G$253=P248),ROW($G$4:$G$253)-ROW($G$3),"" ),N248),"")</f>
        <v/>
      </c>
      <c r="P248" s="127" t="str">
        <f t="array" ref="P248">IFERROR(SMALL($G$4:$G$253,E248),"")</f>
        <v/>
      </c>
      <c r="Q248" s="127" t="str">
        <f t="shared" si="54"/>
        <v/>
      </c>
      <c r="R248" s="126" t="str">
        <f t="shared" si="55"/>
        <v/>
      </c>
      <c r="S248" s="126" t="str">
        <f t="shared" si="48"/>
        <v/>
      </c>
      <c r="T248" s="128" t="str">
        <f>IF(OR(S248="R",S248=""),"",COUNTIFS($P$4:P248,P248,$S$4:S248,"S")*U248)</f>
        <v/>
      </c>
      <c r="U248" s="128" t="str">
        <f>IF(ISNUMBER(N248),IF($C$11=TRUE,IF(OR(ISODD(COUNTIF($N$4:N248,1)),Y248="Yes"),1,-1),1),"")</f>
        <v/>
      </c>
      <c r="V248" s="128" t="str">
        <f ca="1">IFERROR(IF(AND(S248="R",W248&lt;&gt;""),1,IF(S248="R",MAX(OFFSET(V247,0,0,-1*(ROW(W248)-3-MATCH(MAX($W$4:W247),$W$4:W247,0)),1))+1,"")),"")</f>
        <v/>
      </c>
      <c r="W248" s="129" t="str">
        <f>IFERROR(IF(AND(S248="R", P248&gt;MAX($X$3:X247)),P248,""),"")</f>
        <v/>
      </c>
      <c r="X248" s="129" t="str">
        <f>IFERROR(IF(AND(W248="",Q248&gt;=MAX($X$3:X247)),IF(S248="R",Q248,IF(AND(W248="",P248&lt;=MAX($X$3:X247)),MAX($X$3:X247),"")),IF(W248&lt;&gt;"", Q248,"")),"")</f>
        <v/>
      </c>
      <c r="Y248" s="126" t="str">
        <f>IF(S248="S",IF(OR(P248&lt;=MAX($X$3:X247),P248&gt;=IF(MIN(W$53:$W249)&lt;1,99999999,MIN(W$53:$W249))),"Yes","No"),"")</f>
        <v/>
      </c>
      <c r="AA248" s="130" t="str">
        <f t="shared" si="49"/>
        <v/>
      </c>
      <c r="AB248" s="131" t="str">
        <f t="array" ref="AB248">IF(AA248&lt;=$AA$2,MIN(IF($L$4:$L$503&lt;=AB247,99999999999,$L$4:$L$503)),"")</f>
        <v/>
      </c>
      <c r="AC248" s="130" t="str">
        <f>IF(ISNUMBER(AA248),IF(Dashboard!$H$6&lt;&gt;"Horizontal",AC247+dateDistance,AC247),"")</f>
        <v/>
      </c>
      <c r="AD248" s="130" t="str">
        <f>IF(ISNUMBER(AA248),IF(Dashboard!$H$6="Horizontal",AD247+dateDistance,AD247),"")</f>
        <v/>
      </c>
      <c r="AE248" s="132" t="str">
        <f>IF(ISNUMBER(P248), IF(Dashboard!$H$6="Horizontal",IF(S248="S",INDEX($AC$4:$AC$503,MATCH(P248,$AB$4:$AB$503,0),1)+boxDistance*(T248+IF(Y248="No",IF(ISODD(T248),IF(T248&gt;0,1,-1),0),0))*IF(Y248="No",IF(ISODD(T248),0.5,-0.5),1),timelineStartRow - boxDistance * V248),IF( S248="S",INDEX($AC$4:$AC$503,MATCH(P248,$AB$4:$AB$503,0),1),INDEX($AC$4:$AC$503,MATCH(P248,$AB$4:$AB$503,0),1)&amp;"-"&amp;INDEX($AC$4:$AC$503,MATCH(Q248,$AB$4:$AB$503,0),1))),"")</f>
        <v/>
      </c>
      <c r="AF248" s="132" t="str">
        <f>IF(ISNUMBER(P248), IF(Dashboard!$H$6&lt;&gt;"Horizontal",IF(S248="S",INDEX($AD$4:$AD$503,MATCH(P248,$AB$4:$AB$503,0),1)+boxDistance*(T248+IF(Y248="No",IF(ISODD(T248),IF(T248&gt;0,1,-1),0),0))*IF(Y248="No",IF(ISODD(T248),0.5,-0.5),1),timelineStartColumn-boxDistance * IF(AND(ISNUMBER(V248),V248&gt;1),V248*0.85,1)   ),IF( S248="S",INDEX($AD$4:$AD$503,MATCH(P248,$AB$4:$AB$503,0),1),INDEX($AD$4:$AD$503,MATCH(P248,$AB$4:$AB$503,0),1)&amp;"-"&amp;INDEX($AD$4:$AD$503,MATCH(Q248,$AB$4:$AB$503,0),1))),"")</f>
        <v/>
      </c>
      <c r="AG248" s="133" t="str">
        <f t="shared" si="56"/>
        <v/>
      </c>
      <c r="AH248" s="134" t="str">
        <f t="shared" si="50"/>
        <v/>
      </c>
      <c r="AI248" s="135" t="str">
        <f t="shared" si="51"/>
        <v/>
      </c>
      <c r="AJ248" s="135" t="str">
        <f t="shared" si="57"/>
        <v/>
      </c>
      <c r="AK248" s="126" t="str">
        <f t="shared" si="58"/>
        <v/>
      </c>
      <c r="AL248" s="126" t="str">
        <f ca="1">IFERROR(IF(AK248="","", MATCH(AK248,OFFSET(Icons!$B$5,1,AM248-3,20,1),0)+5),"")</f>
        <v/>
      </c>
      <c r="AM248" s="126" t="str">
        <f t="shared" si="59"/>
        <v/>
      </c>
      <c r="AN248" s="90"/>
    </row>
    <row r="249" spans="5:40" ht="15" customHeight="1" x14ac:dyDescent="0.25">
      <c r="E249" s="126">
        <v>246</v>
      </c>
      <c r="F249" s="126"/>
      <c r="G249" s="127"/>
      <c r="H249" s="127"/>
      <c r="I249" s="126"/>
      <c r="K249" s="137" t="str">
        <f t="shared" si="52"/>
        <v/>
      </c>
      <c r="L249" s="127" t="str">
        <f t="shared" si="47"/>
        <v/>
      </c>
      <c r="N249" s="128" t="str">
        <f t="shared" si="53"/>
        <v/>
      </c>
      <c r="O249" s="126" t="str">
        <f t="array" ref="O249">IFERROR(SMALL(IF(($G$4:$G$253=P249),ROW($G$4:$G$253)-ROW($G$3),"" ),N249),"")</f>
        <v/>
      </c>
      <c r="P249" s="127" t="str">
        <f t="array" ref="P249">IFERROR(SMALL($G$4:$G$253,E249),"")</f>
        <v/>
      </c>
      <c r="Q249" s="127" t="str">
        <f t="shared" si="54"/>
        <v/>
      </c>
      <c r="R249" s="126" t="str">
        <f t="shared" si="55"/>
        <v/>
      </c>
      <c r="S249" s="126" t="str">
        <f t="shared" si="48"/>
        <v/>
      </c>
      <c r="T249" s="128" t="str">
        <f>IF(OR(S249="R",S249=""),"",COUNTIFS($P$4:P249,P249,$S$4:S249,"S")*U249)</f>
        <v/>
      </c>
      <c r="U249" s="128" t="str">
        <f>IF(ISNUMBER(N249),IF($C$11=TRUE,IF(OR(ISODD(COUNTIF($N$4:N249,1)),Y249="Yes"),1,-1),1),"")</f>
        <v/>
      </c>
      <c r="V249" s="128" t="str">
        <f ca="1">IFERROR(IF(AND(S249="R",W249&lt;&gt;""),1,IF(S249="R",MAX(OFFSET(V248,0,0,-1*(ROW(W249)-3-MATCH(MAX($W$4:W248),$W$4:W248,0)),1))+1,"")),"")</f>
        <v/>
      </c>
      <c r="W249" s="129" t="str">
        <f>IFERROR(IF(AND(S249="R", P249&gt;MAX($X$3:X248)),P249,""),"")</f>
        <v/>
      </c>
      <c r="X249" s="129" t="str">
        <f>IFERROR(IF(AND(W249="",Q249&gt;=MAX($X$3:X248)),IF(S249="R",Q249,IF(AND(W249="",P249&lt;=MAX($X$3:X248)),MAX($X$3:X248),"")),IF(W249&lt;&gt;"", Q249,"")),"")</f>
        <v/>
      </c>
      <c r="Y249" s="126" t="str">
        <f>IF(S249="S",IF(OR(P249&lt;=MAX($X$3:X248),P249&gt;=IF(MIN(W$53:$W250)&lt;1,99999999,MIN(W$53:$W250))),"Yes","No"),"")</f>
        <v/>
      </c>
      <c r="AA249" s="130" t="str">
        <f t="shared" si="49"/>
        <v/>
      </c>
      <c r="AB249" s="131" t="str">
        <f t="array" ref="AB249">IF(AA249&lt;=$AA$2,MIN(IF($L$4:$L$503&lt;=AB248,99999999999,$L$4:$L$503)),"")</f>
        <v/>
      </c>
      <c r="AC249" s="130" t="str">
        <f>IF(ISNUMBER(AA249),IF(Dashboard!$H$6&lt;&gt;"Horizontal",AC248+dateDistance,AC248),"")</f>
        <v/>
      </c>
      <c r="AD249" s="130" t="str">
        <f>IF(ISNUMBER(AA249),IF(Dashboard!$H$6="Horizontal",AD248+dateDistance,AD248),"")</f>
        <v/>
      </c>
      <c r="AE249" s="132" t="str">
        <f>IF(ISNUMBER(P249), IF(Dashboard!$H$6="Horizontal",IF(S249="S",INDEX($AC$4:$AC$503,MATCH(P249,$AB$4:$AB$503,0),1)+boxDistance*(T249+IF(Y249="No",IF(ISODD(T249),IF(T249&gt;0,1,-1),0),0))*IF(Y249="No",IF(ISODD(T249),0.5,-0.5),1),timelineStartRow - boxDistance * V249),IF( S249="S",INDEX($AC$4:$AC$503,MATCH(P249,$AB$4:$AB$503,0),1),INDEX($AC$4:$AC$503,MATCH(P249,$AB$4:$AB$503,0),1)&amp;"-"&amp;INDEX($AC$4:$AC$503,MATCH(Q249,$AB$4:$AB$503,0),1))),"")</f>
        <v/>
      </c>
      <c r="AF249" s="132" t="str">
        <f>IF(ISNUMBER(P249), IF(Dashboard!$H$6&lt;&gt;"Horizontal",IF(S249="S",INDEX($AD$4:$AD$503,MATCH(P249,$AB$4:$AB$503,0),1)+boxDistance*(T249+IF(Y249="No",IF(ISODD(T249),IF(T249&gt;0,1,-1),0),0))*IF(Y249="No",IF(ISODD(T249),0.5,-0.5),1),timelineStartColumn-boxDistance * IF(AND(ISNUMBER(V249),V249&gt;1),V249*0.85,1)   ),IF( S249="S",INDEX($AD$4:$AD$503,MATCH(P249,$AB$4:$AB$503,0),1),INDEX($AD$4:$AD$503,MATCH(P249,$AB$4:$AB$503,0),1)&amp;"-"&amp;INDEX($AD$4:$AD$503,MATCH(Q249,$AB$4:$AB$503,0),1))),"")</f>
        <v/>
      </c>
      <c r="AG249" s="133" t="str">
        <f t="shared" si="56"/>
        <v/>
      </c>
      <c r="AH249" s="134" t="str">
        <f t="shared" si="50"/>
        <v/>
      </c>
      <c r="AI249" s="135" t="str">
        <f t="shared" si="51"/>
        <v/>
      </c>
      <c r="AJ249" s="135" t="str">
        <f t="shared" si="57"/>
        <v/>
      </c>
      <c r="AK249" s="126" t="str">
        <f t="shared" si="58"/>
        <v/>
      </c>
      <c r="AL249" s="126" t="str">
        <f ca="1">IFERROR(IF(AK249="","", MATCH(AK249,OFFSET(Icons!$B$5,1,AM249-3,20,1),0)+5),"")</f>
        <v/>
      </c>
      <c r="AM249" s="126" t="str">
        <f t="shared" si="59"/>
        <v/>
      </c>
      <c r="AN249" s="90"/>
    </row>
    <row r="250" spans="5:40" ht="15" customHeight="1" x14ac:dyDescent="0.25">
      <c r="E250" s="126">
        <v>247</v>
      </c>
      <c r="F250" s="126"/>
      <c r="G250" s="127"/>
      <c r="H250" s="127"/>
      <c r="I250" s="126"/>
      <c r="K250" s="137" t="str">
        <f t="shared" si="52"/>
        <v/>
      </c>
      <c r="L250" s="127" t="str">
        <f t="shared" si="47"/>
        <v/>
      </c>
      <c r="N250" s="128" t="str">
        <f t="shared" si="53"/>
        <v/>
      </c>
      <c r="O250" s="126" t="str">
        <f t="array" ref="O250">IFERROR(SMALL(IF(($G$4:$G$253=P250),ROW($G$4:$G$253)-ROW($G$3),"" ),N250),"")</f>
        <v/>
      </c>
      <c r="P250" s="127" t="str">
        <f t="array" ref="P250">IFERROR(SMALL($G$4:$G$253,E250),"")</f>
        <v/>
      </c>
      <c r="Q250" s="127" t="str">
        <f t="shared" si="54"/>
        <v/>
      </c>
      <c r="R250" s="126" t="str">
        <f t="shared" si="55"/>
        <v/>
      </c>
      <c r="S250" s="126" t="str">
        <f t="shared" si="48"/>
        <v/>
      </c>
      <c r="T250" s="128" t="str">
        <f>IF(OR(S250="R",S250=""),"",COUNTIFS($P$4:P250,P250,$S$4:S250,"S")*U250)</f>
        <v/>
      </c>
      <c r="U250" s="128" t="str">
        <f>IF(ISNUMBER(N250),IF($C$11=TRUE,IF(OR(ISODD(COUNTIF($N$4:N250,1)),Y250="Yes"),1,-1),1),"")</f>
        <v/>
      </c>
      <c r="V250" s="128" t="str">
        <f ca="1">IFERROR(IF(AND(S250="R",W250&lt;&gt;""),1,IF(S250="R",MAX(OFFSET(V249,0,0,-1*(ROW(W250)-3-MATCH(MAX($W$4:W249),$W$4:W249,0)),1))+1,"")),"")</f>
        <v/>
      </c>
      <c r="W250" s="129" t="str">
        <f>IFERROR(IF(AND(S250="R", P250&gt;MAX($X$3:X249)),P250,""),"")</f>
        <v/>
      </c>
      <c r="X250" s="129" t="str">
        <f>IFERROR(IF(AND(W250="",Q250&gt;=MAX($X$3:X249)),IF(S250="R",Q250,IF(AND(W250="",P250&lt;=MAX($X$3:X249)),MAX($X$3:X249),"")),IF(W250&lt;&gt;"", Q250,"")),"")</f>
        <v/>
      </c>
      <c r="Y250" s="126" t="str">
        <f>IF(S250="S",IF(OR(P250&lt;=MAX($X$3:X249),P250&gt;=IF(MIN(W$53:$W251)&lt;1,99999999,MIN(W$53:$W251))),"Yes","No"),"")</f>
        <v/>
      </c>
      <c r="AA250" s="130" t="str">
        <f t="shared" si="49"/>
        <v/>
      </c>
      <c r="AB250" s="131" t="str">
        <f t="array" ref="AB250">IF(AA250&lt;=$AA$2,MIN(IF($L$4:$L$503&lt;=AB249,99999999999,$L$4:$L$503)),"")</f>
        <v/>
      </c>
      <c r="AC250" s="130" t="str">
        <f>IF(ISNUMBER(AA250),IF(Dashboard!$H$6&lt;&gt;"Horizontal",AC249+dateDistance,AC249),"")</f>
        <v/>
      </c>
      <c r="AD250" s="130" t="str">
        <f>IF(ISNUMBER(AA250),IF(Dashboard!$H$6="Horizontal",AD249+dateDistance,AD249),"")</f>
        <v/>
      </c>
      <c r="AE250" s="132" t="str">
        <f>IF(ISNUMBER(P250), IF(Dashboard!$H$6="Horizontal",IF(S250="S",INDEX($AC$4:$AC$503,MATCH(P250,$AB$4:$AB$503,0),1)+boxDistance*(T250+IF(Y250="No",IF(ISODD(T250),IF(T250&gt;0,1,-1),0),0))*IF(Y250="No",IF(ISODD(T250),0.5,-0.5),1),timelineStartRow - boxDistance * V250),IF( S250="S",INDEX($AC$4:$AC$503,MATCH(P250,$AB$4:$AB$503,0),1),INDEX($AC$4:$AC$503,MATCH(P250,$AB$4:$AB$503,0),1)&amp;"-"&amp;INDEX($AC$4:$AC$503,MATCH(Q250,$AB$4:$AB$503,0),1))),"")</f>
        <v/>
      </c>
      <c r="AF250" s="132" t="str">
        <f>IF(ISNUMBER(P250), IF(Dashboard!$H$6&lt;&gt;"Horizontal",IF(S250="S",INDEX($AD$4:$AD$503,MATCH(P250,$AB$4:$AB$503,0),1)+boxDistance*(T250+IF(Y250="No",IF(ISODD(T250),IF(T250&gt;0,1,-1),0),0))*IF(Y250="No",IF(ISODD(T250),0.5,-0.5),1),timelineStartColumn-boxDistance * IF(AND(ISNUMBER(V250),V250&gt;1),V250*0.85,1)   ),IF( S250="S",INDEX($AD$4:$AD$503,MATCH(P250,$AB$4:$AB$503,0),1),INDEX($AD$4:$AD$503,MATCH(P250,$AB$4:$AB$503,0),1)&amp;"-"&amp;INDEX($AD$4:$AD$503,MATCH(Q250,$AB$4:$AB$503,0),1))),"")</f>
        <v/>
      </c>
      <c r="AG250" s="133" t="str">
        <f t="shared" si="56"/>
        <v/>
      </c>
      <c r="AH250" s="134" t="str">
        <f t="shared" si="50"/>
        <v/>
      </c>
      <c r="AI250" s="135" t="str">
        <f t="shared" si="51"/>
        <v/>
      </c>
      <c r="AJ250" s="135" t="str">
        <f t="shared" si="57"/>
        <v/>
      </c>
      <c r="AK250" s="126" t="str">
        <f t="shared" si="58"/>
        <v/>
      </c>
      <c r="AL250" s="126" t="str">
        <f ca="1">IFERROR(IF(AK250="","", MATCH(AK250,OFFSET(Icons!$B$5,1,AM250-3,20,1),0)+5),"")</f>
        <v/>
      </c>
      <c r="AM250" s="126" t="str">
        <f t="shared" si="59"/>
        <v/>
      </c>
      <c r="AN250" s="90"/>
    </row>
    <row r="251" spans="5:40" ht="15" customHeight="1" x14ac:dyDescent="0.25">
      <c r="E251" s="126">
        <v>248</v>
      </c>
      <c r="F251" s="126"/>
      <c r="G251" s="127"/>
      <c r="H251" s="127"/>
      <c r="I251" s="126"/>
      <c r="K251" s="137" t="str">
        <f t="shared" si="52"/>
        <v/>
      </c>
      <c r="L251" s="127" t="str">
        <f t="shared" si="47"/>
        <v/>
      </c>
      <c r="N251" s="128" t="str">
        <f t="shared" si="53"/>
        <v/>
      </c>
      <c r="O251" s="126" t="str">
        <f t="array" ref="O251">IFERROR(SMALL(IF(($G$4:$G$253=P251),ROW($G$4:$G$253)-ROW($G$3),"" ),N251),"")</f>
        <v/>
      </c>
      <c r="P251" s="127" t="str">
        <f t="array" ref="P251">IFERROR(SMALL($G$4:$G$253,E251),"")</f>
        <v/>
      </c>
      <c r="Q251" s="127" t="str">
        <f t="shared" si="54"/>
        <v/>
      </c>
      <c r="R251" s="126" t="str">
        <f t="shared" si="55"/>
        <v/>
      </c>
      <c r="S251" s="126" t="str">
        <f t="shared" si="48"/>
        <v/>
      </c>
      <c r="T251" s="128" t="str">
        <f>IF(OR(S251="R",S251=""),"",COUNTIFS($P$4:P251,P251,$S$4:S251,"S")*U251)</f>
        <v/>
      </c>
      <c r="U251" s="128" t="str">
        <f>IF(ISNUMBER(N251),IF($C$11=TRUE,IF(OR(ISODD(COUNTIF($N$4:N251,1)),Y251="Yes"),1,-1),1),"")</f>
        <v/>
      </c>
      <c r="V251" s="128" t="str">
        <f ca="1">IFERROR(IF(AND(S251="R",W251&lt;&gt;""),1,IF(S251="R",MAX(OFFSET(V250,0,0,-1*(ROW(W251)-3-MATCH(MAX($W$4:W250),$W$4:W250,0)),1))+1,"")),"")</f>
        <v/>
      </c>
      <c r="W251" s="129" t="str">
        <f>IFERROR(IF(AND(S251="R", P251&gt;MAX($X$3:X250)),P251,""),"")</f>
        <v/>
      </c>
      <c r="X251" s="129" t="str">
        <f>IFERROR(IF(AND(W251="",Q251&gt;=MAX($X$3:X250)),IF(S251="R",Q251,IF(AND(W251="",P251&lt;=MAX($X$3:X250)),MAX($X$3:X250),"")),IF(W251&lt;&gt;"", Q251,"")),"")</f>
        <v/>
      </c>
      <c r="Y251" s="126" t="str">
        <f>IF(S251="S",IF(OR(P251&lt;=MAX($X$3:X250),P251&gt;=IF(MIN(W$53:$W252)&lt;1,99999999,MIN(W$53:$W252))),"Yes","No"),"")</f>
        <v/>
      </c>
      <c r="AA251" s="130" t="str">
        <f t="shared" si="49"/>
        <v/>
      </c>
      <c r="AB251" s="131" t="str">
        <f t="array" ref="AB251">IF(AA251&lt;=$AA$2,MIN(IF($L$4:$L$503&lt;=AB250,99999999999,$L$4:$L$503)),"")</f>
        <v/>
      </c>
      <c r="AC251" s="130" t="str">
        <f>IF(ISNUMBER(AA251),IF(Dashboard!$H$6&lt;&gt;"Horizontal",AC250+dateDistance,AC250),"")</f>
        <v/>
      </c>
      <c r="AD251" s="130" t="str">
        <f>IF(ISNUMBER(AA251),IF(Dashboard!$H$6="Horizontal",AD250+dateDistance,AD250),"")</f>
        <v/>
      </c>
      <c r="AE251" s="132" t="str">
        <f>IF(ISNUMBER(P251), IF(Dashboard!$H$6="Horizontal",IF(S251="S",INDEX($AC$4:$AC$503,MATCH(P251,$AB$4:$AB$503,0),1)+boxDistance*(T251+IF(Y251="No",IF(ISODD(T251),IF(T251&gt;0,1,-1),0),0))*IF(Y251="No",IF(ISODD(T251),0.5,-0.5),1),timelineStartRow - boxDistance * V251),IF( S251="S",INDEX($AC$4:$AC$503,MATCH(P251,$AB$4:$AB$503,0),1),INDEX($AC$4:$AC$503,MATCH(P251,$AB$4:$AB$503,0),1)&amp;"-"&amp;INDEX($AC$4:$AC$503,MATCH(Q251,$AB$4:$AB$503,0),1))),"")</f>
        <v/>
      </c>
      <c r="AF251" s="132" t="str">
        <f>IF(ISNUMBER(P251), IF(Dashboard!$H$6&lt;&gt;"Horizontal",IF(S251="S",INDEX($AD$4:$AD$503,MATCH(P251,$AB$4:$AB$503,0),1)+boxDistance*(T251+IF(Y251="No",IF(ISODD(T251),IF(T251&gt;0,1,-1),0),0))*IF(Y251="No",IF(ISODD(T251),0.5,-0.5),1),timelineStartColumn-boxDistance * IF(AND(ISNUMBER(V251),V251&gt;1),V251*0.85,1)   ),IF( S251="S",INDEX($AD$4:$AD$503,MATCH(P251,$AB$4:$AB$503,0),1),INDEX($AD$4:$AD$503,MATCH(P251,$AB$4:$AB$503,0),1)&amp;"-"&amp;INDEX($AD$4:$AD$503,MATCH(Q251,$AB$4:$AB$503,0),1))),"")</f>
        <v/>
      </c>
      <c r="AG251" s="133" t="str">
        <f t="shared" si="56"/>
        <v/>
      </c>
      <c r="AH251" s="134" t="str">
        <f t="shared" si="50"/>
        <v/>
      </c>
      <c r="AI251" s="135" t="str">
        <f t="shared" si="51"/>
        <v/>
      </c>
      <c r="AJ251" s="135" t="str">
        <f t="shared" si="57"/>
        <v/>
      </c>
      <c r="AK251" s="126" t="str">
        <f t="shared" si="58"/>
        <v/>
      </c>
      <c r="AL251" s="126" t="str">
        <f ca="1">IFERROR(IF(AK251="","", MATCH(AK251,OFFSET(Icons!$B$5,1,AM251-3,20,1),0)+5),"")</f>
        <v/>
      </c>
      <c r="AM251" s="126" t="str">
        <f t="shared" si="59"/>
        <v/>
      </c>
      <c r="AN251" s="90"/>
    </row>
    <row r="252" spans="5:40" ht="15" customHeight="1" x14ac:dyDescent="0.25">
      <c r="E252" s="126">
        <v>249</v>
      </c>
      <c r="F252" s="126"/>
      <c r="G252" s="127"/>
      <c r="H252" s="127"/>
      <c r="I252" s="126"/>
      <c r="K252" s="137" t="str">
        <f t="shared" si="52"/>
        <v/>
      </c>
      <c r="L252" s="127" t="str">
        <f t="shared" si="47"/>
        <v/>
      </c>
      <c r="N252" s="128" t="str">
        <f t="shared" si="53"/>
        <v/>
      </c>
      <c r="O252" s="126" t="str">
        <f t="array" ref="O252">IFERROR(SMALL(IF(($G$4:$G$253=P252),ROW($G$4:$G$253)-ROW($G$3),"" ),N252),"")</f>
        <v/>
      </c>
      <c r="P252" s="127" t="str">
        <f t="array" ref="P252">IFERROR(SMALL($G$4:$G$253,E252),"")</f>
        <v/>
      </c>
      <c r="Q252" s="127" t="str">
        <f t="shared" si="54"/>
        <v/>
      </c>
      <c r="R252" s="126" t="str">
        <f t="shared" si="55"/>
        <v/>
      </c>
      <c r="S252" s="126" t="str">
        <f t="shared" si="48"/>
        <v/>
      </c>
      <c r="T252" s="128" t="str">
        <f>IF(OR(S252="R",S252=""),"",COUNTIFS($P$4:P252,P252,$S$4:S252,"S")*U252)</f>
        <v/>
      </c>
      <c r="U252" s="128" t="str">
        <f>IF(ISNUMBER(N252),IF($C$11=TRUE,IF(OR(ISODD(COUNTIF($N$4:N252,1)),Y252="Yes"),1,-1),1),"")</f>
        <v/>
      </c>
      <c r="V252" s="128" t="str">
        <f ca="1">IFERROR(IF(AND(S252="R",W252&lt;&gt;""),1,IF(S252="R",MAX(OFFSET(V251,0,0,-1*(ROW(W252)-3-MATCH(MAX($W$4:W251),$W$4:W251,0)),1))+1,"")),"")</f>
        <v/>
      </c>
      <c r="W252" s="129" t="str">
        <f>IFERROR(IF(AND(S252="R", P252&gt;MAX($X$3:X251)),P252,""),"")</f>
        <v/>
      </c>
      <c r="X252" s="129" t="str">
        <f>IFERROR(IF(AND(W252="",Q252&gt;=MAX($X$3:X251)),IF(S252="R",Q252,IF(AND(W252="",P252&lt;=MAX($X$3:X251)),MAX($X$3:X251),"")),IF(W252&lt;&gt;"", Q252,"")),"")</f>
        <v/>
      </c>
      <c r="Y252" s="126" t="str">
        <f>IF(S252="S",IF(OR(P252&lt;=MAX($X$3:X251),P252&gt;=IF(MIN(W$53:$W253)&lt;1,99999999,MIN(W$53:$W253))),"Yes","No"),"")</f>
        <v/>
      </c>
      <c r="AA252" s="130" t="str">
        <f t="shared" si="49"/>
        <v/>
      </c>
      <c r="AB252" s="131" t="str">
        <f t="array" ref="AB252">IF(AA252&lt;=$AA$2,MIN(IF($L$4:$L$503&lt;=AB251,99999999999,$L$4:$L$503)),"")</f>
        <v/>
      </c>
      <c r="AC252" s="130" t="str">
        <f>IF(ISNUMBER(AA252),IF(Dashboard!$H$6&lt;&gt;"Horizontal",AC251+dateDistance,AC251),"")</f>
        <v/>
      </c>
      <c r="AD252" s="130" t="str">
        <f>IF(ISNUMBER(AA252),IF(Dashboard!$H$6="Horizontal",AD251+dateDistance,AD251),"")</f>
        <v/>
      </c>
      <c r="AE252" s="132" t="str">
        <f>IF(ISNUMBER(P252), IF(Dashboard!$H$6="Horizontal",IF(S252="S",INDEX($AC$4:$AC$503,MATCH(P252,$AB$4:$AB$503,0),1)+boxDistance*(T252+IF(Y252="No",IF(ISODD(T252),IF(T252&gt;0,1,-1),0),0))*IF(Y252="No",IF(ISODD(T252),0.5,-0.5),1),timelineStartRow - boxDistance * V252),IF( S252="S",INDEX($AC$4:$AC$503,MATCH(P252,$AB$4:$AB$503,0),1),INDEX($AC$4:$AC$503,MATCH(P252,$AB$4:$AB$503,0),1)&amp;"-"&amp;INDEX($AC$4:$AC$503,MATCH(Q252,$AB$4:$AB$503,0),1))),"")</f>
        <v/>
      </c>
      <c r="AF252" s="132" t="str">
        <f>IF(ISNUMBER(P252), IF(Dashboard!$H$6&lt;&gt;"Horizontal",IF(S252="S",INDEX($AD$4:$AD$503,MATCH(P252,$AB$4:$AB$503,0),1)+boxDistance*(T252+IF(Y252="No",IF(ISODD(T252),IF(T252&gt;0,1,-1),0),0))*IF(Y252="No",IF(ISODD(T252),0.5,-0.5),1),timelineStartColumn-boxDistance * IF(AND(ISNUMBER(V252),V252&gt;1),V252*0.85,1)   ),IF( S252="S",INDEX($AD$4:$AD$503,MATCH(P252,$AB$4:$AB$503,0),1),INDEX($AD$4:$AD$503,MATCH(P252,$AB$4:$AB$503,0),1)&amp;"-"&amp;INDEX($AD$4:$AD$503,MATCH(Q252,$AB$4:$AB$503,0),1))),"")</f>
        <v/>
      </c>
      <c r="AG252" s="133" t="str">
        <f t="shared" si="56"/>
        <v/>
      </c>
      <c r="AH252" s="134" t="str">
        <f t="shared" si="50"/>
        <v/>
      </c>
      <c r="AI252" s="135" t="str">
        <f t="shared" si="51"/>
        <v/>
      </c>
      <c r="AJ252" s="135" t="str">
        <f t="shared" si="57"/>
        <v/>
      </c>
      <c r="AK252" s="126" t="str">
        <f t="shared" si="58"/>
        <v/>
      </c>
      <c r="AL252" s="126" t="str">
        <f ca="1">IFERROR(IF(AK252="","", MATCH(AK252,OFFSET(Icons!$B$5,1,AM252-3,20,1),0)+5),"")</f>
        <v/>
      </c>
      <c r="AM252" s="126" t="str">
        <f t="shared" si="59"/>
        <v/>
      </c>
      <c r="AN252" s="90"/>
    </row>
    <row r="253" spans="5:40" ht="15" customHeight="1" x14ac:dyDescent="0.25">
      <c r="E253" s="126">
        <v>250</v>
      </c>
      <c r="F253" s="126"/>
      <c r="G253" s="127"/>
      <c r="H253" s="127"/>
      <c r="I253" s="126"/>
      <c r="K253" s="137" t="str">
        <f t="shared" si="52"/>
        <v/>
      </c>
      <c r="L253" s="127" t="str">
        <f t="shared" si="47"/>
        <v/>
      </c>
      <c r="N253" s="128" t="str">
        <f t="shared" si="53"/>
        <v/>
      </c>
      <c r="O253" s="126" t="str">
        <f t="array" ref="O253">IFERROR(SMALL(IF(($G$4:$G$253=P253),ROW($G$4:$G$253)-ROW($G$3),"" ),N253),"")</f>
        <v/>
      </c>
      <c r="P253" s="127" t="str">
        <f t="array" ref="P253">IFERROR(SMALL($G$4:$G$253,E253),"")</f>
        <v/>
      </c>
      <c r="Q253" s="127" t="str">
        <f t="shared" si="54"/>
        <v/>
      </c>
      <c r="R253" s="126" t="str">
        <f t="shared" si="55"/>
        <v/>
      </c>
      <c r="S253" s="126" t="str">
        <f t="shared" si="48"/>
        <v/>
      </c>
      <c r="T253" s="128" t="str">
        <f>IF(OR(S253="R",S253=""),"",COUNTIFS($P$4:P253,P253,$S$4:S253,"S")*U253)</f>
        <v/>
      </c>
      <c r="U253" s="128" t="str">
        <f>IF(ISNUMBER(N253),IF($C$11=TRUE,IF(OR(ISODD(COUNTIF($N$4:N253,1)),Y253="Yes"),1,-1),1),"")</f>
        <v/>
      </c>
      <c r="V253" s="128" t="str">
        <f ca="1">IFERROR(IF(AND(S253="R",W253&lt;&gt;""),1,IF(S253="R",MAX(OFFSET(V252,0,0,-1*(ROW(W253)-3-MATCH(MAX($W$4:W252),$W$4:W252,0)),1))+1,"")),"")</f>
        <v/>
      </c>
      <c r="W253" s="129" t="str">
        <f>IFERROR(IF(AND(S253="R", P253&gt;MAX($X$3:X252)),P253,""),"")</f>
        <v/>
      </c>
      <c r="X253" s="129" t="str">
        <f>IFERROR(IF(AND(W253="",Q253&gt;=MAX($X$3:X252)),IF(S253="R",Q253,IF(AND(W253="",P253&lt;=MAX($X$3:X252)),MAX($X$3:X252),"")),IF(W253&lt;&gt;"", Q253,"")),"")</f>
        <v/>
      </c>
      <c r="Y253" s="126" t="str">
        <f>IF(S253="S",IF(OR(P253&lt;=MAX($X$3:X252),P253&gt;=IF(MIN(W$53:$W254)&lt;1,99999999,MIN(W$53:$W254))),"Yes","No"),"")</f>
        <v/>
      </c>
      <c r="AA253" s="130" t="str">
        <f t="shared" si="49"/>
        <v/>
      </c>
      <c r="AB253" s="131" t="str">
        <f t="array" ref="AB253">IF(AA253&lt;=$AA$2,MIN(IF($L$4:$L$503&lt;=AB252,99999999999,$L$4:$L$503)),"")</f>
        <v/>
      </c>
      <c r="AC253" s="130" t="str">
        <f>IF(ISNUMBER(AA253),IF(Dashboard!$H$6&lt;&gt;"Horizontal",AC252+dateDistance,AC252),"")</f>
        <v/>
      </c>
      <c r="AD253" s="130" t="str">
        <f>IF(ISNUMBER(AA253),IF(Dashboard!$H$6="Horizontal",AD252+dateDistance,AD252),"")</f>
        <v/>
      </c>
      <c r="AE253" s="132" t="str">
        <f>IF(ISNUMBER(P253), IF(Dashboard!$H$6="Horizontal",IF(S253="S",INDEX($AC$4:$AC$503,MATCH(P253,$AB$4:$AB$503,0),1)+boxDistance*(T253+IF(Y253="No",IF(ISODD(T253),IF(T253&gt;0,1,-1),0),0))*IF(Y253="No",IF(ISODD(T253),0.5,-0.5),1),timelineStartRow - boxDistance * V253),IF( S253="S",INDEX($AC$4:$AC$503,MATCH(P253,$AB$4:$AB$503,0),1),INDEX($AC$4:$AC$503,MATCH(P253,$AB$4:$AB$503,0),1)&amp;"-"&amp;INDEX($AC$4:$AC$503,MATCH(Q253,$AB$4:$AB$503,0),1))),"")</f>
        <v/>
      </c>
      <c r="AF253" s="132" t="str">
        <f>IF(ISNUMBER(P253), IF(Dashboard!$H$6&lt;&gt;"Horizontal",IF(S253="S",INDEX($AD$4:$AD$503,MATCH(P253,$AB$4:$AB$503,0),1)+boxDistance*(T253+IF(Y253="No",IF(ISODD(T253),IF(T253&gt;0,1,-1),0),0))*IF(Y253="No",IF(ISODD(T253),0.5,-0.5),1),timelineStartColumn-boxDistance * IF(AND(ISNUMBER(V253),V253&gt;1),V253*0.85,1)   ),IF( S253="S",INDEX($AD$4:$AD$503,MATCH(P253,$AB$4:$AB$503,0),1),INDEX($AD$4:$AD$503,MATCH(P253,$AB$4:$AB$503,0),1)&amp;"-"&amp;INDEX($AD$4:$AD$503,MATCH(Q253,$AB$4:$AB$503,0),1))),"")</f>
        <v/>
      </c>
      <c r="AG253" s="133" t="str">
        <f t="shared" si="56"/>
        <v/>
      </c>
      <c r="AH253" s="147" t="str">
        <f t="shared" si="50"/>
        <v/>
      </c>
      <c r="AI253" s="148" t="str">
        <f t="shared" si="51"/>
        <v/>
      </c>
      <c r="AJ253" s="148" t="str">
        <f t="shared" si="57"/>
        <v/>
      </c>
      <c r="AK253" s="149" t="str">
        <f t="shared" si="58"/>
        <v/>
      </c>
      <c r="AL253" s="126" t="str">
        <f ca="1">IFERROR(IF(AK253="","", MATCH(AK253,OFFSET(Icons!$B$5,1,AM253-3,20,1),0)+5),"")</f>
        <v/>
      </c>
      <c r="AM253" s="126" t="str">
        <f t="shared" si="59"/>
        <v/>
      </c>
    </row>
    <row r="254" spans="5:40" ht="15" customHeight="1" x14ac:dyDescent="0.25">
      <c r="E254" s="90"/>
      <c r="F254" s="90"/>
      <c r="G254" s="90"/>
      <c r="H254" s="90"/>
      <c r="I254" s="90"/>
      <c r="K254" s="137" t="str">
        <f t="shared" si="52"/>
        <v/>
      </c>
      <c r="L254" s="127" t="str">
        <f t="shared" si="47"/>
        <v/>
      </c>
      <c r="AA254" s="130" t="str">
        <f t="shared" si="49"/>
        <v/>
      </c>
      <c r="AB254" s="131" t="str">
        <f t="array" ref="AB254">IF(AA254&lt;=$AA$2,MIN(IF($L$4:$L$503&lt;=AB253,99999999999,$L$4:$L$503)),"")</f>
        <v/>
      </c>
      <c r="AC254" s="130" t="str">
        <f>IF(ISNUMBER(AA254),IF(Dashboard!$H$6&lt;&gt;"Horizontal",AC253+dateDistance,AC253),"")</f>
        <v/>
      </c>
      <c r="AD254" s="130" t="str">
        <f>IF(ISNUMBER(AA254),IF(Dashboard!$H$6="Horizontal",AD253+dateDistance,AD253),"")</f>
        <v/>
      </c>
      <c r="AE254" s="151"/>
      <c r="AF254" s="152"/>
      <c r="AG254" s="152"/>
      <c r="AH254" s="152"/>
      <c r="AI254" s="152"/>
      <c r="AJ254" s="152"/>
      <c r="AK254" s="152"/>
      <c r="AL254" s="153"/>
      <c r="AM254" s="153"/>
      <c r="AN254" s="154"/>
    </row>
    <row r="255" spans="5:40" ht="15" customHeight="1" x14ac:dyDescent="0.25">
      <c r="E255" s="90"/>
      <c r="F255" s="90"/>
      <c r="G255" s="90"/>
      <c r="H255" s="90"/>
      <c r="I255" s="90"/>
      <c r="K255" s="137" t="str">
        <f t="shared" si="52"/>
        <v/>
      </c>
      <c r="L255" s="127" t="str">
        <f t="shared" si="47"/>
        <v/>
      </c>
      <c r="AA255" s="130" t="str">
        <f t="shared" si="49"/>
        <v/>
      </c>
      <c r="AB255" s="131" t="str">
        <f t="array" ref="AB255">IF(AA255&lt;=$AA$2,MIN(IF($L$4:$L$503&lt;=AB254,99999999999,$L$4:$L$503)),"")</f>
        <v/>
      </c>
      <c r="AC255" s="130" t="str">
        <f>IF(ISNUMBER(AA255),IF(Dashboard!$H$6&lt;&gt;"Horizontal",AC254+dateDistance,AC254),"")</f>
        <v/>
      </c>
      <c r="AD255" s="130" t="str">
        <f>IF(ISNUMBER(AA255),IF(Dashboard!$H$6="Horizontal",AD254+dateDistance,AD254),"")</f>
        <v/>
      </c>
      <c r="AE255" s="155"/>
      <c r="AF255" s="154"/>
      <c r="AG255" s="154"/>
      <c r="AH255" s="154"/>
      <c r="AK255" s="150"/>
      <c r="AL255" s="157"/>
      <c r="AM255" s="157"/>
    </row>
    <row r="256" spans="5:40" ht="15" customHeight="1" x14ac:dyDescent="0.25">
      <c r="E256" s="90"/>
      <c r="F256" s="90"/>
      <c r="G256" s="90"/>
      <c r="H256" s="90"/>
      <c r="I256" s="90"/>
      <c r="K256" s="137" t="str">
        <f t="shared" si="52"/>
        <v/>
      </c>
      <c r="L256" s="127" t="str">
        <f t="shared" si="47"/>
        <v/>
      </c>
      <c r="AA256" s="130" t="str">
        <f t="shared" si="49"/>
        <v/>
      </c>
      <c r="AB256" s="131" t="str">
        <f t="array" ref="AB256">IF(AA256&lt;=$AA$2,MIN(IF($L$4:$L$503&lt;=AB255,99999999999,$L$4:$L$503)),"")</f>
        <v/>
      </c>
      <c r="AC256" s="130" t="str">
        <f>IF(ISNUMBER(AA256),IF(Dashboard!$H$6&lt;&gt;"Horizontal",AC255+dateDistance,AC255),"")</f>
        <v/>
      </c>
      <c r="AD256" s="130" t="str">
        <f>IF(ISNUMBER(AA256),IF(Dashboard!$H$6="Horizontal",AD255+dateDistance,AD255),"")</f>
        <v/>
      </c>
      <c r="AE256" s="155"/>
      <c r="AF256" s="154"/>
      <c r="AG256" s="154"/>
      <c r="AH256" s="154"/>
      <c r="AK256" s="150"/>
      <c r="AL256" s="157"/>
      <c r="AM256" s="157"/>
    </row>
    <row r="257" spans="5:39" ht="15" customHeight="1" x14ac:dyDescent="0.25">
      <c r="E257" s="90"/>
      <c r="F257" s="90"/>
      <c r="G257" s="90"/>
      <c r="H257" s="90"/>
      <c r="I257" s="90"/>
      <c r="K257" s="137" t="str">
        <f t="shared" si="52"/>
        <v/>
      </c>
      <c r="L257" s="127" t="str">
        <f t="shared" si="47"/>
        <v/>
      </c>
      <c r="AA257" s="130" t="str">
        <f t="shared" si="49"/>
        <v/>
      </c>
      <c r="AB257" s="131" t="str">
        <f t="array" ref="AB257">IF(AA257&lt;=$AA$2,MIN(IF($L$4:$L$503&lt;=AB256,99999999999,$L$4:$L$503)),"")</f>
        <v/>
      </c>
      <c r="AC257" s="130" t="str">
        <f>IF(ISNUMBER(AA257),IF(Dashboard!$H$6&lt;&gt;"Horizontal",AC256+dateDistance,AC256),"")</f>
        <v/>
      </c>
      <c r="AD257" s="130" t="str">
        <f>IF(ISNUMBER(AA257),IF(Dashboard!$H$6="Horizontal",AD256+dateDistance,AD256),"")</f>
        <v/>
      </c>
      <c r="AE257" s="155"/>
      <c r="AF257" s="154"/>
      <c r="AG257" s="154"/>
      <c r="AH257" s="154"/>
      <c r="AK257" s="150"/>
      <c r="AL257" s="157"/>
      <c r="AM257" s="157"/>
    </row>
    <row r="258" spans="5:39" ht="15" customHeight="1" x14ac:dyDescent="0.25">
      <c r="E258" s="90"/>
      <c r="F258" s="90"/>
      <c r="G258" s="90"/>
      <c r="H258" s="90"/>
      <c r="I258" s="90"/>
      <c r="K258" s="137" t="str">
        <f t="shared" si="52"/>
        <v/>
      </c>
      <c r="L258" s="127" t="str">
        <f t="shared" si="47"/>
        <v/>
      </c>
      <c r="AA258" s="130" t="str">
        <f t="shared" si="49"/>
        <v/>
      </c>
      <c r="AB258" s="131" t="str">
        <f t="array" ref="AB258">IF(AA258&lt;=$AA$2,MIN(IF($L$4:$L$503&lt;=AB257,99999999999,$L$4:$L$503)),"")</f>
        <v/>
      </c>
      <c r="AC258" s="130" t="str">
        <f>IF(ISNUMBER(AA258),IF(Dashboard!$H$6&lt;&gt;"Horizontal",AC257+dateDistance,AC257),"")</f>
        <v/>
      </c>
      <c r="AD258" s="130" t="str">
        <f>IF(ISNUMBER(AA258),IF(Dashboard!$H$6="Horizontal",AD257+dateDistance,AD257),"")</f>
        <v/>
      </c>
      <c r="AE258" s="155"/>
      <c r="AF258" s="154"/>
      <c r="AG258" s="154"/>
      <c r="AH258" s="154"/>
      <c r="AK258" s="150"/>
      <c r="AL258" s="157"/>
      <c r="AM258" s="157"/>
    </row>
    <row r="259" spans="5:39" ht="15" customHeight="1" x14ac:dyDescent="0.25">
      <c r="E259" s="90"/>
      <c r="F259" s="90"/>
      <c r="G259" s="90"/>
      <c r="H259" s="90"/>
      <c r="I259" s="90"/>
      <c r="K259" s="137" t="str">
        <f t="shared" si="52"/>
        <v/>
      </c>
      <c r="L259" s="127" t="str">
        <f t="shared" si="47"/>
        <v/>
      </c>
      <c r="AA259" s="130" t="str">
        <f t="shared" si="49"/>
        <v/>
      </c>
      <c r="AB259" s="131" t="str">
        <f t="array" ref="AB259">IF(AA259&lt;=$AA$2,MIN(IF($L$4:$L$503&lt;=AB258,99999999999,$L$4:$L$503)),"")</f>
        <v/>
      </c>
      <c r="AC259" s="130" t="str">
        <f>IF(ISNUMBER(AA259),IF(Dashboard!$H$6&lt;&gt;"Horizontal",AC258+dateDistance,AC258),"")</f>
        <v/>
      </c>
      <c r="AD259" s="130" t="str">
        <f>IF(ISNUMBER(AA259),IF(Dashboard!$H$6="Horizontal",AD258+dateDistance,AD258),"")</f>
        <v/>
      </c>
      <c r="AE259" s="155"/>
      <c r="AF259" s="154"/>
      <c r="AG259" s="154"/>
      <c r="AH259" s="154"/>
      <c r="AK259" s="150"/>
      <c r="AL259" s="157"/>
      <c r="AM259" s="157"/>
    </row>
    <row r="260" spans="5:39" ht="15" customHeight="1" x14ac:dyDescent="0.25">
      <c r="E260" s="90"/>
      <c r="F260" s="90"/>
      <c r="G260" s="90"/>
      <c r="H260" s="90"/>
      <c r="I260" s="90"/>
      <c r="K260" s="137" t="str">
        <f t="shared" si="52"/>
        <v/>
      </c>
      <c r="L260" s="127" t="str">
        <f t="shared" ref="L260:L323" si="60">IFERROR(IF(K260&lt;=$G$2,SMALL($G$4:$G$253,K260),SMALL($H$4:$H$253,K260-$G$2)),"")</f>
        <v/>
      </c>
      <c r="AA260" s="130" t="str">
        <f t="shared" ref="AA260:AA323" si="61">IFERROR(IF(AA259+1&gt;$AA$2,"",AA259+1),"")</f>
        <v/>
      </c>
      <c r="AB260" s="131" t="str">
        <f t="array" ref="AB260">IF(AA260&lt;=$AA$2,MIN(IF($L$4:$L$503&lt;=AB259,99999999999,$L$4:$L$503)),"")</f>
        <v/>
      </c>
      <c r="AC260" s="130" t="str">
        <f>IF(ISNUMBER(AA260),IF(Dashboard!$H$6&lt;&gt;"Horizontal",AC259+dateDistance,AC259),"")</f>
        <v/>
      </c>
      <c r="AD260" s="130" t="str">
        <f>IF(ISNUMBER(AA260),IF(Dashboard!$H$6="Horizontal",AD259+dateDistance,AD259),"")</f>
        <v/>
      </c>
      <c r="AE260" s="155"/>
      <c r="AF260" s="154"/>
      <c r="AG260" s="154"/>
      <c r="AH260" s="154"/>
      <c r="AK260" s="150"/>
      <c r="AL260" s="157"/>
      <c r="AM260" s="157"/>
    </row>
    <row r="261" spans="5:39" ht="15" customHeight="1" x14ac:dyDescent="0.25">
      <c r="E261" s="90"/>
      <c r="F261" s="90"/>
      <c r="G261" s="90"/>
      <c r="H261" s="90"/>
      <c r="I261" s="90"/>
      <c r="K261" s="137" t="str">
        <f t="shared" ref="K261:K324" si="62">IFERROR(IF(K260+1&gt;$G$2+$H$2,"",K260+1),"")</f>
        <v/>
      </c>
      <c r="L261" s="127" t="str">
        <f t="shared" si="60"/>
        <v/>
      </c>
      <c r="AA261" s="130" t="str">
        <f t="shared" si="61"/>
        <v/>
      </c>
      <c r="AB261" s="131" t="str">
        <f t="array" ref="AB261">IF(AA261&lt;=$AA$2,MIN(IF($L$4:$L$503&lt;=AB260,99999999999,$L$4:$L$503)),"")</f>
        <v/>
      </c>
      <c r="AC261" s="130" t="str">
        <f>IF(ISNUMBER(AA261),IF(Dashboard!$H$6&lt;&gt;"Horizontal",AC260+dateDistance,AC260),"")</f>
        <v/>
      </c>
      <c r="AD261" s="130" t="str">
        <f>IF(ISNUMBER(AA261),IF(Dashboard!$H$6="Horizontal",AD260+dateDistance,AD260),"")</f>
        <v/>
      </c>
      <c r="AE261" s="155"/>
      <c r="AF261" s="154"/>
      <c r="AG261" s="154"/>
      <c r="AH261" s="154"/>
      <c r="AK261" s="150"/>
      <c r="AL261" s="157"/>
      <c r="AM261" s="157"/>
    </row>
    <row r="262" spans="5:39" ht="15" customHeight="1" x14ac:dyDescent="0.25">
      <c r="E262" s="90"/>
      <c r="F262" s="90"/>
      <c r="G262" s="90"/>
      <c r="H262" s="90"/>
      <c r="I262" s="90"/>
      <c r="K262" s="137" t="str">
        <f t="shared" si="62"/>
        <v/>
      </c>
      <c r="L262" s="127" t="str">
        <f t="shared" si="60"/>
        <v/>
      </c>
      <c r="AA262" s="130" t="str">
        <f t="shared" si="61"/>
        <v/>
      </c>
      <c r="AB262" s="131" t="str">
        <f t="array" ref="AB262">IF(AA262&lt;=$AA$2,MIN(IF($L$4:$L$503&lt;=AB261,99999999999,$L$4:$L$503)),"")</f>
        <v/>
      </c>
      <c r="AC262" s="130" t="str">
        <f>IF(ISNUMBER(AA262),IF(Dashboard!$H$6&lt;&gt;"Horizontal",AC261+dateDistance,AC261),"")</f>
        <v/>
      </c>
      <c r="AD262" s="130" t="str">
        <f>IF(ISNUMBER(AA262),IF(Dashboard!$H$6="Horizontal",AD261+dateDistance,AD261),"")</f>
        <v/>
      </c>
      <c r="AE262" s="155"/>
      <c r="AF262" s="154"/>
      <c r="AG262" s="154"/>
      <c r="AH262" s="154"/>
      <c r="AK262" s="150"/>
      <c r="AL262" s="157"/>
      <c r="AM262" s="157"/>
    </row>
    <row r="263" spans="5:39" ht="15" customHeight="1" x14ac:dyDescent="0.25">
      <c r="E263" s="90"/>
      <c r="F263" s="90"/>
      <c r="G263" s="90"/>
      <c r="H263" s="90"/>
      <c r="I263" s="90"/>
      <c r="K263" s="137" t="str">
        <f t="shared" si="62"/>
        <v/>
      </c>
      <c r="L263" s="127" t="str">
        <f t="shared" si="60"/>
        <v/>
      </c>
      <c r="AA263" s="130" t="str">
        <f t="shared" si="61"/>
        <v/>
      </c>
      <c r="AB263" s="131" t="str">
        <f t="array" ref="AB263">IF(AA263&lt;=$AA$2,MIN(IF($L$4:$L$503&lt;=AB262,99999999999,$L$4:$L$503)),"")</f>
        <v/>
      </c>
      <c r="AC263" s="130" t="str">
        <f>IF(ISNUMBER(AA263),IF(Dashboard!$H$6&lt;&gt;"Horizontal",AC262+dateDistance,AC262),"")</f>
        <v/>
      </c>
      <c r="AD263" s="130" t="str">
        <f>IF(ISNUMBER(AA263),IF(Dashboard!$H$6="Horizontal",AD262+dateDistance,AD262),"")</f>
        <v/>
      </c>
      <c r="AE263" s="155"/>
      <c r="AF263" s="154"/>
      <c r="AG263" s="154"/>
      <c r="AH263" s="154"/>
      <c r="AK263" s="150"/>
      <c r="AL263" s="157"/>
      <c r="AM263" s="157"/>
    </row>
    <row r="264" spans="5:39" ht="15" customHeight="1" x14ac:dyDescent="0.25">
      <c r="E264" s="90"/>
      <c r="F264" s="90"/>
      <c r="G264" s="90"/>
      <c r="H264" s="90"/>
      <c r="I264" s="90"/>
      <c r="K264" s="137" t="str">
        <f t="shared" si="62"/>
        <v/>
      </c>
      <c r="L264" s="127" t="str">
        <f t="shared" si="60"/>
        <v/>
      </c>
      <c r="AA264" s="130" t="str">
        <f t="shared" si="61"/>
        <v/>
      </c>
      <c r="AB264" s="131" t="str">
        <f t="array" ref="AB264">IF(AA264&lt;=$AA$2,MIN(IF($L$4:$L$503&lt;=AB263,99999999999,$L$4:$L$503)),"")</f>
        <v/>
      </c>
      <c r="AC264" s="130" t="str">
        <f>IF(ISNUMBER(AA264),IF(Dashboard!$H$6&lt;&gt;"Horizontal",AC263+dateDistance,AC263),"")</f>
        <v/>
      </c>
      <c r="AD264" s="130" t="str">
        <f>IF(ISNUMBER(AA264),IF(Dashboard!$H$6="Horizontal",AD263+dateDistance,AD263),"")</f>
        <v/>
      </c>
      <c r="AE264" s="155"/>
      <c r="AF264" s="154"/>
      <c r="AG264" s="154"/>
      <c r="AH264" s="154"/>
      <c r="AK264" s="157"/>
      <c r="AL264" s="157"/>
      <c r="AM264" s="157"/>
    </row>
    <row r="265" spans="5:39" ht="15" customHeight="1" x14ac:dyDescent="0.25">
      <c r="E265" s="90"/>
      <c r="F265" s="90"/>
      <c r="G265" s="90"/>
      <c r="H265" s="90"/>
      <c r="I265" s="90"/>
      <c r="K265" s="137" t="str">
        <f t="shared" si="62"/>
        <v/>
      </c>
      <c r="L265" s="127" t="str">
        <f t="shared" si="60"/>
        <v/>
      </c>
      <c r="AA265" s="130" t="str">
        <f t="shared" si="61"/>
        <v/>
      </c>
      <c r="AB265" s="131" t="str">
        <f t="array" ref="AB265">IF(AA265&lt;=$AA$2,MIN(IF($L$4:$L$503&lt;=AB264,99999999999,$L$4:$L$503)),"")</f>
        <v/>
      </c>
      <c r="AC265" s="130" t="str">
        <f>IF(ISNUMBER(AA265),IF(Dashboard!$H$6&lt;&gt;"Horizontal",AC264+dateDistance,AC264),"")</f>
        <v/>
      </c>
      <c r="AD265" s="130" t="str">
        <f>IF(ISNUMBER(AA265),IF(Dashboard!$H$6="Horizontal",AD264+dateDistance,AD264),"")</f>
        <v/>
      </c>
      <c r="AE265" s="155"/>
      <c r="AF265" s="154"/>
      <c r="AG265" s="154"/>
      <c r="AH265" s="154"/>
      <c r="AK265" s="157"/>
      <c r="AL265" s="157"/>
      <c r="AM265" s="157"/>
    </row>
    <row r="266" spans="5:39" ht="15" customHeight="1" x14ac:dyDescent="0.25">
      <c r="E266" s="90"/>
      <c r="F266" s="90"/>
      <c r="G266" s="90"/>
      <c r="H266" s="90"/>
      <c r="I266" s="90"/>
      <c r="K266" s="137" t="str">
        <f t="shared" si="62"/>
        <v/>
      </c>
      <c r="L266" s="127" t="str">
        <f t="shared" si="60"/>
        <v/>
      </c>
      <c r="AA266" s="130" t="str">
        <f t="shared" si="61"/>
        <v/>
      </c>
      <c r="AB266" s="131" t="str">
        <f t="array" ref="AB266">IF(AA266&lt;=$AA$2,MIN(IF($L$4:$L$503&lt;=AB265,99999999999,$L$4:$L$503)),"")</f>
        <v/>
      </c>
      <c r="AC266" s="130" t="str">
        <f>IF(ISNUMBER(AA266),IF(Dashboard!$H$6&lt;&gt;"Horizontal",AC265+dateDistance,AC265),"")</f>
        <v/>
      </c>
      <c r="AD266" s="130" t="str">
        <f>IF(ISNUMBER(AA266),IF(Dashboard!$H$6="Horizontal",AD265+dateDistance,AD265),"")</f>
        <v/>
      </c>
      <c r="AE266" s="155"/>
      <c r="AF266" s="154"/>
      <c r="AG266" s="154"/>
      <c r="AH266" s="154"/>
      <c r="AK266" s="157"/>
      <c r="AL266" s="157"/>
      <c r="AM266" s="157"/>
    </row>
    <row r="267" spans="5:39" ht="15" customHeight="1" x14ac:dyDescent="0.25">
      <c r="E267" s="90"/>
      <c r="F267" s="90"/>
      <c r="G267" s="90"/>
      <c r="H267" s="90"/>
      <c r="I267" s="90"/>
      <c r="K267" s="137" t="str">
        <f t="shared" si="62"/>
        <v/>
      </c>
      <c r="L267" s="127" t="str">
        <f t="shared" si="60"/>
        <v/>
      </c>
      <c r="AA267" s="130" t="str">
        <f t="shared" si="61"/>
        <v/>
      </c>
      <c r="AB267" s="131" t="str">
        <f t="array" ref="AB267">IF(AA267&lt;=$AA$2,MIN(IF($L$4:$L$503&lt;=AB266,99999999999,$L$4:$L$503)),"")</f>
        <v/>
      </c>
      <c r="AC267" s="130" t="str">
        <f>IF(ISNUMBER(AA267),IF(Dashboard!$H$6&lt;&gt;"Horizontal",AC266+dateDistance,AC266),"")</f>
        <v/>
      </c>
      <c r="AD267" s="130" t="str">
        <f>IF(ISNUMBER(AA267),IF(Dashboard!$H$6="Horizontal",AD266+dateDistance,AD266),"")</f>
        <v/>
      </c>
      <c r="AE267" s="155"/>
      <c r="AF267" s="154"/>
      <c r="AG267" s="154"/>
      <c r="AH267" s="154"/>
      <c r="AK267" s="157"/>
      <c r="AL267" s="157"/>
      <c r="AM267" s="157"/>
    </row>
    <row r="268" spans="5:39" ht="15" customHeight="1" x14ac:dyDescent="0.25">
      <c r="E268" s="90"/>
      <c r="F268" s="90"/>
      <c r="G268" s="90"/>
      <c r="H268" s="90"/>
      <c r="I268" s="90"/>
      <c r="K268" s="137" t="str">
        <f t="shared" si="62"/>
        <v/>
      </c>
      <c r="L268" s="127" t="str">
        <f t="shared" si="60"/>
        <v/>
      </c>
      <c r="AA268" s="130" t="str">
        <f t="shared" si="61"/>
        <v/>
      </c>
      <c r="AB268" s="131" t="str">
        <f t="array" ref="AB268">IF(AA268&lt;=$AA$2,MIN(IF($L$4:$L$503&lt;=AB267,99999999999,$L$4:$L$503)),"")</f>
        <v/>
      </c>
      <c r="AC268" s="130" t="str">
        <f>IF(ISNUMBER(AA268),IF(Dashboard!$H$6&lt;&gt;"Horizontal",AC267+dateDistance,AC267),"")</f>
        <v/>
      </c>
      <c r="AD268" s="130" t="str">
        <f>IF(ISNUMBER(AA268),IF(Dashboard!$H$6="Horizontal",AD267+dateDistance,AD267),"")</f>
        <v/>
      </c>
      <c r="AE268" s="155"/>
      <c r="AF268" s="154"/>
      <c r="AG268" s="154"/>
      <c r="AH268" s="154"/>
      <c r="AK268" s="157"/>
      <c r="AL268" s="157"/>
      <c r="AM268" s="157"/>
    </row>
    <row r="269" spans="5:39" ht="15" customHeight="1" x14ac:dyDescent="0.25">
      <c r="E269" s="90"/>
      <c r="F269" s="90"/>
      <c r="G269" s="90"/>
      <c r="H269" s="90"/>
      <c r="I269" s="90"/>
      <c r="K269" s="137" t="str">
        <f t="shared" si="62"/>
        <v/>
      </c>
      <c r="L269" s="127" t="str">
        <f t="shared" si="60"/>
        <v/>
      </c>
      <c r="AA269" s="130" t="str">
        <f t="shared" si="61"/>
        <v/>
      </c>
      <c r="AB269" s="131" t="str">
        <f t="array" ref="AB269">IF(AA269&lt;=$AA$2,MIN(IF($L$4:$L$503&lt;=AB268,99999999999,$L$4:$L$503)),"")</f>
        <v/>
      </c>
      <c r="AC269" s="130" t="str">
        <f>IF(ISNUMBER(AA269),IF(Dashboard!$H$6&lt;&gt;"Horizontal",AC268+dateDistance,AC268),"")</f>
        <v/>
      </c>
      <c r="AD269" s="130" t="str">
        <f>IF(ISNUMBER(AA269),IF(Dashboard!$H$6="Horizontal",AD268+dateDistance,AD268),"")</f>
        <v/>
      </c>
      <c r="AE269" s="155"/>
      <c r="AF269" s="154"/>
      <c r="AG269" s="154"/>
      <c r="AH269" s="154"/>
      <c r="AK269" s="157"/>
      <c r="AL269" s="157"/>
      <c r="AM269" s="157"/>
    </row>
    <row r="270" spans="5:39" ht="15" customHeight="1" x14ac:dyDescent="0.25">
      <c r="E270" s="90"/>
      <c r="F270" s="90"/>
      <c r="G270" s="90"/>
      <c r="H270" s="90"/>
      <c r="I270" s="90"/>
      <c r="K270" s="137" t="str">
        <f t="shared" si="62"/>
        <v/>
      </c>
      <c r="L270" s="127" t="str">
        <f t="shared" si="60"/>
        <v/>
      </c>
      <c r="AA270" s="130" t="str">
        <f t="shared" si="61"/>
        <v/>
      </c>
      <c r="AB270" s="131" t="str">
        <f t="array" ref="AB270">IF(AA270&lt;=$AA$2,MIN(IF($L$4:$L$503&lt;=AB269,99999999999,$L$4:$L$503)),"")</f>
        <v/>
      </c>
      <c r="AC270" s="130" t="str">
        <f>IF(ISNUMBER(AA270),IF(Dashboard!$H$6&lt;&gt;"Horizontal",AC269+dateDistance,AC269),"")</f>
        <v/>
      </c>
      <c r="AD270" s="130" t="str">
        <f>IF(ISNUMBER(AA270),IF(Dashboard!$H$6="Horizontal",AD269+dateDistance,AD269),"")</f>
        <v/>
      </c>
      <c r="AE270" s="155"/>
      <c r="AF270" s="154"/>
      <c r="AG270" s="154"/>
      <c r="AH270" s="154"/>
      <c r="AK270" s="157"/>
      <c r="AL270" s="157"/>
      <c r="AM270" s="157"/>
    </row>
    <row r="271" spans="5:39" ht="15" customHeight="1" x14ac:dyDescent="0.25">
      <c r="E271" s="90"/>
      <c r="F271" s="90"/>
      <c r="G271" s="90"/>
      <c r="H271" s="90"/>
      <c r="I271" s="90"/>
      <c r="K271" s="137" t="str">
        <f t="shared" si="62"/>
        <v/>
      </c>
      <c r="L271" s="127" t="str">
        <f t="shared" si="60"/>
        <v/>
      </c>
      <c r="AA271" s="130" t="str">
        <f t="shared" si="61"/>
        <v/>
      </c>
      <c r="AB271" s="131" t="str">
        <f t="array" ref="AB271">IF(AA271&lt;=$AA$2,MIN(IF($L$4:$L$503&lt;=AB270,99999999999,$L$4:$L$503)),"")</f>
        <v/>
      </c>
      <c r="AC271" s="130" t="str">
        <f>IF(ISNUMBER(AA271),IF(Dashboard!$H$6&lt;&gt;"Horizontal",AC270+dateDistance,AC270),"")</f>
        <v/>
      </c>
      <c r="AD271" s="130" t="str">
        <f>IF(ISNUMBER(AA271),IF(Dashboard!$H$6="Horizontal",AD270+dateDistance,AD270),"")</f>
        <v/>
      </c>
      <c r="AE271" s="155"/>
      <c r="AF271" s="154"/>
      <c r="AG271" s="154"/>
      <c r="AH271" s="154"/>
      <c r="AK271" s="157"/>
      <c r="AL271" s="157"/>
      <c r="AM271" s="157"/>
    </row>
    <row r="272" spans="5:39" ht="15" customHeight="1" x14ac:dyDescent="0.25">
      <c r="E272" s="90"/>
      <c r="F272" s="90"/>
      <c r="G272" s="90"/>
      <c r="H272" s="90"/>
      <c r="I272" s="90"/>
      <c r="K272" s="137" t="str">
        <f t="shared" si="62"/>
        <v/>
      </c>
      <c r="L272" s="127" t="str">
        <f t="shared" si="60"/>
        <v/>
      </c>
      <c r="AA272" s="130" t="str">
        <f t="shared" si="61"/>
        <v/>
      </c>
      <c r="AB272" s="131" t="str">
        <f t="array" ref="AB272">IF(AA272&lt;=$AA$2,MIN(IF($L$4:$L$503&lt;=AB271,99999999999,$L$4:$L$503)),"")</f>
        <v/>
      </c>
      <c r="AC272" s="130" t="str">
        <f>IF(ISNUMBER(AA272),IF(Dashboard!$H$6&lt;&gt;"Horizontal",AC271+dateDistance,AC271),"")</f>
        <v/>
      </c>
      <c r="AD272" s="130" t="str">
        <f>IF(ISNUMBER(AA272),IF(Dashboard!$H$6="Horizontal",AD271+dateDistance,AD271),"")</f>
        <v/>
      </c>
      <c r="AE272" s="155"/>
      <c r="AF272" s="154"/>
      <c r="AG272" s="154"/>
      <c r="AH272" s="154"/>
      <c r="AK272" s="157"/>
      <c r="AL272" s="157"/>
      <c r="AM272" s="157"/>
    </row>
    <row r="273" spans="5:39" ht="15" customHeight="1" x14ac:dyDescent="0.25">
      <c r="E273" s="90"/>
      <c r="F273" s="90"/>
      <c r="G273" s="90"/>
      <c r="H273" s="90"/>
      <c r="I273" s="90"/>
      <c r="K273" s="137" t="str">
        <f t="shared" si="62"/>
        <v/>
      </c>
      <c r="L273" s="127" t="str">
        <f t="shared" si="60"/>
        <v/>
      </c>
      <c r="AA273" s="130" t="str">
        <f t="shared" si="61"/>
        <v/>
      </c>
      <c r="AB273" s="131" t="str">
        <f t="array" ref="AB273">IF(AA273&lt;=$AA$2,MIN(IF($L$4:$L$503&lt;=AB272,99999999999,$L$4:$L$503)),"")</f>
        <v/>
      </c>
      <c r="AC273" s="130" t="str">
        <f>IF(ISNUMBER(AA273),IF(Dashboard!$H$6&lt;&gt;"Horizontal",AC272+dateDistance,AC272),"")</f>
        <v/>
      </c>
      <c r="AD273" s="130" t="str">
        <f>IF(ISNUMBER(AA273),IF(Dashboard!$H$6="Horizontal",AD272+dateDistance,AD272),"")</f>
        <v/>
      </c>
      <c r="AE273" s="155"/>
      <c r="AF273" s="154"/>
      <c r="AG273" s="154"/>
      <c r="AH273" s="154"/>
      <c r="AK273" s="157"/>
      <c r="AL273" s="157"/>
      <c r="AM273" s="157"/>
    </row>
    <row r="274" spans="5:39" ht="15" customHeight="1" x14ac:dyDescent="0.25">
      <c r="E274" s="90"/>
      <c r="F274" s="90"/>
      <c r="G274" s="90"/>
      <c r="H274" s="90"/>
      <c r="I274" s="90"/>
      <c r="K274" s="137" t="str">
        <f t="shared" si="62"/>
        <v/>
      </c>
      <c r="L274" s="127" t="str">
        <f t="shared" si="60"/>
        <v/>
      </c>
      <c r="AA274" s="130" t="str">
        <f t="shared" si="61"/>
        <v/>
      </c>
      <c r="AB274" s="131" t="str">
        <f t="array" ref="AB274">IF(AA274&lt;=$AA$2,MIN(IF($L$4:$L$503&lt;=AB273,99999999999,$L$4:$L$503)),"")</f>
        <v/>
      </c>
      <c r="AC274" s="130" t="str">
        <f>IF(ISNUMBER(AA274),IF(Dashboard!$H$6&lt;&gt;"Horizontal",AC273+dateDistance,AC273),"")</f>
        <v/>
      </c>
      <c r="AD274" s="130" t="str">
        <f>IF(ISNUMBER(AA274),IF(Dashboard!$H$6="Horizontal",AD273+dateDistance,AD273),"")</f>
        <v/>
      </c>
      <c r="AE274" s="155"/>
      <c r="AF274" s="154"/>
      <c r="AG274" s="154"/>
      <c r="AH274" s="154"/>
      <c r="AK274" s="157"/>
      <c r="AL274" s="157"/>
      <c r="AM274" s="157"/>
    </row>
    <row r="275" spans="5:39" ht="15" customHeight="1" x14ac:dyDescent="0.25">
      <c r="E275" s="90"/>
      <c r="F275" s="90"/>
      <c r="G275" s="90"/>
      <c r="H275" s="90"/>
      <c r="I275" s="90"/>
      <c r="K275" s="137" t="str">
        <f t="shared" si="62"/>
        <v/>
      </c>
      <c r="L275" s="127" t="str">
        <f t="shared" si="60"/>
        <v/>
      </c>
      <c r="AA275" s="130" t="str">
        <f t="shared" si="61"/>
        <v/>
      </c>
      <c r="AB275" s="131" t="str">
        <f t="array" ref="AB275">IF(AA275&lt;=$AA$2,MIN(IF($L$4:$L$503&lt;=AB274,99999999999,$L$4:$L$503)),"")</f>
        <v/>
      </c>
      <c r="AC275" s="130" t="str">
        <f>IF(ISNUMBER(AA275),IF(Dashboard!$H$6&lt;&gt;"Horizontal",AC274+dateDistance,AC274),"")</f>
        <v/>
      </c>
      <c r="AD275" s="130" t="str">
        <f>IF(ISNUMBER(AA275),IF(Dashboard!$H$6="Horizontal",AD274+dateDistance,AD274),"")</f>
        <v/>
      </c>
      <c r="AE275" s="155"/>
      <c r="AF275" s="154"/>
      <c r="AG275" s="154"/>
      <c r="AH275" s="154"/>
      <c r="AK275" s="157"/>
      <c r="AL275" s="157"/>
      <c r="AM275" s="157"/>
    </row>
    <row r="276" spans="5:39" ht="15" customHeight="1" x14ac:dyDescent="0.25">
      <c r="E276" s="90"/>
      <c r="F276" s="90"/>
      <c r="G276" s="90"/>
      <c r="H276" s="90"/>
      <c r="I276" s="90"/>
      <c r="K276" s="137" t="str">
        <f t="shared" si="62"/>
        <v/>
      </c>
      <c r="L276" s="127" t="str">
        <f t="shared" si="60"/>
        <v/>
      </c>
      <c r="AA276" s="130" t="str">
        <f t="shared" si="61"/>
        <v/>
      </c>
      <c r="AB276" s="131" t="str">
        <f t="array" ref="AB276">IF(AA276&lt;=$AA$2,MIN(IF($L$4:$L$503&lt;=AB275,99999999999,$L$4:$L$503)),"")</f>
        <v/>
      </c>
      <c r="AC276" s="130" t="str">
        <f>IF(ISNUMBER(AA276),IF(Dashboard!$H$6&lt;&gt;"Horizontal",AC275+dateDistance,AC275),"")</f>
        <v/>
      </c>
      <c r="AD276" s="130" t="str">
        <f>IF(ISNUMBER(AA276),IF(Dashboard!$H$6="Horizontal",AD275+dateDistance,AD275),"")</f>
        <v/>
      </c>
      <c r="AE276" s="155"/>
      <c r="AF276" s="154"/>
      <c r="AG276" s="154"/>
      <c r="AH276" s="154"/>
      <c r="AK276" s="157"/>
      <c r="AL276" s="157"/>
      <c r="AM276" s="157"/>
    </row>
    <row r="277" spans="5:39" ht="15" customHeight="1" x14ac:dyDescent="0.25">
      <c r="E277" s="90"/>
      <c r="F277" s="90"/>
      <c r="G277" s="90"/>
      <c r="H277" s="90"/>
      <c r="I277" s="90"/>
      <c r="K277" s="137" t="str">
        <f t="shared" si="62"/>
        <v/>
      </c>
      <c r="L277" s="127" t="str">
        <f t="shared" si="60"/>
        <v/>
      </c>
      <c r="AA277" s="130" t="str">
        <f t="shared" si="61"/>
        <v/>
      </c>
      <c r="AB277" s="131" t="str">
        <f t="array" ref="AB277">IF(AA277&lt;=$AA$2,MIN(IF($L$4:$L$503&lt;=AB276,99999999999,$L$4:$L$503)),"")</f>
        <v/>
      </c>
      <c r="AC277" s="130" t="str">
        <f>IF(ISNUMBER(AA277),IF(Dashboard!$H$6&lt;&gt;"Horizontal",AC276+dateDistance,AC276),"")</f>
        <v/>
      </c>
      <c r="AD277" s="130" t="str">
        <f>IF(ISNUMBER(AA277),IF(Dashboard!$H$6="Horizontal",AD276+dateDistance,AD276),"")</f>
        <v/>
      </c>
      <c r="AE277" s="155"/>
      <c r="AF277" s="154"/>
      <c r="AG277" s="154"/>
      <c r="AH277" s="154"/>
      <c r="AK277" s="157"/>
      <c r="AL277" s="157"/>
      <c r="AM277" s="157"/>
    </row>
    <row r="278" spans="5:39" ht="15" customHeight="1" x14ac:dyDescent="0.25">
      <c r="E278" s="90"/>
      <c r="F278" s="90"/>
      <c r="G278" s="90"/>
      <c r="H278" s="90"/>
      <c r="I278" s="90"/>
      <c r="K278" s="137" t="str">
        <f t="shared" si="62"/>
        <v/>
      </c>
      <c r="L278" s="127" t="str">
        <f t="shared" si="60"/>
        <v/>
      </c>
      <c r="AA278" s="130" t="str">
        <f t="shared" si="61"/>
        <v/>
      </c>
      <c r="AB278" s="131" t="str">
        <f t="array" ref="AB278">IF(AA278&lt;=$AA$2,MIN(IF($L$4:$L$503&lt;=AB277,99999999999,$L$4:$L$503)),"")</f>
        <v/>
      </c>
      <c r="AC278" s="130" t="str">
        <f>IF(ISNUMBER(AA278),IF(Dashboard!$H$6&lt;&gt;"Horizontal",AC277+dateDistance,AC277),"")</f>
        <v/>
      </c>
      <c r="AD278" s="130" t="str">
        <f>IF(ISNUMBER(AA278),IF(Dashboard!$H$6="Horizontal",AD277+dateDistance,AD277),"")</f>
        <v/>
      </c>
      <c r="AE278" s="155"/>
      <c r="AF278" s="154"/>
      <c r="AG278" s="154"/>
      <c r="AH278" s="154"/>
      <c r="AK278" s="157"/>
      <c r="AL278" s="157"/>
      <c r="AM278" s="157"/>
    </row>
    <row r="279" spans="5:39" ht="15" customHeight="1" x14ac:dyDescent="0.25">
      <c r="E279" s="90"/>
      <c r="F279" s="90"/>
      <c r="G279" s="90"/>
      <c r="H279" s="90"/>
      <c r="I279" s="90"/>
      <c r="K279" s="137" t="str">
        <f t="shared" si="62"/>
        <v/>
      </c>
      <c r="L279" s="127" t="str">
        <f t="shared" si="60"/>
        <v/>
      </c>
      <c r="AA279" s="130" t="str">
        <f t="shared" si="61"/>
        <v/>
      </c>
      <c r="AB279" s="131" t="str">
        <f t="array" ref="AB279">IF(AA279&lt;=$AA$2,MIN(IF($L$4:$L$503&lt;=AB278,99999999999,$L$4:$L$503)),"")</f>
        <v/>
      </c>
      <c r="AC279" s="130" t="str">
        <f>IF(ISNUMBER(AA279),IF(Dashboard!$H$6&lt;&gt;"Horizontal",AC278+dateDistance,AC278),"")</f>
        <v/>
      </c>
      <c r="AD279" s="130" t="str">
        <f>IF(ISNUMBER(AA279),IF(Dashboard!$H$6="Horizontal",AD278+dateDistance,AD278),"")</f>
        <v/>
      </c>
      <c r="AE279" s="155"/>
      <c r="AF279" s="154"/>
      <c r="AG279" s="154"/>
      <c r="AH279" s="154"/>
      <c r="AK279" s="157"/>
      <c r="AL279" s="157"/>
      <c r="AM279" s="157"/>
    </row>
    <row r="280" spans="5:39" ht="15" customHeight="1" x14ac:dyDescent="0.25">
      <c r="E280" s="90"/>
      <c r="F280" s="90"/>
      <c r="G280" s="90"/>
      <c r="H280" s="90"/>
      <c r="I280" s="90"/>
      <c r="K280" s="137" t="str">
        <f t="shared" si="62"/>
        <v/>
      </c>
      <c r="L280" s="127" t="str">
        <f t="shared" si="60"/>
        <v/>
      </c>
      <c r="AA280" s="130" t="str">
        <f t="shared" si="61"/>
        <v/>
      </c>
      <c r="AB280" s="131" t="str">
        <f t="array" ref="AB280">IF(AA280&lt;=$AA$2,MIN(IF($L$4:$L$503&lt;=AB279,99999999999,$L$4:$L$503)),"")</f>
        <v/>
      </c>
      <c r="AC280" s="130" t="str">
        <f>IF(ISNUMBER(AA280),IF(Dashboard!$H$6&lt;&gt;"Horizontal",AC279+dateDistance,AC279),"")</f>
        <v/>
      </c>
      <c r="AD280" s="130" t="str">
        <f>IF(ISNUMBER(AA280),IF(Dashboard!$H$6="Horizontal",AD279+dateDistance,AD279),"")</f>
        <v/>
      </c>
      <c r="AE280" s="155"/>
      <c r="AF280" s="154"/>
      <c r="AG280" s="154"/>
      <c r="AH280" s="154"/>
      <c r="AK280" s="157"/>
      <c r="AL280" s="157"/>
      <c r="AM280" s="157"/>
    </row>
    <row r="281" spans="5:39" ht="15" customHeight="1" x14ac:dyDescent="0.25">
      <c r="E281" s="90"/>
      <c r="F281" s="90"/>
      <c r="G281" s="90"/>
      <c r="H281" s="90"/>
      <c r="I281" s="90"/>
      <c r="K281" s="137" t="str">
        <f t="shared" si="62"/>
        <v/>
      </c>
      <c r="L281" s="127" t="str">
        <f t="shared" si="60"/>
        <v/>
      </c>
      <c r="AA281" s="130" t="str">
        <f t="shared" si="61"/>
        <v/>
      </c>
      <c r="AB281" s="131" t="str">
        <f t="array" ref="AB281">IF(AA281&lt;=$AA$2,MIN(IF($L$4:$L$503&lt;=AB280,99999999999,$L$4:$L$503)),"")</f>
        <v/>
      </c>
      <c r="AC281" s="130" t="str">
        <f>IF(ISNUMBER(AA281),IF(Dashboard!$H$6&lt;&gt;"Horizontal",AC280+dateDistance,AC280),"")</f>
        <v/>
      </c>
      <c r="AD281" s="130" t="str">
        <f>IF(ISNUMBER(AA281),IF(Dashboard!$H$6="Horizontal",AD280+dateDistance,AD280),"")</f>
        <v/>
      </c>
      <c r="AE281" s="155"/>
      <c r="AF281" s="154"/>
      <c r="AG281" s="154"/>
      <c r="AH281" s="154"/>
      <c r="AK281" s="157"/>
      <c r="AL281" s="157"/>
      <c r="AM281" s="157"/>
    </row>
    <row r="282" spans="5:39" ht="15" customHeight="1" x14ac:dyDescent="0.25">
      <c r="E282" s="90"/>
      <c r="F282" s="90"/>
      <c r="G282" s="90"/>
      <c r="H282" s="90"/>
      <c r="I282" s="90"/>
      <c r="K282" s="137" t="str">
        <f t="shared" si="62"/>
        <v/>
      </c>
      <c r="L282" s="127" t="str">
        <f t="shared" si="60"/>
        <v/>
      </c>
      <c r="AA282" s="130" t="str">
        <f t="shared" si="61"/>
        <v/>
      </c>
      <c r="AB282" s="131" t="str">
        <f t="array" ref="AB282">IF(AA282&lt;=$AA$2,MIN(IF($L$4:$L$503&lt;=AB281,99999999999,$L$4:$L$503)),"")</f>
        <v/>
      </c>
      <c r="AC282" s="130" t="str">
        <f>IF(ISNUMBER(AA282),IF(Dashboard!$H$6&lt;&gt;"Horizontal",AC281+dateDistance,AC281),"")</f>
        <v/>
      </c>
      <c r="AD282" s="130" t="str">
        <f>IF(ISNUMBER(AA282),IF(Dashboard!$H$6="Horizontal",AD281+dateDistance,AD281),"")</f>
        <v/>
      </c>
      <c r="AE282" s="155"/>
      <c r="AF282" s="154"/>
      <c r="AG282" s="154"/>
      <c r="AH282" s="154"/>
      <c r="AK282" s="157"/>
      <c r="AL282" s="157"/>
      <c r="AM282" s="157"/>
    </row>
    <row r="283" spans="5:39" ht="15" customHeight="1" x14ac:dyDescent="0.25">
      <c r="E283" s="90"/>
      <c r="F283" s="90"/>
      <c r="G283" s="90"/>
      <c r="H283" s="90"/>
      <c r="I283" s="90"/>
      <c r="K283" s="137" t="str">
        <f t="shared" si="62"/>
        <v/>
      </c>
      <c r="L283" s="127" t="str">
        <f t="shared" si="60"/>
        <v/>
      </c>
      <c r="AA283" s="130" t="str">
        <f t="shared" si="61"/>
        <v/>
      </c>
      <c r="AB283" s="131" t="str">
        <f t="array" ref="AB283">IF(AA283&lt;=$AA$2,MIN(IF($L$4:$L$503&lt;=AB282,99999999999,$L$4:$L$503)),"")</f>
        <v/>
      </c>
      <c r="AC283" s="130" t="str">
        <f>IF(ISNUMBER(AA283),IF(Dashboard!$H$6&lt;&gt;"Horizontal",AC282+dateDistance,AC282),"")</f>
        <v/>
      </c>
      <c r="AD283" s="130" t="str">
        <f>IF(ISNUMBER(AA283),IF(Dashboard!$H$6="Horizontal",AD282+dateDistance,AD282),"")</f>
        <v/>
      </c>
      <c r="AE283" s="155"/>
      <c r="AF283" s="154"/>
      <c r="AG283" s="154"/>
      <c r="AH283" s="154"/>
      <c r="AK283" s="157"/>
      <c r="AL283" s="157"/>
      <c r="AM283" s="157"/>
    </row>
    <row r="284" spans="5:39" ht="15" customHeight="1" x14ac:dyDescent="0.25">
      <c r="E284" s="90"/>
      <c r="F284" s="90"/>
      <c r="G284" s="90"/>
      <c r="H284" s="90"/>
      <c r="I284" s="90"/>
      <c r="K284" s="137" t="str">
        <f t="shared" si="62"/>
        <v/>
      </c>
      <c r="L284" s="127" t="str">
        <f t="shared" si="60"/>
        <v/>
      </c>
      <c r="AA284" s="130" t="str">
        <f t="shared" si="61"/>
        <v/>
      </c>
      <c r="AB284" s="131" t="str">
        <f t="array" ref="AB284">IF(AA284&lt;=$AA$2,MIN(IF($L$4:$L$503&lt;=AB283,99999999999,$L$4:$L$503)),"")</f>
        <v/>
      </c>
      <c r="AC284" s="130" t="str">
        <f>IF(ISNUMBER(AA284),IF(Dashboard!$H$6&lt;&gt;"Horizontal",AC283+dateDistance,AC283),"")</f>
        <v/>
      </c>
      <c r="AD284" s="130" t="str">
        <f>IF(ISNUMBER(AA284),IF(Dashboard!$H$6="Horizontal",AD283+dateDistance,AD283),"")</f>
        <v/>
      </c>
      <c r="AE284" s="155"/>
      <c r="AF284" s="154"/>
      <c r="AG284" s="154"/>
      <c r="AH284" s="154"/>
      <c r="AK284" s="157"/>
      <c r="AL284" s="157"/>
      <c r="AM284" s="157"/>
    </row>
    <row r="285" spans="5:39" ht="15" customHeight="1" x14ac:dyDescent="0.25">
      <c r="E285" s="90"/>
      <c r="F285" s="90"/>
      <c r="G285" s="90"/>
      <c r="H285" s="90"/>
      <c r="I285" s="90"/>
      <c r="K285" s="137" t="str">
        <f t="shared" si="62"/>
        <v/>
      </c>
      <c r="L285" s="127" t="str">
        <f t="shared" si="60"/>
        <v/>
      </c>
      <c r="AA285" s="130" t="str">
        <f t="shared" si="61"/>
        <v/>
      </c>
      <c r="AB285" s="131" t="str">
        <f t="array" ref="AB285">IF(AA285&lt;=$AA$2,MIN(IF($L$4:$L$503&lt;=AB284,99999999999,$L$4:$L$503)),"")</f>
        <v/>
      </c>
      <c r="AC285" s="130" t="str">
        <f>IF(ISNUMBER(AA285),IF(Dashboard!$H$6&lt;&gt;"Horizontal",AC284+dateDistance,AC284),"")</f>
        <v/>
      </c>
      <c r="AD285" s="130" t="str">
        <f>IF(ISNUMBER(AA285),IF(Dashboard!$H$6="Horizontal",AD284+dateDistance,AD284),"")</f>
        <v/>
      </c>
      <c r="AE285" s="155"/>
      <c r="AF285" s="154"/>
      <c r="AG285" s="154"/>
      <c r="AH285" s="154"/>
      <c r="AK285" s="157"/>
      <c r="AL285" s="157"/>
      <c r="AM285" s="157"/>
    </row>
    <row r="286" spans="5:39" ht="15" customHeight="1" x14ac:dyDescent="0.25">
      <c r="E286" s="90"/>
      <c r="F286" s="90"/>
      <c r="G286" s="90"/>
      <c r="H286" s="90"/>
      <c r="I286" s="90"/>
      <c r="K286" s="137" t="str">
        <f t="shared" si="62"/>
        <v/>
      </c>
      <c r="L286" s="127" t="str">
        <f t="shared" si="60"/>
        <v/>
      </c>
      <c r="AA286" s="130" t="str">
        <f t="shared" si="61"/>
        <v/>
      </c>
      <c r="AB286" s="131" t="str">
        <f t="array" ref="AB286">IF(AA286&lt;=$AA$2,MIN(IF($L$4:$L$503&lt;=AB285,99999999999,$L$4:$L$503)),"")</f>
        <v/>
      </c>
      <c r="AC286" s="130" t="str">
        <f>IF(ISNUMBER(AA286),IF(Dashboard!$H$6&lt;&gt;"Horizontal",AC285+dateDistance,AC285),"")</f>
        <v/>
      </c>
      <c r="AD286" s="130" t="str">
        <f>IF(ISNUMBER(AA286),IF(Dashboard!$H$6="Horizontal",AD285+dateDistance,AD285),"")</f>
        <v/>
      </c>
      <c r="AE286" s="155"/>
      <c r="AF286" s="154"/>
      <c r="AG286" s="154"/>
      <c r="AH286" s="154"/>
      <c r="AK286" s="157"/>
      <c r="AL286" s="157"/>
      <c r="AM286" s="157"/>
    </row>
    <row r="287" spans="5:39" ht="15" customHeight="1" x14ac:dyDescent="0.25">
      <c r="E287" s="90"/>
      <c r="F287" s="90"/>
      <c r="G287" s="90"/>
      <c r="H287" s="90"/>
      <c r="I287" s="90"/>
      <c r="K287" s="137" t="str">
        <f t="shared" si="62"/>
        <v/>
      </c>
      <c r="L287" s="127" t="str">
        <f t="shared" si="60"/>
        <v/>
      </c>
      <c r="AA287" s="130" t="str">
        <f t="shared" si="61"/>
        <v/>
      </c>
      <c r="AB287" s="131" t="str">
        <f t="array" ref="AB287">IF(AA287&lt;=$AA$2,MIN(IF($L$4:$L$503&lt;=AB286,99999999999,$L$4:$L$503)),"")</f>
        <v/>
      </c>
      <c r="AC287" s="130" t="str">
        <f>IF(ISNUMBER(AA287),IF(Dashboard!$H$6&lt;&gt;"Horizontal",AC286+dateDistance,AC286),"")</f>
        <v/>
      </c>
      <c r="AD287" s="130" t="str">
        <f>IF(ISNUMBER(AA287),IF(Dashboard!$H$6="Horizontal",AD286+dateDistance,AD286),"")</f>
        <v/>
      </c>
      <c r="AE287" s="155"/>
      <c r="AF287" s="154"/>
      <c r="AG287" s="154"/>
      <c r="AH287" s="154"/>
      <c r="AK287" s="157"/>
      <c r="AL287" s="157"/>
      <c r="AM287" s="157"/>
    </row>
    <row r="288" spans="5:39" ht="15" customHeight="1" x14ac:dyDescent="0.25">
      <c r="E288" s="90"/>
      <c r="F288" s="90"/>
      <c r="G288" s="90"/>
      <c r="H288" s="90"/>
      <c r="I288" s="90"/>
      <c r="K288" s="137" t="str">
        <f t="shared" si="62"/>
        <v/>
      </c>
      <c r="L288" s="127" t="str">
        <f t="shared" si="60"/>
        <v/>
      </c>
      <c r="AA288" s="130" t="str">
        <f t="shared" si="61"/>
        <v/>
      </c>
      <c r="AB288" s="131" t="str">
        <f t="array" ref="AB288">IF(AA288&lt;=$AA$2,MIN(IF($L$4:$L$503&lt;=AB287,99999999999,$L$4:$L$503)),"")</f>
        <v/>
      </c>
      <c r="AC288" s="130" t="str">
        <f>IF(ISNUMBER(AA288),IF(Dashboard!$H$6&lt;&gt;"Horizontal",AC287+dateDistance,AC287),"")</f>
        <v/>
      </c>
      <c r="AD288" s="130" t="str">
        <f>IF(ISNUMBER(AA288),IF(Dashboard!$H$6="Horizontal",AD287+dateDistance,AD287),"")</f>
        <v/>
      </c>
      <c r="AE288" s="155"/>
      <c r="AF288" s="154"/>
      <c r="AG288" s="154"/>
      <c r="AH288" s="154"/>
      <c r="AK288" s="157"/>
      <c r="AL288" s="157"/>
      <c r="AM288" s="157"/>
    </row>
    <row r="289" spans="5:39" ht="15" customHeight="1" x14ac:dyDescent="0.25">
      <c r="E289" s="90"/>
      <c r="F289" s="90"/>
      <c r="G289" s="90"/>
      <c r="H289" s="90"/>
      <c r="I289" s="90"/>
      <c r="K289" s="137" t="str">
        <f t="shared" si="62"/>
        <v/>
      </c>
      <c r="L289" s="127" t="str">
        <f t="shared" si="60"/>
        <v/>
      </c>
      <c r="AA289" s="130" t="str">
        <f t="shared" si="61"/>
        <v/>
      </c>
      <c r="AB289" s="131" t="str">
        <f t="array" ref="AB289">IF(AA289&lt;=$AA$2,MIN(IF($L$4:$L$503&lt;=AB288,99999999999,$L$4:$L$503)),"")</f>
        <v/>
      </c>
      <c r="AC289" s="130" t="str">
        <f>IF(ISNUMBER(AA289),IF(Dashboard!$H$6&lt;&gt;"Horizontal",AC288+dateDistance,AC288),"")</f>
        <v/>
      </c>
      <c r="AD289" s="130" t="str">
        <f>IF(ISNUMBER(AA289),IF(Dashboard!$H$6="Horizontal",AD288+dateDistance,AD288),"")</f>
        <v/>
      </c>
      <c r="AE289" s="155"/>
      <c r="AF289" s="154"/>
      <c r="AG289" s="154"/>
      <c r="AH289" s="154"/>
      <c r="AK289" s="157"/>
      <c r="AL289" s="157"/>
      <c r="AM289" s="157"/>
    </row>
    <row r="290" spans="5:39" ht="15" customHeight="1" x14ac:dyDescent="0.25">
      <c r="E290" s="90"/>
      <c r="F290" s="90"/>
      <c r="G290" s="90"/>
      <c r="H290" s="90"/>
      <c r="I290" s="90"/>
      <c r="K290" s="137" t="str">
        <f t="shared" si="62"/>
        <v/>
      </c>
      <c r="L290" s="127" t="str">
        <f t="shared" si="60"/>
        <v/>
      </c>
      <c r="AA290" s="130" t="str">
        <f t="shared" si="61"/>
        <v/>
      </c>
      <c r="AB290" s="131" t="str">
        <f t="array" ref="AB290">IF(AA290&lt;=$AA$2,MIN(IF($L$4:$L$503&lt;=AB289,99999999999,$L$4:$L$503)),"")</f>
        <v/>
      </c>
      <c r="AC290" s="130" t="str">
        <f>IF(ISNUMBER(AA290),IF(Dashboard!$H$6&lt;&gt;"Horizontal",AC289+dateDistance,AC289),"")</f>
        <v/>
      </c>
      <c r="AD290" s="130" t="str">
        <f>IF(ISNUMBER(AA290),IF(Dashboard!$H$6="Horizontal",AD289+dateDistance,AD289),"")</f>
        <v/>
      </c>
      <c r="AE290" s="155"/>
      <c r="AF290" s="154"/>
      <c r="AG290" s="154"/>
      <c r="AH290" s="154"/>
      <c r="AK290" s="157"/>
      <c r="AL290" s="157"/>
      <c r="AM290" s="157"/>
    </row>
    <row r="291" spans="5:39" ht="15" customHeight="1" x14ac:dyDescent="0.25">
      <c r="E291" s="90"/>
      <c r="F291" s="90"/>
      <c r="G291" s="90"/>
      <c r="H291" s="90"/>
      <c r="I291" s="90"/>
      <c r="K291" s="137" t="str">
        <f t="shared" si="62"/>
        <v/>
      </c>
      <c r="L291" s="127" t="str">
        <f t="shared" si="60"/>
        <v/>
      </c>
      <c r="AA291" s="130" t="str">
        <f t="shared" si="61"/>
        <v/>
      </c>
      <c r="AB291" s="131" t="str">
        <f t="array" ref="AB291">IF(AA291&lt;=$AA$2,MIN(IF($L$4:$L$503&lt;=AB290,99999999999,$L$4:$L$503)),"")</f>
        <v/>
      </c>
      <c r="AC291" s="130" t="str">
        <f>IF(ISNUMBER(AA291),IF(Dashboard!$H$6&lt;&gt;"Horizontal",AC290+dateDistance,AC290),"")</f>
        <v/>
      </c>
      <c r="AD291" s="130" t="str">
        <f>IF(ISNUMBER(AA291),IF(Dashboard!$H$6="Horizontal",AD290+dateDistance,AD290),"")</f>
        <v/>
      </c>
      <c r="AE291" s="155"/>
      <c r="AF291" s="154"/>
      <c r="AG291" s="154"/>
      <c r="AH291" s="154"/>
      <c r="AK291" s="157"/>
      <c r="AL291" s="157"/>
      <c r="AM291" s="157"/>
    </row>
    <row r="292" spans="5:39" ht="15" customHeight="1" x14ac:dyDescent="0.25">
      <c r="E292" s="90"/>
      <c r="F292" s="90"/>
      <c r="G292" s="90"/>
      <c r="H292" s="90"/>
      <c r="I292" s="90"/>
      <c r="K292" s="137" t="str">
        <f t="shared" si="62"/>
        <v/>
      </c>
      <c r="L292" s="127" t="str">
        <f t="shared" si="60"/>
        <v/>
      </c>
      <c r="AA292" s="130" t="str">
        <f t="shared" si="61"/>
        <v/>
      </c>
      <c r="AB292" s="131" t="str">
        <f t="array" ref="AB292">IF(AA292&lt;=$AA$2,MIN(IF($L$4:$L$503&lt;=AB291,99999999999,$L$4:$L$503)),"")</f>
        <v/>
      </c>
      <c r="AC292" s="130" t="str">
        <f>IF(ISNUMBER(AA292),IF(Dashboard!$H$6&lt;&gt;"Horizontal",AC291+dateDistance,AC291),"")</f>
        <v/>
      </c>
      <c r="AD292" s="130" t="str">
        <f>IF(ISNUMBER(AA292),IF(Dashboard!$H$6="Horizontal",AD291+dateDistance,AD291),"")</f>
        <v/>
      </c>
      <c r="AE292" s="155"/>
      <c r="AF292" s="154"/>
      <c r="AG292" s="154"/>
      <c r="AH292" s="154"/>
      <c r="AK292" s="157"/>
      <c r="AL292" s="157"/>
      <c r="AM292" s="157"/>
    </row>
    <row r="293" spans="5:39" ht="15" customHeight="1" x14ac:dyDescent="0.25">
      <c r="E293" s="90"/>
      <c r="F293" s="90"/>
      <c r="G293" s="90"/>
      <c r="H293" s="90"/>
      <c r="I293" s="90"/>
      <c r="K293" s="137" t="str">
        <f t="shared" si="62"/>
        <v/>
      </c>
      <c r="L293" s="127" t="str">
        <f t="shared" si="60"/>
        <v/>
      </c>
      <c r="AA293" s="130" t="str">
        <f t="shared" si="61"/>
        <v/>
      </c>
      <c r="AB293" s="131" t="str">
        <f t="array" ref="AB293">IF(AA293&lt;=$AA$2,MIN(IF($L$4:$L$503&lt;=AB292,99999999999,$L$4:$L$503)),"")</f>
        <v/>
      </c>
      <c r="AC293" s="130" t="str">
        <f>IF(ISNUMBER(AA293),IF(Dashboard!$H$6&lt;&gt;"Horizontal",AC292+dateDistance,AC292),"")</f>
        <v/>
      </c>
      <c r="AD293" s="130" t="str">
        <f>IF(ISNUMBER(AA293),IF(Dashboard!$H$6="Horizontal",AD292+dateDistance,AD292),"")</f>
        <v/>
      </c>
      <c r="AE293" s="155"/>
      <c r="AF293" s="154"/>
      <c r="AG293" s="154"/>
      <c r="AH293" s="154"/>
      <c r="AK293" s="157"/>
      <c r="AL293" s="157"/>
      <c r="AM293" s="157"/>
    </row>
    <row r="294" spans="5:39" ht="15" customHeight="1" x14ac:dyDescent="0.25">
      <c r="E294" s="90"/>
      <c r="F294" s="90"/>
      <c r="G294" s="90"/>
      <c r="H294" s="90"/>
      <c r="I294" s="90"/>
      <c r="K294" s="137" t="str">
        <f t="shared" si="62"/>
        <v/>
      </c>
      <c r="L294" s="127" t="str">
        <f t="shared" si="60"/>
        <v/>
      </c>
      <c r="AA294" s="130" t="str">
        <f t="shared" si="61"/>
        <v/>
      </c>
      <c r="AB294" s="131" t="str">
        <f t="array" ref="AB294">IF(AA294&lt;=$AA$2,MIN(IF($L$4:$L$503&lt;=AB293,99999999999,$L$4:$L$503)),"")</f>
        <v/>
      </c>
      <c r="AC294" s="130" t="str">
        <f>IF(ISNUMBER(AA294),IF(Dashboard!$H$6&lt;&gt;"Horizontal",AC293+dateDistance,AC293),"")</f>
        <v/>
      </c>
      <c r="AD294" s="130" t="str">
        <f>IF(ISNUMBER(AA294),IF(Dashboard!$H$6="Horizontal",AD293+dateDistance,AD293),"")</f>
        <v/>
      </c>
      <c r="AE294" s="155"/>
      <c r="AF294" s="154"/>
      <c r="AG294" s="154"/>
      <c r="AH294" s="154"/>
      <c r="AK294" s="157"/>
      <c r="AL294" s="157"/>
      <c r="AM294" s="157"/>
    </row>
    <row r="295" spans="5:39" ht="15" customHeight="1" x14ac:dyDescent="0.25">
      <c r="E295" s="90"/>
      <c r="F295" s="90"/>
      <c r="G295" s="90"/>
      <c r="H295" s="90"/>
      <c r="I295" s="90"/>
      <c r="K295" s="137" t="str">
        <f t="shared" si="62"/>
        <v/>
      </c>
      <c r="L295" s="127" t="str">
        <f t="shared" si="60"/>
        <v/>
      </c>
      <c r="AA295" s="130" t="str">
        <f t="shared" si="61"/>
        <v/>
      </c>
      <c r="AB295" s="131" t="str">
        <f t="array" ref="AB295">IF(AA295&lt;=$AA$2,MIN(IF($L$4:$L$503&lt;=AB294,99999999999,$L$4:$L$503)),"")</f>
        <v/>
      </c>
      <c r="AC295" s="130" t="str">
        <f>IF(ISNUMBER(AA295),IF(Dashboard!$H$6&lt;&gt;"Horizontal",AC294+dateDistance,AC294),"")</f>
        <v/>
      </c>
      <c r="AD295" s="130" t="str">
        <f>IF(ISNUMBER(AA295),IF(Dashboard!$H$6="Horizontal",AD294+dateDistance,AD294),"")</f>
        <v/>
      </c>
      <c r="AE295" s="155"/>
      <c r="AF295" s="154"/>
      <c r="AG295" s="154"/>
      <c r="AH295" s="154"/>
      <c r="AK295" s="157"/>
      <c r="AL295" s="157"/>
      <c r="AM295" s="157"/>
    </row>
    <row r="296" spans="5:39" ht="15" customHeight="1" x14ac:dyDescent="0.25">
      <c r="E296" s="90"/>
      <c r="F296" s="90"/>
      <c r="G296" s="90"/>
      <c r="H296" s="90"/>
      <c r="I296" s="90"/>
      <c r="K296" s="137" t="str">
        <f t="shared" si="62"/>
        <v/>
      </c>
      <c r="L296" s="127" t="str">
        <f t="shared" si="60"/>
        <v/>
      </c>
      <c r="AA296" s="130" t="str">
        <f t="shared" si="61"/>
        <v/>
      </c>
      <c r="AB296" s="131" t="str">
        <f t="array" ref="AB296">IF(AA296&lt;=$AA$2,MIN(IF($L$4:$L$503&lt;=AB295,99999999999,$L$4:$L$503)),"")</f>
        <v/>
      </c>
      <c r="AC296" s="130" t="str">
        <f>IF(ISNUMBER(AA296),IF(Dashboard!$H$6&lt;&gt;"Horizontal",AC295+dateDistance,AC295),"")</f>
        <v/>
      </c>
      <c r="AD296" s="130" t="str">
        <f>IF(ISNUMBER(AA296),IF(Dashboard!$H$6="Horizontal",AD295+dateDistance,AD295),"")</f>
        <v/>
      </c>
      <c r="AE296" s="155"/>
      <c r="AF296" s="154"/>
      <c r="AG296" s="154"/>
      <c r="AH296" s="154"/>
      <c r="AK296" s="157"/>
      <c r="AL296" s="157"/>
      <c r="AM296" s="157"/>
    </row>
    <row r="297" spans="5:39" ht="15" customHeight="1" x14ac:dyDescent="0.25">
      <c r="E297" s="90"/>
      <c r="F297" s="90"/>
      <c r="G297" s="90"/>
      <c r="H297" s="90"/>
      <c r="I297" s="90"/>
      <c r="K297" s="137" t="str">
        <f t="shared" si="62"/>
        <v/>
      </c>
      <c r="L297" s="127" t="str">
        <f t="shared" si="60"/>
        <v/>
      </c>
      <c r="AA297" s="130" t="str">
        <f t="shared" si="61"/>
        <v/>
      </c>
      <c r="AB297" s="131" t="str">
        <f t="array" ref="AB297">IF(AA297&lt;=$AA$2,MIN(IF($L$4:$L$503&lt;=AB296,99999999999,$L$4:$L$503)),"")</f>
        <v/>
      </c>
      <c r="AC297" s="130" t="str">
        <f>IF(ISNUMBER(AA297),IF(Dashboard!$H$6&lt;&gt;"Horizontal",AC296+dateDistance,AC296),"")</f>
        <v/>
      </c>
      <c r="AD297" s="130" t="str">
        <f>IF(ISNUMBER(AA297),IF(Dashboard!$H$6="Horizontal",AD296+dateDistance,AD296),"")</f>
        <v/>
      </c>
      <c r="AE297" s="155"/>
      <c r="AF297" s="154"/>
      <c r="AG297" s="154"/>
      <c r="AH297" s="154"/>
      <c r="AK297" s="157"/>
      <c r="AL297" s="157"/>
      <c r="AM297" s="157"/>
    </row>
    <row r="298" spans="5:39" ht="15" customHeight="1" x14ac:dyDescent="0.25">
      <c r="E298" s="90"/>
      <c r="F298" s="90"/>
      <c r="G298" s="90"/>
      <c r="H298" s="90"/>
      <c r="I298" s="90"/>
      <c r="K298" s="137" t="str">
        <f t="shared" si="62"/>
        <v/>
      </c>
      <c r="L298" s="127" t="str">
        <f t="shared" si="60"/>
        <v/>
      </c>
      <c r="AA298" s="130" t="str">
        <f t="shared" si="61"/>
        <v/>
      </c>
      <c r="AB298" s="131" t="str">
        <f t="array" ref="AB298">IF(AA298&lt;=$AA$2,MIN(IF($L$4:$L$503&lt;=AB297,99999999999,$L$4:$L$503)),"")</f>
        <v/>
      </c>
      <c r="AC298" s="130" t="str">
        <f>IF(ISNUMBER(AA298),IF(Dashboard!$H$6&lt;&gt;"Horizontal",AC297+dateDistance,AC297),"")</f>
        <v/>
      </c>
      <c r="AD298" s="130" t="str">
        <f>IF(ISNUMBER(AA298),IF(Dashboard!$H$6="Horizontal",AD297+dateDistance,AD297),"")</f>
        <v/>
      </c>
      <c r="AE298" s="155"/>
      <c r="AF298" s="154"/>
      <c r="AG298" s="154"/>
      <c r="AH298" s="154"/>
      <c r="AK298" s="157"/>
      <c r="AL298" s="157"/>
      <c r="AM298" s="157"/>
    </row>
    <row r="299" spans="5:39" ht="15" customHeight="1" x14ac:dyDescent="0.25">
      <c r="E299" s="90"/>
      <c r="F299" s="90"/>
      <c r="G299" s="90"/>
      <c r="H299" s="90"/>
      <c r="I299" s="90"/>
      <c r="K299" s="137" t="str">
        <f t="shared" si="62"/>
        <v/>
      </c>
      <c r="L299" s="127" t="str">
        <f t="shared" si="60"/>
        <v/>
      </c>
      <c r="AA299" s="130" t="str">
        <f t="shared" si="61"/>
        <v/>
      </c>
      <c r="AB299" s="131" t="str">
        <f t="array" ref="AB299">IF(AA299&lt;=$AA$2,MIN(IF($L$4:$L$503&lt;=AB298,99999999999,$L$4:$L$503)),"")</f>
        <v/>
      </c>
      <c r="AC299" s="130" t="str">
        <f>IF(ISNUMBER(AA299),IF(Dashboard!$H$6&lt;&gt;"Horizontal",AC298+dateDistance,AC298),"")</f>
        <v/>
      </c>
      <c r="AD299" s="130" t="str">
        <f>IF(ISNUMBER(AA299),IF(Dashboard!$H$6="Horizontal",AD298+dateDistance,AD298),"")</f>
        <v/>
      </c>
      <c r="AE299" s="155"/>
      <c r="AF299" s="154"/>
      <c r="AG299" s="154"/>
      <c r="AH299" s="154"/>
      <c r="AK299" s="157"/>
      <c r="AL299" s="157"/>
      <c r="AM299" s="157"/>
    </row>
    <row r="300" spans="5:39" ht="15" customHeight="1" x14ac:dyDescent="0.25">
      <c r="E300" s="90"/>
      <c r="F300" s="90"/>
      <c r="G300" s="90"/>
      <c r="H300" s="90"/>
      <c r="I300" s="90"/>
      <c r="K300" s="137" t="str">
        <f t="shared" si="62"/>
        <v/>
      </c>
      <c r="L300" s="127" t="str">
        <f t="shared" si="60"/>
        <v/>
      </c>
      <c r="AA300" s="130" t="str">
        <f t="shared" si="61"/>
        <v/>
      </c>
      <c r="AB300" s="131" t="str">
        <f t="array" ref="AB300">IF(AA300&lt;=$AA$2,MIN(IF($L$4:$L$503&lt;=AB299,99999999999,$L$4:$L$503)),"")</f>
        <v/>
      </c>
      <c r="AC300" s="130" t="str">
        <f>IF(ISNUMBER(AA300),IF(Dashboard!$H$6&lt;&gt;"Horizontal",AC299+dateDistance,AC299),"")</f>
        <v/>
      </c>
      <c r="AD300" s="130" t="str">
        <f>IF(ISNUMBER(AA300),IF(Dashboard!$H$6="Horizontal",AD299+dateDistance,AD299),"")</f>
        <v/>
      </c>
      <c r="AE300" s="155"/>
      <c r="AF300" s="154"/>
      <c r="AG300" s="154"/>
      <c r="AH300" s="154"/>
      <c r="AK300" s="157"/>
      <c r="AL300" s="157"/>
      <c r="AM300" s="157"/>
    </row>
    <row r="301" spans="5:39" ht="15" customHeight="1" x14ac:dyDescent="0.25">
      <c r="E301" s="90"/>
      <c r="F301" s="90"/>
      <c r="G301" s="90"/>
      <c r="H301" s="90"/>
      <c r="I301" s="90"/>
      <c r="K301" s="137" t="str">
        <f t="shared" si="62"/>
        <v/>
      </c>
      <c r="L301" s="127" t="str">
        <f t="shared" si="60"/>
        <v/>
      </c>
      <c r="AA301" s="130" t="str">
        <f t="shared" si="61"/>
        <v/>
      </c>
      <c r="AB301" s="131" t="str">
        <f t="array" ref="AB301">IF(AA301&lt;=$AA$2,MIN(IF($L$4:$L$503&lt;=AB300,99999999999,$L$4:$L$503)),"")</f>
        <v/>
      </c>
      <c r="AC301" s="130" t="str">
        <f>IF(ISNUMBER(AA301),IF(Dashboard!$H$6&lt;&gt;"Horizontal",AC300+dateDistance,AC300),"")</f>
        <v/>
      </c>
      <c r="AD301" s="130" t="str">
        <f>IF(ISNUMBER(AA301),IF(Dashboard!$H$6="Horizontal",AD300+dateDistance,AD300),"")</f>
        <v/>
      </c>
      <c r="AE301" s="155"/>
      <c r="AF301" s="154"/>
      <c r="AG301" s="154"/>
      <c r="AH301" s="154"/>
      <c r="AK301" s="157"/>
      <c r="AL301" s="157"/>
      <c r="AM301" s="157"/>
    </row>
    <row r="302" spans="5:39" ht="15" customHeight="1" x14ac:dyDescent="0.25">
      <c r="E302" s="90"/>
      <c r="F302" s="90"/>
      <c r="G302" s="90"/>
      <c r="H302" s="90"/>
      <c r="I302" s="90"/>
      <c r="K302" s="137" t="str">
        <f t="shared" si="62"/>
        <v/>
      </c>
      <c r="L302" s="127" t="str">
        <f t="shared" si="60"/>
        <v/>
      </c>
      <c r="AA302" s="130" t="str">
        <f t="shared" si="61"/>
        <v/>
      </c>
      <c r="AB302" s="131" t="str">
        <f t="array" ref="AB302">IF(AA302&lt;=$AA$2,MIN(IF($L$4:$L$503&lt;=AB301,99999999999,$L$4:$L$503)),"")</f>
        <v/>
      </c>
      <c r="AC302" s="130" t="str">
        <f>IF(ISNUMBER(AA302),IF(Dashboard!$H$6&lt;&gt;"Horizontal",AC301+dateDistance,AC301),"")</f>
        <v/>
      </c>
      <c r="AD302" s="130" t="str">
        <f>IF(ISNUMBER(AA302),IF(Dashboard!$H$6="Horizontal",AD301+dateDistance,AD301),"")</f>
        <v/>
      </c>
      <c r="AE302" s="155"/>
      <c r="AF302" s="154"/>
      <c r="AG302" s="154"/>
      <c r="AH302" s="154"/>
      <c r="AK302" s="157"/>
      <c r="AL302" s="157"/>
      <c r="AM302" s="157"/>
    </row>
    <row r="303" spans="5:39" ht="15" customHeight="1" x14ac:dyDescent="0.25">
      <c r="E303" s="90"/>
      <c r="F303" s="90"/>
      <c r="G303" s="90"/>
      <c r="H303" s="90"/>
      <c r="I303" s="90"/>
      <c r="K303" s="137" t="str">
        <f t="shared" si="62"/>
        <v/>
      </c>
      <c r="L303" s="127" t="str">
        <f t="shared" si="60"/>
        <v/>
      </c>
      <c r="AA303" s="130" t="str">
        <f t="shared" si="61"/>
        <v/>
      </c>
      <c r="AB303" s="131" t="str">
        <f t="array" ref="AB303">IF(AA303&lt;=$AA$2,MIN(IF($L$4:$L$503&lt;=AB302,99999999999,$L$4:$L$503)),"")</f>
        <v/>
      </c>
      <c r="AC303" s="130" t="str">
        <f>IF(ISNUMBER(AA303),IF(Dashboard!$H$6&lt;&gt;"Horizontal",AC302+dateDistance,AC302),"")</f>
        <v/>
      </c>
      <c r="AD303" s="130" t="str">
        <f>IF(ISNUMBER(AA303),IF(Dashboard!$H$6="Horizontal",AD302+dateDistance,AD302),"")</f>
        <v/>
      </c>
      <c r="AE303" s="155"/>
      <c r="AF303" s="154"/>
      <c r="AG303" s="154"/>
      <c r="AH303" s="154"/>
      <c r="AK303" s="157"/>
      <c r="AL303" s="157"/>
      <c r="AM303" s="157"/>
    </row>
    <row r="304" spans="5:39" ht="15" customHeight="1" x14ac:dyDescent="0.25">
      <c r="E304" s="90"/>
      <c r="F304" s="90"/>
      <c r="G304" s="90"/>
      <c r="H304" s="90"/>
      <c r="I304" s="90"/>
      <c r="K304" s="137" t="str">
        <f t="shared" si="62"/>
        <v/>
      </c>
      <c r="L304" s="127" t="str">
        <f t="shared" si="60"/>
        <v/>
      </c>
      <c r="AA304" s="130" t="str">
        <f t="shared" si="61"/>
        <v/>
      </c>
      <c r="AB304" s="131" t="str">
        <f t="array" ref="AB304">IF(AA304&lt;=$AA$2,MIN(IF($L$4:$L$503&lt;=AB303,99999999999,$L$4:$L$503)),"")</f>
        <v/>
      </c>
      <c r="AC304" s="130" t="str">
        <f>IF(ISNUMBER(AA304),IF(Dashboard!$H$6&lt;&gt;"Horizontal",AC303+dateDistance,AC303),"")</f>
        <v/>
      </c>
      <c r="AD304" s="130" t="str">
        <f>IF(ISNUMBER(AA304),IF(Dashboard!$H$6="Horizontal",AD303+dateDistance,AD303),"")</f>
        <v/>
      </c>
      <c r="AE304" s="155"/>
      <c r="AF304" s="154"/>
      <c r="AG304" s="154"/>
      <c r="AH304" s="154"/>
      <c r="AK304" s="157"/>
      <c r="AL304" s="157"/>
      <c r="AM304" s="157"/>
    </row>
    <row r="305" spans="5:39" ht="15" customHeight="1" x14ac:dyDescent="0.25">
      <c r="E305" s="90"/>
      <c r="F305" s="90"/>
      <c r="G305" s="90"/>
      <c r="H305" s="90"/>
      <c r="I305" s="90"/>
      <c r="K305" s="137" t="str">
        <f t="shared" si="62"/>
        <v/>
      </c>
      <c r="L305" s="127" t="str">
        <f t="shared" si="60"/>
        <v/>
      </c>
      <c r="AA305" s="130" t="str">
        <f t="shared" si="61"/>
        <v/>
      </c>
      <c r="AB305" s="131" t="str">
        <f t="array" ref="AB305">IF(AA305&lt;=$AA$2,MIN(IF($L$4:$L$503&lt;=AB304,99999999999,$L$4:$L$503)),"")</f>
        <v/>
      </c>
      <c r="AC305" s="130" t="str">
        <f>IF(ISNUMBER(AA305),IF(Dashboard!$H$6&lt;&gt;"Horizontal",AC304+dateDistance,AC304),"")</f>
        <v/>
      </c>
      <c r="AD305" s="130" t="str">
        <f>IF(ISNUMBER(AA305),IF(Dashboard!$H$6="Horizontal",AD304+dateDistance,AD304),"")</f>
        <v/>
      </c>
      <c r="AE305" s="155"/>
      <c r="AF305" s="154"/>
      <c r="AG305" s="154"/>
      <c r="AH305" s="154"/>
      <c r="AK305" s="157"/>
      <c r="AL305" s="157"/>
      <c r="AM305" s="157"/>
    </row>
    <row r="306" spans="5:39" ht="15" customHeight="1" x14ac:dyDescent="0.25">
      <c r="E306" s="90"/>
      <c r="F306" s="90"/>
      <c r="G306" s="90"/>
      <c r="H306" s="90"/>
      <c r="I306" s="90"/>
      <c r="K306" s="137" t="str">
        <f t="shared" si="62"/>
        <v/>
      </c>
      <c r="L306" s="127" t="str">
        <f t="shared" si="60"/>
        <v/>
      </c>
      <c r="AA306" s="130" t="str">
        <f t="shared" si="61"/>
        <v/>
      </c>
      <c r="AB306" s="131" t="str">
        <f t="array" ref="AB306">IF(AA306&lt;=$AA$2,MIN(IF($L$4:$L$503&lt;=AB305,99999999999,$L$4:$L$503)),"")</f>
        <v/>
      </c>
      <c r="AC306" s="130" t="str">
        <f>IF(ISNUMBER(AA306),IF(Dashboard!$H$6&lt;&gt;"Horizontal",AC305+dateDistance,AC305),"")</f>
        <v/>
      </c>
      <c r="AD306" s="130" t="str">
        <f>IF(ISNUMBER(AA306),IF(Dashboard!$H$6="Horizontal",AD305+dateDistance,AD305),"")</f>
        <v/>
      </c>
      <c r="AE306" s="155"/>
      <c r="AF306" s="154"/>
      <c r="AG306" s="154"/>
      <c r="AH306" s="154"/>
      <c r="AK306" s="157"/>
      <c r="AL306" s="157"/>
      <c r="AM306" s="157"/>
    </row>
    <row r="307" spans="5:39" ht="15" customHeight="1" x14ac:dyDescent="0.25">
      <c r="E307" s="90"/>
      <c r="F307" s="90"/>
      <c r="G307" s="90"/>
      <c r="H307" s="90"/>
      <c r="I307" s="90"/>
      <c r="K307" s="137" t="str">
        <f t="shared" si="62"/>
        <v/>
      </c>
      <c r="L307" s="127" t="str">
        <f t="shared" si="60"/>
        <v/>
      </c>
      <c r="AA307" s="130" t="str">
        <f t="shared" si="61"/>
        <v/>
      </c>
      <c r="AB307" s="131" t="str">
        <f t="array" ref="AB307">IF(AA307&lt;=$AA$2,MIN(IF($L$4:$L$503&lt;=AB306,99999999999,$L$4:$L$503)),"")</f>
        <v/>
      </c>
      <c r="AC307" s="130" t="str">
        <f>IF(ISNUMBER(AA307),IF(Dashboard!$H$6&lt;&gt;"Horizontal",AC306+dateDistance,AC306),"")</f>
        <v/>
      </c>
      <c r="AD307" s="130" t="str">
        <f>IF(ISNUMBER(AA307),IF(Dashboard!$H$6="Horizontal",AD306+dateDistance,AD306),"")</f>
        <v/>
      </c>
      <c r="AE307" s="155"/>
      <c r="AF307" s="154"/>
      <c r="AG307" s="154"/>
      <c r="AH307" s="154"/>
      <c r="AK307" s="157"/>
      <c r="AL307" s="157"/>
      <c r="AM307" s="157"/>
    </row>
    <row r="308" spans="5:39" ht="15" customHeight="1" x14ac:dyDescent="0.25">
      <c r="E308" s="90"/>
      <c r="F308" s="90"/>
      <c r="G308" s="90"/>
      <c r="H308" s="90"/>
      <c r="I308" s="90"/>
      <c r="K308" s="137" t="str">
        <f t="shared" si="62"/>
        <v/>
      </c>
      <c r="L308" s="127" t="str">
        <f t="shared" si="60"/>
        <v/>
      </c>
      <c r="AA308" s="130" t="str">
        <f t="shared" si="61"/>
        <v/>
      </c>
      <c r="AB308" s="131" t="str">
        <f t="array" ref="AB308">IF(AA308&lt;=$AA$2,MIN(IF($L$4:$L$503&lt;=AB307,99999999999,$L$4:$L$503)),"")</f>
        <v/>
      </c>
      <c r="AC308" s="130" t="str">
        <f>IF(ISNUMBER(AA308),IF(Dashboard!$H$6&lt;&gt;"Horizontal",AC307+dateDistance,AC307),"")</f>
        <v/>
      </c>
      <c r="AD308" s="130" t="str">
        <f>IF(ISNUMBER(AA308),IF(Dashboard!$H$6="Horizontal",AD307+dateDistance,AD307),"")</f>
        <v/>
      </c>
      <c r="AE308" s="155"/>
      <c r="AF308" s="154"/>
      <c r="AG308" s="154"/>
      <c r="AH308" s="154"/>
      <c r="AK308" s="157"/>
      <c r="AL308" s="157"/>
      <c r="AM308" s="157"/>
    </row>
    <row r="309" spans="5:39" ht="15" customHeight="1" x14ac:dyDescent="0.25">
      <c r="E309" s="90"/>
      <c r="F309" s="90"/>
      <c r="G309" s="90"/>
      <c r="H309" s="90"/>
      <c r="I309" s="90"/>
      <c r="K309" s="137" t="str">
        <f t="shared" si="62"/>
        <v/>
      </c>
      <c r="L309" s="127" t="str">
        <f t="shared" si="60"/>
        <v/>
      </c>
      <c r="AA309" s="130" t="str">
        <f t="shared" si="61"/>
        <v/>
      </c>
      <c r="AB309" s="131" t="str">
        <f t="array" ref="AB309">IF(AA309&lt;=$AA$2,MIN(IF($L$4:$L$503&lt;=AB308,99999999999,$L$4:$L$503)),"")</f>
        <v/>
      </c>
      <c r="AC309" s="130" t="str">
        <f>IF(ISNUMBER(AA309),IF(Dashboard!$H$6&lt;&gt;"Horizontal",AC308+dateDistance,AC308),"")</f>
        <v/>
      </c>
      <c r="AD309" s="130" t="str">
        <f>IF(ISNUMBER(AA309),IF(Dashboard!$H$6="Horizontal",AD308+dateDistance,AD308),"")</f>
        <v/>
      </c>
      <c r="AE309" s="155"/>
      <c r="AF309" s="154"/>
      <c r="AG309" s="154"/>
      <c r="AH309" s="154"/>
      <c r="AK309" s="157"/>
      <c r="AL309" s="157"/>
      <c r="AM309" s="157"/>
    </row>
    <row r="310" spans="5:39" ht="15" customHeight="1" x14ac:dyDescent="0.25">
      <c r="E310" s="90"/>
      <c r="F310" s="90"/>
      <c r="G310" s="90"/>
      <c r="H310" s="90"/>
      <c r="I310" s="90"/>
      <c r="K310" s="137" t="str">
        <f t="shared" si="62"/>
        <v/>
      </c>
      <c r="L310" s="127" t="str">
        <f t="shared" si="60"/>
        <v/>
      </c>
      <c r="AA310" s="130" t="str">
        <f t="shared" si="61"/>
        <v/>
      </c>
      <c r="AB310" s="131" t="str">
        <f t="array" ref="AB310">IF(AA310&lt;=$AA$2,MIN(IF($L$4:$L$503&lt;=AB309,99999999999,$L$4:$L$503)),"")</f>
        <v/>
      </c>
      <c r="AC310" s="130" t="str">
        <f>IF(ISNUMBER(AA310),IF(Dashboard!$H$6&lt;&gt;"Horizontal",AC309+dateDistance,AC309),"")</f>
        <v/>
      </c>
      <c r="AD310" s="130" t="str">
        <f>IF(ISNUMBER(AA310),IF(Dashboard!$H$6="Horizontal",AD309+dateDistance,AD309),"")</f>
        <v/>
      </c>
      <c r="AE310" s="155"/>
      <c r="AF310" s="154"/>
      <c r="AG310" s="154"/>
      <c r="AH310" s="154"/>
      <c r="AK310" s="157"/>
      <c r="AL310" s="157"/>
      <c r="AM310" s="157"/>
    </row>
    <row r="311" spans="5:39" ht="15" customHeight="1" x14ac:dyDescent="0.25">
      <c r="E311" s="90"/>
      <c r="F311" s="90"/>
      <c r="G311" s="90"/>
      <c r="H311" s="90"/>
      <c r="I311" s="90"/>
      <c r="K311" s="137" t="str">
        <f t="shared" si="62"/>
        <v/>
      </c>
      <c r="L311" s="127" t="str">
        <f t="shared" si="60"/>
        <v/>
      </c>
      <c r="AA311" s="130" t="str">
        <f t="shared" si="61"/>
        <v/>
      </c>
      <c r="AB311" s="131" t="str">
        <f t="array" ref="AB311">IF(AA311&lt;=$AA$2,MIN(IF($L$4:$L$503&lt;=AB310,99999999999,$L$4:$L$503)),"")</f>
        <v/>
      </c>
      <c r="AC311" s="130" t="str">
        <f>IF(ISNUMBER(AA311),IF(Dashboard!$H$6&lt;&gt;"Horizontal",AC310+dateDistance,AC310),"")</f>
        <v/>
      </c>
      <c r="AD311" s="130" t="str">
        <f>IF(ISNUMBER(AA311),IF(Dashboard!$H$6="Horizontal",AD310+dateDistance,AD310),"")</f>
        <v/>
      </c>
      <c r="AE311" s="155"/>
      <c r="AF311" s="154"/>
      <c r="AG311" s="154"/>
      <c r="AH311" s="154"/>
      <c r="AK311" s="157"/>
      <c r="AL311" s="157"/>
      <c r="AM311" s="157"/>
    </row>
    <row r="312" spans="5:39" ht="15" customHeight="1" x14ac:dyDescent="0.25">
      <c r="E312" s="90"/>
      <c r="F312" s="90"/>
      <c r="G312" s="90"/>
      <c r="H312" s="90"/>
      <c r="I312" s="90"/>
      <c r="K312" s="137" t="str">
        <f t="shared" si="62"/>
        <v/>
      </c>
      <c r="L312" s="127" t="str">
        <f t="shared" si="60"/>
        <v/>
      </c>
      <c r="AA312" s="130" t="str">
        <f t="shared" si="61"/>
        <v/>
      </c>
      <c r="AB312" s="131" t="str">
        <f t="array" ref="AB312">IF(AA312&lt;=$AA$2,MIN(IF($L$4:$L$503&lt;=AB311,99999999999,$L$4:$L$503)),"")</f>
        <v/>
      </c>
      <c r="AC312" s="130" t="str">
        <f>IF(ISNUMBER(AA312),IF(Dashboard!$H$6&lt;&gt;"Horizontal",AC311+dateDistance,AC311),"")</f>
        <v/>
      </c>
      <c r="AD312" s="130" t="str">
        <f>IF(ISNUMBER(AA312),IF(Dashboard!$H$6="Horizontal",AD311+dateDistance,AD311),"")</f>
        <v/>
      </c>
      <c r="AE312" s="155"/>
      <c r="AF312" s="154"/>
      <c r="AG312" s="154"/>
      <c r="AH312" s="154"/>
      <c r="AK312" s="157"/>
      <c r="AL312" s="157"/>
      <c r="AM312" s="157"/>
    </row>
    <row r="313" spans="5:39" ht="15" customHeight="1" x14ac:dyDescent="0.25">
      <c r="E313" s="90"/>
      <c r="F313" s="90"/>
      <c r="G313" s="90"/>
      <c r="H313" s="90"/>
      <c r="I313" s="90"/>
      <c r="K313" s="137" t="str">
        <f t="shared" si="62"/>
        <v/>
      </c>
      <c r="L313" s="127" t="str">
        <f t="shared" si="60"/>
        <v/>
      </c>
      <c r="AA313" s="130" t="str">
        <f t="shared" si="61"/>
        <v/>
      </c>
      <c r="AB313" s="131" t="str">
        <f t="array" ref="AB313">IF(AA313&lt;=$AA$2,MIN(IF($L$4:$L$503&lt;=AB312,99999999999,$L$4:$L$503)),"")</f>
        <v/>
      </c>
      <c r="AC313" s="130" t="str">
        <f>IF(ISNUMBER(AA313),IF(Dashboard!$H$6&lt;&gt;"Horizontal",AC312+dateDistance,AC312),"")</f>
        <v/>
      </c>
      <c r="AD313" s="130" t="str">
        <f>IF(ISNUMBER(AA313),IF(Dashboard!$H$6="Horizontal",AD312+dateDistance,AD312),"")</f>
        <v/>
      </c>
      <c r="AE313" s="155"/>
      <c r="AF313" s="154"/>
      <c r="AG313" s="154"/>
      <c r="AH313" s="154"/>
      <c r="AK313" s="157"/>
      <c r="AL313" s="157"/>
      <c r="AM313" s="157"/>
    </row>
    <row r="314" spans="5:39" ht="15" customHeight="1" x14ac:dyDescent="0.25">
      <c r="E314" s="90"/>
      <c r="F314" s="90"/>
      <c r="G314" s="90"/>
      <c r="H314" s="90"/>
      <c r="I314" s="90"/>
      <c r="K314" s="137" t="str">
        <f t="shared" si="62"/>
        <v/>
      </c>
      <c r="L314" s="127" t="str">
        <f t="shared" si="60"/>
        <v/>
      </c>
      <c r="AA314" s="130" t="str">
        <f t="shared" si="61"/>
        <v/>
      </c>
      <c r="AB314" s="131" t="str">
        <f t="array" ref="AB314">IF(AA314&lt;=$AA$2,MIN(IF($L$4:$L$503&lt;=AB313,99999999999,$L$4:$L$503)),"")</f>
        <v/>
      </c>
      <c r="AC314" s="130" t="str">
        <f>IF(ISNUMBER(AA314),IF(Dashboard!$H$6&lt;&gt;"Horizontal",AC313+dateDistance,AC313),"")</f>
        <v/>
      </c>
      <c r="AD314" s="130" t="str">
        <f>IF(ISNUMBER(AA314),IF(Dashboard!$H$6="Horizontal",AD313+dateDistance,AD313),"")</f>
        <v/>
      </c>
      <c r="AE314" s="155"/>
      <c r="AF314" s="154"/>
      <c r="AG314" s="154"/>
      <c r="AH314" s="154"/>
      <c r="AK314" s="157"/>
      <c r="AL314" s="157"/>
      <c r="AM314" s="157"/>
    </row>
    <row r="315" spans="5:39" ht="15" customHeight="1" x14ac:dyDescent="0.25">
      <c r="E315" s="90"/>
      <c r="F315" s="90"/>
      <c r="G315" s="90"/>
      <c r="H315" s="90"/>
      <c r="I315" s="90"/>
      <c r="K315" s="137" t="str">
        <f t="shared" si="62"/>
        <v/>
      </c>
      <c r="L315" s="127" t="str">
        <f t="shared" si="60"/>
        <v/>
      </c>
      <c r="AA315" s="130" t="str">
        <f t="shared" si="61"/>
        <v/>
      </c>
      <c r="AB315" s="131" t="str">
        <f t="array" ref="AB315">IF(AA315&lt;=$AA$2,MIN(IF($L$4:$L$503&lt;=AB314,99999999999,$L$4:$L$503)),"")</f>
        <v/>
      </c>
      <c r="AC315" s="130" t="str">
        <f>IF(ISNUMBER(AA315),IF(Dashboard!$H$6&lt;&gt;"Horizontal",AC314+dateDistance,AC314),"")</f>
        <v/>
      </c>
      <c r="AD315" s="130" t="str">
        <f>IF(ISNUMBER(AA315),IF(Dashboard!$H$6="Horizontal",AD314+dateDistance,AD314),"")</f>
        <v/>
      </c>
      <c r="AE315" s="155"/>
      <c r="AF315" s="154"/>
      <c r="AG315" s="154"/>
      <c r="AH315" s="154"/>
      <c r="AK315" s="157"/>
      <c r="AL315" s="157"/>
      <c r="AM315" s="157"/>
    </row>
    <row r="316" spans="5:39" ht="15" customHeight="1" x14ac:dyDescent="0.25">
      <c r="E316" s="90"/>
      <c r="F316" s="90"/>
      <c r="G316" s="90"/>
      <c r="H316" s="90"/>
      <c r="I316" s="90"/>
      <c r="K316" s="137" t="str">
        <f t="shared" si="62"/>
        <v/>
      </c>
      <c r="L316" s="127" t="str">
        <f t="shared" si="60"/>
        <v/>
      </c>
      <c r="AA316" s="130" t="str">
        <f t="shared" si="61"/>
        <v/>
      </c>
      <c r="AB316" s="131" t="str">
        <f t="array" ref="AB316">IF(AA316&lt;=$AA$2,MIN(IF($L$4:$L$503&lt;=AB315,99999999999,$L$4:$L$503)),"")</f>
        <v/>
      </c>
      <c r="AC316" s="130" t="str">
        <f>IF(ISNUMBER(AA316),IF(Dashboard!$H$6&lt;&gt;"Horizontal",AC315+dateDistance,AC315),"")</f>
        <v/>
      </c>
      <c r="AD316" s="130" t="str">
        <f>IF(ISNUMBER(AA316),IF(Dashboard!$H$6="Horizontal",AD315+dateDistance,AD315),"")</f>
        <v/>
      </c>
      <c r="AE316" s="155"/>
      <c r="AF316" s="154"/>
      <c r="AG316" s="154"/>
      <c r="AH316" s="154"/>
      <c r="AK316" s="157"/>
      <c r="AL316" s="157"/>
      <c r="AM316" s="157"/>
    </row>
    <row r="317" spans="5:39" ht="15" customHeight="1" x14ac:dyDescent="0.25">
      <c r="E317" s="90"/>
      <c r="F317" s="90"/>
      <c r="G317" s="90"/>
      <c r="H317" s="90"/>
      <c r="I317" s="90"/>
      <c r="K317" s="137" t="str">
        <f t="shared" si="62"/>
        <v/>
      </c>
      <c r="L317" s="127" t="str">
        <f t="shared" si="60"/>
        <v/>
      </c>
      <c r="AA317" s="130" t="str">
        <f t="shared" si="61"/>
        <v/>
      </c>
      <c r="AB317" s="131" t="str">
        <f t="array" ref="AB317">IF(AA317&lt;=$AA$2,MIN(IF($L$4:$L$503&lt;=AB316,99999999999,$L$4:$L$503)),"")</f>
        <v/>
      </c>
      <c r="AC317" s="130" t="str">
        <f>IF(ISNUMBER(AA317),IF(Dashboard!$H$6&lt;&gt;"Horizontal",AC316+dateDistance,AC316),"")</f>
        <v/>
      </c>
      <c r="AD317" s="130" t="str">
        <f>IF(ISNUMBER(AA317),IF(Dashboard!$H$6="Horizontal",AD316+dateDistance,AD316),"")</f>
        <v/>
      </c>
      <c r="AE317" s="155"/>
      <c r="AF317" s="154"/>
      <c r="AG317" s="154"/>
      <c r="AH317" s="154"/>
      <c r="AK317" s="157"/>
      <c r="AL317" s="157"/>
      <c r="AM317" s="157"/>
    </row>
    <row r="318" spans="5:39" ht="15" customHeight="1" x14ac:dyDescent="0.25">
      <c r="E318" s="90"/>
      <c r="F318" s="90"/>
      <c r="G318" s="90"/>
      <c r="H318" s="90"/>
      <c r="I318" s="90"/>
      <c r="K318" s="137" t="str">
        <f t="shared" si="62"/>
        <v/>
      </c>
      <c r="L318" s="127" t="str">
        <f t="shared" si="60"/>
        <v/>
      </c>
      <c r="AA318" s="130" t="str">
        <f t="shared" si="61"/>
        <v/>
      </c>
      <c r="AB318" s="131" t="str">
        <f t="array" ref="AB318">IF(AA318&lt;=$AA$2,MIN(IF($L$4:$L$503&lt;=AB317,99999999999,$L$4:$L$503)),"")</f>
        <v/>
      </c>
      <c r="AC318" s="130" t="str">
        <f>IF(ISNUMBER(AA318),IF(Dashboard!$H$6&lt;&gt;"Horizontal",AC317+dateDistance,AC317),"")</f>
        <v/>
      </c>
      <c r="AD318" s="130" t="str">
        <f>IF(ISNUMBER(AA318),IF(Dashboard!$H$6="Horizontal",AD317+dateDistance,AD317),"")</f>
        <v/>
      </c>
      <c r="AE318" s="155"/>
      <c r="AF318" s="154"/>
      <c r="AG318" s="154"/>
      <c r="AH318" s="154"/>
      <c r="AK318" s="157"/>
      <c r="AL318" s="157"/>
      <c r="AM318" s="157"/>
    </row>
    <row r="319" spans="5:39" ht="15" customHeight="1" x14ac:dyDescent="0.25">
      <c r="E319" s="90"/>
      <c r="F319" s="90"/>
      <c r="G319" s="90"/>
      <c r="H319" s="90"/>
      <c r="I319" s="90"/>
      <c r="K319" s="137" t="str">
        <f t="shared" si="62"/>
        <v/>
      </c>
      <c r="L319" s="127" t="str">
        <f t="shared" si="60"/>
        <v/>
      </c>
      <c r="AA319" s="130" t="str">
        <f t="shared" si="61"/>
        <v/>
      </c>
      <c r="AB319" s="131" t="str">
        <f t="array" ref="AB319">IF(AA319&lt;=$AA$2,MIN(IF($L$4:$L$503&lt;=AB318,99999999999,$L$4:$L$503)),"")</f>
        <v/>
      </c>
      <c r="AC319" s="130" t="str">
        <f>IF(ISNUMBER(AA319),IF(Dashboard!$H$6&lt;&gt;"Horizontal",AC318+dateDistance,AC318),"")</f>
        <v/>
      </c>
      <c r="AD319" s="130" t="str">
        <f>IF(ISNUMBER(AA319),IF(Dashboard!$H$6="Horizontal",AD318+dateDistance,AD318),"")</f>
        <v/>
      </c>
      <c r="AE319" s="155"/>
      <c r="AF319" s="154"/>
      <c r="AG319" s="154"/>
      <c r="AH319" s="154"/>
      <c r="AK319" s="157"/>
      <c r="AL319" s="157"/>
      <c r="AM319" s="157"/>
    </row>
    <row r="320" spans="5:39" ht="15" customHeight="1" x14ac:dyDescent="0.25">
      <c r="E320" s="90"/>
      <c r="F320" s="90"/>
      <c r="G320" s="90"/>
      <c r="H320" s="90"/>
      <c r="I320" s="90"/>
      <c r="K320" s="137" t="str">
        <f t="shared" si="62"/>
        <v/>
      </c>
      <c r="L320" s="127" t="str">
        <f t="shared" si="60"/>
        <v/>
      </c>
      <c r="AA320" s="130" t="str">
        <f t="shared" si="61"/>
        <v/>
      </c>
      <c r="AB320" s="131" t="str">
        <f t="array" ref="AB320">IF(AA320&lt;=$AA$2,MIN(IF($L$4:$L$503&lt;=AB319,99999999999,$L$4:$L$503)),"")</f>
        <v/>
      </c>
      <c r="AC320" s="130" t="str">
        <f>IF(ISNUMBER(AA320),IF(Dashboard!$H$6&lt;&gt;"Horizontal",AC319+dateDistance,AC319),"")</f>
        <v/>
      </c>
      <c r="AD320" s="130" t="str">
        <f>IF(ISNUMBER(AA320),IF(Dashboard!$H$6="Horizontal",AD319+dateDistance,AD319),"")</f>
        <v/>
      </c>
      <c r="AE320" s="155"/>
      <c r="AF320" s="154"/>
      <c r="AG320" s="154"/>
      <c r="AH320" s="154"/>
      <c r="AK320" s="157"/>
      <c r="AL320" s="157"/>
      <c r="AM320" s="157"/>
    </row>
    <row r="321" spans="5:39" ht="15" customHeight="1" x14ac:dyDescent="0.25">
      <c r="E321" s="90"/>
      <c r="F321" s="90"/>
      <c r="G321" s="90"/>
      <c r="H321" s="90"/>
      <c r="I321" s="90"/>
      <c r="K321" s="137" t="str">
        <f t="shared" si="62"/>
        <v/>
      </c>
      <c r="L321" s="127" t="str">
        <f t="shared" si="60"/>
        <v/>
      </c>
      <c r="AA321" s="130" t="str">
        <f t="shared" si="61"/>
        <v/>
      </c>
      <c r="AB321" s="131" t="str">
        <f t="array" ref="AB321">IF(AA321&lt;=$AA$2,MIN(IF($L$4:$L$503&lt;=AB320,99999999999,$L$4:$L$503)),"")</f>
        <v/>
      </c>
      <c r="AC321" s="130" t="str">
        <f>IF(ISNUMBER(AA321),IF(Dashboard!$H$6&lt;&gt;"Horizontal",AC320+dateDistance,AC320),"")</f>
        <v/>
      </c>
      <c r="AD321" s="130" t="str">
        <f>IF(ISNUMBER(AA321),IF(Dashboard!$H$6="Horizontal",AD320+dateDistance,AD320),"")</f>
        <v/>
      </c>
      <c r="AE321" s="155"/>
      <c r="AF321" s="154"/>
      <c r="AG321" s="154"/>
      <c r="AH321" s="154"/>
      <c r="AK321" s="157"/>
      <c r="AL321" s="157"/>
      <c r="AM321" s="157"/>
    </row>
    <row r="322" spans="5:39" ht="15" customHeight="1" x14ac:dyDescent="0.25">
      <c r="E322" s="90"/>
      <c r="F322" s="90"/>
      <c r="G322" s="90"/>
      <c r="H322" s="90"/>
      <c r="I322" s="90"/>
      <c r="K322" s="137" t="str">
        <f t="shared" si="62"/>
        <v/>
      </c>
      <c r="L322" s="127" t="str">
        <f t="shared" si="60"/>
        <v/>
      </c>
      <c r="AA322" s="130" t="str">
        <f t="shared" si="61"/>
        <v/>
      </c>
      <c r="AB322" s="131" t="str">
        <f t="array" ref="AB322">IF(AA322&lt;=$AA$2,MIN(IF($L$4:$L$503&lt;=AB321,99999999999,$L$4:$L$503)),"")</f>
        <v/>
      </c>
      <c r="AC322" s="130" t="str">
        <f>IF(ISNUMBER(AA322),IF(Dashboard!$H$6&lt;&gt;"Horizontal",AC321+dateDistance,AC321),"")</f>
        <v/>
      </c>
      <c r="AD322" s="130" t="str">
        <f>IF(ISNUMBER(AA322),IF(Dashboard!$H$6="Horizontal",AD321+dateDistance,AD321),"")</f>
        <v/>
      </c>
      <c r="AE322" s="155"/>
      <c r="AF322" s="154"/>
      <c r="AG322" s="154"/>
      <c r="AH322" s="154"/>
      <c r="AK322" s="157"/>
      <c r="AL322" s="157"/>
      <c r="AM322" s="157"/>
    </row>
    <row r="323" spans="5:39" ht="15" customHeight="1" x14ac:dyDescent="0.25">
      <c r="E323" s="90"/>
      <c r="F323" s="90"/>
      <c r="G323" s="90"/>
      <c r="H323" s="90"/>
      <c r="I323" s="90"/>
      <c r="K323" s="137" t="str">
        <f t="shared" si="62"/>
        <v/>
      </c>
      <c r="L323" s="127" t="str">
        <f t="shared" si="60"/>
        <v/>
      </c>
      <c r="AA323" s="130" t="str">
        <f t="shared" si="61"/>
        <v/>
      </c>
      <c r="AB323" s="131" t="str">
        <f t="array" ref="AB323">IF(AA323&lt;=$AA$2,MIN(IF($L$4:$L$503&lt;=AB322,99999999999,$L$4:$L$503)),"")</f>
        <v/>
      </c>
      <c r="AC323" s="130" t="str">
        <f>IF(ISNUMBER(AA323),IF(Dashboard!$H$6&lt;&gt;"Horizontal",AC322+dateDistance,AC322),"")</f>
        <v/>
      </c>
      <c r="AD323" s="130" t="str">
        <f>IF(ISNUMBER(AA323),IF(Dashboard!$H$6="Horizontal",AD322+dateDistance,AD322),"")</f>
        <v/>
      </c>
      <c r="AE323" s="155"/>
      <c r="AF323" s="154"/>
      <c r="AG323" s="154"/>
      <c r="AH323" s="154"/>
      <c r="AK323" s="157"/>
      <c r="AL323" s="157"/>
      <c r="AM323" s="157"/>
    </row>
    <row r="324" spans="5:39" ht="15" customHeight="1" x14ac:dyDescent="0.25">
      <c r="E324" s="90"/>
      <c r="F324" s="90"/>
      <c r="G324" s="90"/>
      <c r="H324" s="90"/>
      <c r="I324" s="90"/>
      <c r="K324" s="137" t="str">
        <f t="shared" si="62"/>
        <v/>
      </c>
      <c r="L324" s="127" t="str">
        <f t="shared" ref="L324:L387" si="63">IFERROR(IF(K324&lt;=$G$2,SMALL($G$4:$G$253,K324),SMALL($H$4:$H$253,K324-$G$2)),"")</f>
        <v/>
      </c>
      <c r="AA324" s="130" t="str">
        <f t="shared" ref="AA324:AA387" si="64">IFERROR(IF(AA323+1&gt;$AA$2,"",AA323+1),"")</f>
        <v/>
      </c>
      <c r="AB324" s="131" t="str">
        <f t="array" ref="AB324">IF(AA324&lt;=$AA$2,MIN(IF($L$4:$L$503&lt;=AB323,99999999999,$L$4:$L$503)),"")</f>
        <v/>
      </c>
      <c r="AC324" s="130" t="str">
        <f>IF(ISNUMBER(AA324),IF(Dashboard!$H$6&lt;&gt;"Horizontal",AC323+dateDistance,AC323),"")</f>
        <v/>
      </c>
      <c r="AD324" s="130" t="str">
        <f>IF(ISNUMBER(AA324),IF(Dashboard!$H$6="Horizontal",AD323+dateDistance,AD323),"")</f>
        <v/>
      </c>
      <c r="AE324" s="155"/>
      <c r="AF324" s="154"/>
      <c r="AG324" s="154"/>
      <c r="AH324" s="154"/>
      <c r="AK324" s="157"/>
      <c r="AL324" s="157"/>
      <c r="AM324" s="157"/>
    </row>
    <row r="325" spans="5:39" ht="15" customHeight="1" x14ac:dyDescent="0.25">
      <c r="E325" s="90"/>
      <c r="F325" s="90"/>
      <c r="G325" s="90"/>
      <c r="H325" s="90"/>
      <c r="I325" s="90"/>
      <c r="K325" s="137" t="str">
        <f t="shared" ref="K325:K388" si="65">IFERROR(IF(K324+1&gt;$G$2+$H$2,"",K324+1),"")</f>
        <v/>
      </c>
      <c r="L325" s="127" t="str">
        <f t="shared" si="63"/>
        <v/>
      </c>
      <c r="AA325" s="130" t="str">
        <f t="shared" si="64"/>
        <v/>
      </c>
      <c r="AB325" s="131" t="str">
        <f t="array" ref="AB325">IF(AA325&lt;=$AA$2,MIN(IF($L$4:$L$503&lt;=AB324,99999999999,$L$4:$L$503)),"")</f>
        <v/>
      </c>
      <c r="AC325" s="130" t="str">
        <f>IF(ISNUMBER(AA325),IF(Dashboard!$H$6&lt;&gt;"Horizontal",AC324+dateDistance,AC324),"")</f>
        <v/>
      </c>
      <c r="AD325" s="130" t="str">
        <f>IF(ISNUMBER(AA325),IF(Dashboard!$H$6="Horizontal",AD324+dateDistance,AD324),"")</f>
        <v/>
      </c>
      <c r="AE325" s="155"/>
      <c r="AF325" s="154"/>
      <c r="AG325" s="154"/>
      <c r="AH325" s="154"/>
      <c r="AK325" s="157"/>
      <c r="AL325" s="157"/>
      <c r="AM325" s="157"/>
    </row>
    <row r="326" spans="5:39" ht="15" customHeight="1" x14ac:dyDescent="0.25">
      <c r="E326" s="90"/>
      <c r="F326" s="90"/>
      <c r="G326" s="90"/>
      <c r="H326" s="90"/>
      <c r="I326" s="90"/>
      <c r="K326" s="137" t="str">
        <f t="shared" si="65"/>
        <v/>
      </c>
      <c r="L326" s="127" t="str">
        <f t="shared" si="63"/>
        <v/>
      </c>
      <c r="AA326" s="130" t="str">
        <f t="shared" si="64"/>
        <v/>
      </c>
      <c r="AB326" s="131" t="str">
        <f t="array" ref="AB326">IF(AA326&lt;=$AA$2,MIN(IF($L$4:$L$503&lt;=AB325,99999999999,$L$4:$L$503)),"")</f>
        <v/>
      </c>
      <c r="AC326" s="130" t="str">
        <f>IF(ISNUMBER(AA326),IF(Dashboard!$H$6&lt;&gt;"Horizontal",AC325+dateDistance,AC325),"")</f>
        <v/>
      </c>
      <c r="AD326" s="130" t="str">
        <f>IF(ISNUMBER(AA326),IF(Dashboard!$H$6="Horizontal",AD325+dateDistance,AD325),"")</f>
        <v/>
      </c>
      <c r="AE326" s="155"/>
      <c r="AF326" s="154"/>
      <c r="AG326" s="154"/>
      <c r="AH326" s="154"/>
      <c r="AK326" s="157"/>
      <c r="AL326" s="157"/>
      <c r="AM326" s="157"/>
    </row>
    <row r="327" spans="5:39" ht="15" customHeight="1" x14ac:dyDescent="0.25">
      <c r="E327" s="90"/>
      <c r="F327" s="90"/>
      <c r="G327" s="90"/>
      <c r="H327" s="90"/>
      <c r="I327" s="90"/>
      <c r="K327" s="137" t="str">
        <f t="shared" si="65"/>
        <v/>
      </c>
      <c r="L327" s="127" t="str">
        <f t="shared" si="63"/>
        <v/>
      </c>
      <c r="AA327" s="130" t="str">
        <f t="shared" si="64"/>
        <v/>
      </c>
      <c r="AB327" s="131" t="str">
        <f t="array" ref="AB327">IF(AA327&lt;=$AA$2,MIN(IF($L$4:$L$503&lt;=AB326,99999999999,$L$4:$L$503)),"")</f>
        <v/>
      </c>
      <c r="AC327" s="130" t="str">
        <f>IF(ISNUMBER(AA327),IF(Dashboard!$H$6&lt;&gt;"Horizontal",AC326+dateDistance,AC326),"")</f>
        <v/>
      </c>
      <c r="AD327" s="130" t="str">
        <f>IF(ISNUMBER(AA327),IF(Dashboard!$H$6="Horizontal",AD326+dateDistance,AD326),"")</f>
        <v/>
      </c>
      <c r="AE327" s="155"/>
      <c r="AF327" s="154"/>
      <c r="AG327" s="154"/>
      <c r="AH327" s="154"/>
      <c r="AK327" s="157"/>
      <c r="AL327" s="157"/>
      <c r="AM327" s="157"/>
    </row>
    <row r="328" spans="5:39" ht="15" customHeight="1" x14ac:dyDescent="0.25">
      <c r="E328" s="90"/>
      <c r="F328" s="90"/>
      <c r="G328" s="90"/>
      <c r="H328" s="90"/>
      <c r="I328" s="90"/>
      <c r="K328" s="137" t="str">
        <f t="shared" si="65"/>
        <v/>
      </c>
      <c r="L328" s="127" t="str">
        <f t="shared" si="63"/>
        <v/>
      </c>
      <c r="AA328" s="130" t="str">
        <f t="shared" si="64"/>
        <v/>
      </c>
      <c r="AB328" s="131" t="str">
        <f t="array" ref="AB328">IF(AA328&lt;=$AA$2,MIN(IF($L$4:$L$503&lt;=AB327,99999999999,$L$4:$L$503)),"")</f>
        <v/>
      </c>
      <c r="AC328" s="130" t="str">
        <f>IF(ISNUMBER(AA328),IF(Dashboard!$H$6&lt;&gt;"Horizontal",AC327+dateDistance,AC327),"")</f>
        <v/>
      </c>
      <c r="AD328" s="130" t="str">
        <f>IF(ISNUMBER(AA328),IF(Dashboard!$H$6="Horizontal",AD327+dateDistance,AD327),"")</f>
        <v/>
      </c>
      <c r="AE328" s="155"/>
      <c r="AF328" s="154"/>
      <c r="AG328" s="154"/>
      <c r="AH328" s="154"/>
      <c r="AK328" s="157"/>
      <c r="AL328" s="157"/>
      <c r="AM328" s="157"/>
    </row>
    <row r="329" spans="5:39" ht="15" customHeight="1" x14ac:dyDescent="0.25">
      <c r="E329" s="90"/>
      <c r="F329" s="90"/>
      <c r="G329" s="90"/>
      <c r="H329" s="90"/>
      <c r="I329" s="90"/>
      <c r="K329" s="137" t="str">
        <f t="shared" si="65"/>
        <v/>
      </c>
      <c r="L329" s="127" t="str">
        <f t="shared" si="63"/>
        <v/>
      </c>
      <c r="AA329" s="130" t="str">
        <f t="shared" si="64"/>
        <v/>
      </c>
      <c r="AB329" s="131" t="str">
        <f t="array" ref="AB329">IF(AA329&lt;=$AA$2,MIN(IF($L$4:$L$503&lt;=AB328,99999999999,$L$4:$L$503)),"")</f>
        <v/>
      </c>
      <c r="AC329" s="130" t="str">
        <f>IF(ISNUMBER(AA329),IF(Dashboard!$H$6&lt;&gt;"Horizontal",AC328+dateDistance,AC328),"")</f>
        <v/>
      </c>
      <c r="AD329" s="130" t="str">
        <f>IF(ISNUMBER(AA329),IF(Dashboard!$H$6="Horizontal",AD328+dateDistance,AD328),"")</f>
        <v/>
      </c>
      <c r="AE329" s="155"/>
      <c r="AF329" s="154"/>
      <c r="AG329" s="154"/>
      <c r="AH329" s="154"/>
      <c r="AK329" s="157"/>
      <c r="AL329" s="157"/>
      <c r="AM329" s="157"/>
    </row>
    <row r="330" spans="5:39" ht="15" customHeight="1" x14ac:dyDescent="0.25">
      <c r="E330" s="90"/>
      <c r="F330" s="90"/>
      <c r="G330" s="90"/>
      <c r="H330" s="90"/>
      <c r="I330" s="90"/>
      <c r="K330" s="137" t="str">
        <f t="shared" si="65"/>
        <v/>
      </c>
      <c r="L330" s="127" t="str">
        <f t="shared" si="63"/>
        <v/>
      </c>
      <c r="AA330" s="130" t="str">
        <f t="shared" si="64"/>
        <v/>
      </c>
      <c r="AB330" s="131" t="str">
        <f t="array" ref="AB330">IF(AA330&lt;=$AA$2,MIN(IF($L$4:$L$503&lt;=AB329,99999999999,$L$4:$L$503)),"")</f>
        <v/>
      </c>
      <c r="AC330" s="130" t="str">
        <f>IF(ISNUMBER(AA330),IF(Dashboard!$H$6&lt;&gt;"Horizontal",AC329+dateDistance,AC329),"")</f>
        <v/>
      </c>
      <c r="AD330" s="130" t="str">
        <f>IF(ISNUMBER(AA330),IF(Dashboard!$H$6="Horizontal",AD329+dateDistance,AD329),"")</f>
        <v/>
      </c>
      <c r="AE330" s="155"/>
      <c r="AF330" s="154"/>
      <c r="AG330" s="154"/>
      <c r="AH330" s="154"/>
      <c r="AK330" s="157"/>
      <c r="AL330" s="157"/>
      <c r="AM330" s="157"/>
    </row>
    <row r="331" spans="5:39" ht="15" customHeight="1" x14ac:dyDescent="0.25">
      <c r="E331" s="90"/>
      <c r="F331" s="90"/>
      <c r="G331" s="90"/>
      <c r="H331" s="90"/>
      <c r="I331" s="90"/>
      <c r="K331" s="137" t="str">
        <f t="shared" si="65"/>
        <v/>
      </c>
      <c r="L331" s="127" t="str">
        <f t="shared" si="63"/>
        <v/>
      </c>
      <c r="AA331" s="130" t="str">
        <f t="shared" si="64"/>
        <v/>
      </c>
      <c r="AB331" s="131" t="str">
        <f t="array" ref="AB331">IF(AA331&lt;=$AA$2,MIN(IF($L$4:$L$503&lt;=AB330,99999999999,$L$4:$L$503)),"")</f>
        <v/>
      </c>
      <c r="AC331" s="130" t="str">
        <f>IF(ISNUMBER(AA331),IF(Dashboard!$H$6&lt;&gt;"Horizontal",AC330+dateDistance,AC330),"")</f>
        <v/>
      </c>
      <c r="AD331" s="130" t="str">
        <f>IF(ISNUMBER(AA331),IF(Dashboard!$H$6="Horizontal",AD330+dateDistance,AD330),"")</f>
        <v/>
      </c>
      <c r="AE331" s="155"/>
      <c r="AF331" s="154"/>
      <c r="AG331" s="154"/>
      <c r="AH331" s="154"/>
      <c r="AK331" s="157"/>
      <c r="AL331" s="157"/>
      <c r="AM331" s="157"/>
    </row>
    <row r="332" spans="5:39" ht="15" customHeight="1" x14ac:dyDescent="0.25">
      <c r="E332" s="90"/>
      <c r="F332" s="90"/>
      <c r="G332" s="90"/>
      <c r="H332" s="90"/>
      <c r="I332" s="90"/>
      <c r="K332" s="137" t="str">
        <f t="shared" si="65"/>
        <v/>
      </c>
      <c r="L332" s="127" t="str">
        <f t="shared" si="63"/>
        <v/>
      </c>
      <c r="AA332" s="130" t="str">
        <f t="shared" si="64"/>
        <v/>
      </c>
      <c r="AB332" s="131" t="str">
        <f t="array" ref="AB332">IF(AA332&lt;=$AA$2,MIN(IF($L$4:$L$503&lt;=AB331,99999999999,$L$4:$L$503)),"")</f>
        <v/>
      </c>
      <c r="AC332" s="130" t="str">
        <f>IF(ISNUMBER(AA332),IF(Dashboard!$H$6&lt;&gt;"Horizontal",AC331+dateDistance,AC331),"")</f>
        <v/>
      </c>
      <c r="AD332" s="130" t="str">
        <f>IF(ISNUMBER(AA332),IF(Dashboard!$H$6="Horizontal",AD331+dateDistance,AD331),"")</f>
        <v/>
      </c>
      <c r="AE332" s="155"/>
      <c r="AF332" s="154"/>
      <c r="AG332" s="154"/>
      <c r="AH332" s="154"/>
      <c r="AK332" s="157"/>
      <c r="AL332" s="157"/>
      <c r="AM332" s="157"/>
    </row>
    <row r="333" spans="5:39" ht="15" customHeight="1" x14ac:dyDescent="0.25">
      <c r="E333" s="90"/>
      <c r="F333" s="90"/>
      <c r="G333" s="90"/>
      <c r="H333" s="90"/>
      <c r="I333" s="90"/>
      <c r="K333" s="137" t="str">
        <f t="shared" si="65"/>
        <v/>
      </c>
      <c r="L333" s="127" t="str">
        <f t="shared" si="63"/>
        <v/>
      </c>
      <c r="AA333" s="130" t="str">
        <f t="shared" si="64"/>
        <v/>
      </c>
      <c r="AB333" s="131" t="str">
        <f t="array" ref="AB333">IF(AA333&lt;=$AA$2,MIN(IF($L$4:$L$503&lt;=AB332,99999999999,$L$4:$L$503)),"")</f>
        <v/>
      </c>
      <c r="AC333" s="130" t="str">
        <f>IF(ISNUMBER(AA333),IF(Dashboard!$H$6&lt;&gt;"Horizontal",AC332+dateDistance,AC332),"")</f>
        <v/>
      </c>
      <c r="AD333" s="130" t="str">
        <f>IF(ISNUMBER(AA333),IF(Dashboard!$H$6="Horizontal",AD332+dateDistance,AD332),"")</f>
        <v/>
      </c>
      <c r="AE333" s="155"/>
      <c r="AF333" s="154"/>
      <c r="AG333" s="154"/>
      <c r="AH333" s="154"/>
      <c r="AK333" s="157"/>
      <c r="AL333" s="157"/>
      <c r="AM333" s="157"/>
    </row>
    <row r="334" spans="5:39" ht="15" customHeight="1" x14ac:dyDescent="0.25">
      <c r="E334" s="90"/>
      <c r="F334" s="90"/>
      <c r="G334" s="90"/>
      <c r="H334" s="90"/>
      <c r="I334" s="90"/>
      <c r="K334" s="137" t="str">
        <f t="shared" si="65"/>
        <v/>
      </c>
      <c r="L334" s="127" t="str">
        <f t="shared" si="63"/>
        <v/>
      </c>
      <c r="AA334" s="130" t="str">
        <f t="shared" si="64"/>
        <v/>
      </c>
      <c r="AB334" s="131" t="str">
        <f t="array" ref="AB334">IF(AA334&lt;=$AA$2,MIN(IF($L$4:$L$503&lt;=AB333,99999999999,$L$4:$L$503)),"")</f>
        <v/>
      </c>
      <c r="AC334" s="130" t="str">
        <f>IF(ISNUMBER(AA334),IF(Dashboard!$H$6&lt;&gt;"Horizontal",AC333+dateDistance,AC333),"")</f>
        <v/>
      </c>
      <c r="AD334" s="130" t="str">
        <f>IF(ISNUMBER(AA334),IF(Dashboard!$H$6="Horizontal",AD333+dateDistance,AD333),"")</f>
        <v/>
      </c>
      <c r="AE334" s="155"/>
      <c r="AF334" s="154"/>
      <c r="AG334" s="154"/>
      <c r="AH334" s="154"/>
      <c r="AK334" s="157"/>
      <c r="AL334" s="157"/>
      <c r="AM334" s="157"/>
    </row>
    <row r="335" spans="5:39" ht="15" customHeight="1" x14ac:dyDescent="0.25">
      <c r="E335" s="90"/>
      <c r="F335" s="90"/>
      <c r="G335" s="90"/>
      <c r="H335" s="90"/>
      <c r="I335" s="90"/>
      <c r="K335" s="137" t="str">
        <f t="shared" si="65"/>
        <v/>
      </c>
      <c r="L335" s="127" t="str">
        <f t="shared" si="63"/>
        <v/>
      </c>
      <c r="AA335" s="130" t="str">
        <f t="shared" si="64"/>
        <v/>
      </c>
      <c r="AB335" s="131" t="str">
        <f t="array" ref="AB335">IF(AA335&lt;=$AA$2,MIN(IF($L$4:$L$503&lt;=AB334,99999999999,$L$4:$L$503)),"")</f>
        <v/>
      </c>
      <c r="AC335" s="130" t="str">
        <f>IF(ISNUMBER(AA335),IF(Dashboard!$H$6&lt;&gt;"Horizontal",AC334+dateDistance,AC334),"")</f>
        <v/>
      </c>
      <c r="AD335" s="130" t="str">
        <f>IF(ISNUMBER(AA335),IF(Dashboard!$H$6="Horizontal",AD334+dateDistance,AD334),"")</f>
        <v/>
      </c>
      <c r="AE335" s="155"/>
      <c r="AF335" s="154"/>
      <c r="AG335" s="154"/>
      <c r="AH335" s="154"/>
      <c r="AK335" s="157"/>
      <c r="AL335" s="157"/>
      <c r="AM335" s="157"/>
    </row>
    <row r="336" spans="5:39" ht="15" customHeight="1" x14ac:dyDescent="0.25">
      <c r="E336" s="90"/>
      <c r="F336" s="90"/>
      <c r="G336" s="90"/>
      <c r="H336" s="90"/>
      <c r="I336" s="90"/>
      <c r="K336" s="137" t="str">
        <f t="shared" si="65"/>
        <v/>
      </c>
      <c r="L336" s="127" t="str">
        <f t="shared" si="63"/>
        <v/>
      </c>
      <c r="AA336" s="130" t="str">
        <f t="shared" si="64"/>
        <v/>
      </c>
      <c r="AB336" s="131" t="str">
        <f t="array" ref="AB336">IF(AA336&lt;=$AA$2,MIN(IF($L$4:$L$503&lt;=AB335,99999999999,$L$4:$L$503)),"")</f>
        <v/>
      </c>
      <c r="AC336" s="130" t="str">
        <f>IF(ISNUMBER(AA336),IF(Dashboard!$H$6&lt;&gt;"Horizontal",AC335+dateDistance,AC335),"")</f>
        <v/>
      </c>
      <c r="AD336" s="130" t="str">
        <f>IF(ISNUMBER(AA336),IF(Dashboard!$H$6="Horizontal",AD335+dateDistance,AD335),"")</f>
        <v/>
      </c>
      <c r="AE336" s="155"/>
      <c r="AF336" s="154"/>
      <c r="AG336" s="154"/>
      <c r="AH336" s="154"/>
      <c r="AK336" s="157"/>
      <c r="AL336" s="157"/>
      <c r="AM336" s="157"/>
    </row>
    <row r="337" spans="5:39" ht="15" customHeight="1" x14ac:dyDescent="0.25">
      <c r="E337" s="90"/>
      <c r="F337" s="90"/>
      <c r="G337" s="90"/>
      <c r="H337" s="90"/>
      <c r="I337" s="90"/>
      <c r="K337" s="137" t="str">
        <f t="shared" si="65"/>
        <v/>
      </c>
      <c r="L337" s="127" t="str">
        <f t="shared" si="63"/>
        <v/>
      </c>
      <c r="AA337" s="130" t="str">
        <f t="shared" si="64"/>
        <v/>
      </c>
      <c r="AB337" s="131" t="str">
        <f t="array" ref="AB337">IF(AA337&lt;=$AA$2,MIN(IF($L$4:$L$503&lt;=AB336,99999999999,$L$4:$L$503)),"")</f>
        <v/>
      </c>
      <c r="AC337" s="130" t="str">
        <f>IF(ISNUMBER(AA337),IF(Dashboard!$H$6&lt;&gt;"Horizontal",AC336+dateDistance,AC336),"")</f>
        <v/>
      </c>
      <c r="AD337" s="130" t="str">
        <f>IF(ISNUMBER(AA337),IF(Dashboard!$H$6="Horizontal",AD336+dateDistance,AD336),"")</f>
        <v/>
      </c>
      <c r="AE337" s="155"/>
      <c r="AF337" s="154"/>
      <c r="AG337" s="154"/>
      <c r="AH337" s="154"/>
      <c r="AK337" s="157"/>
      <c r="AL337" s="157"/>
      <c r="AM337" s="157"/>
    </row>
    <row r="338" spans="5:39" ht="15" customHeight="1" x14ac:dyDescent="0.25">
      <c r="K338" s="137" t="str">
        <f t="shared" si="65"/>
        <v/>
      </c>
      <c r="L338" s="127" t="str">
        <f t="shared" si="63"/>
        <v/>
      </c>
      <c r="AA338" s="130" t="str">
        <f t="shared" si="64"/>
        <v/>
      </c>
      <c r="AB338" s="131" t="str">
        <f t="array" ref="AB338">IF(AA338&lt;=$AA$2,MIN(IF($L$4:$L$503&lt;=AB337,99999999999,$L$4:$L$503)),"")</f>
        <v/>
      </c>
      <c r="AC338" s="130" t="str">
        <f>IF(ISNUMBER(AA338),IF(Dashboard!$H$6&lt;&gt;"Horizontal",AC337+dateDistance,AC337),"")</f>
        <v/>
      </c>
      <c r="AD338" s="130" t="str">
        <f>IF(ISNUMBER(AA338),IF(Dashboard!$H$6="Horizontal",AD337+dateDistance,AD337),"")</f>
        <v/>
      </c>
      <c r="AE338" s="155"/>
      <c r="AF338" s="154"/>
      <c r="AG338" s="154"/>
      <c r="AH338" s="154"/>
      <c r="AK338" s="157"/>
      <c r="AL338" s="157"/>
      <c r="AM338" s="157"/>
    </row>
    <row r="339" spans="5:39" ht="15" customHeight="1" x14ac:dyDescent="0.25">
      <c r="K339" s="137" t="str">
        <f t="shared" si="65"/>
        <v/>
      </c>
      <c r="L339" s="127" t="str">
        <f t="shared" si="63"/>
        <v/>
      </c>
      <c r="AA339" s="130" t="str">
        <f t="shared" si="64"/>
        <v/>
      </c>
      <c r="AB339" s="131" t="str">
        <f t="array" ref="AB339">IF(AA339&lt;=$AA$2,MIN(IF($L$4:$L$503&lt;=AB338,99999999999,$L$4:$L$503)),"")</f>
        <v/>
      </c>
      <c r="AC339" s="130" t="str">
        <f>IF(ISNUMBER(AA339),IF(Dashboard!$H$6&lt;&gt;"Horizontal",AC338+dateDistance,AC338),"")</f>
        <v/>
      </c>
      <c r="AD339" s="130" t="str">
        <f>IF(ISNUMBER(AA339),IF(Dashboard!$H$6="Horizontal",AD338+dateDistance,AD338),"")</f>
        <v/>
      </c>
      <c r="AE339" s="155"/>
      <c r="AF339" s="154"/>
      <c r="AG339" s="154"/>
      <c r="AH339" s="154"/>
      <c r="AK339" s="157"/>
      <c r="AL339" s="157"/>
      <c r="AM339" s="157"/>
    </row>
    <row r="340" spans="5:39" ht="15" customHeight="1" x14ac:dyDescent="0.25">
      <c r="K340" s="137" t="str">
        <f t="shared" si="65"/>
        <v/>
      </c>
      <c r="L340" s="127" t="str">
        <f t="shared" si="63"/>
        <v/>
      </c>
      <c r="AA340" s="130" t="str">
        <f t="shared" si="64"/>
        <v/>
      </c>
      <c r="AB340" s="131" t="str">
        <f t="array" ref="AB340">IF(AA340&lt;=$AA$2,MIN(IF($L$4:$L$503&lt;=AB339,99999999999,$L$4:$L$503)),"")</f>
        <v/>
      </c>
      <c r="AC340" s="130" t="str">
        <f>IF(ISNUMBER(AA340),IF(Dashboard!$H$6&lt;&gt;"Horizontal",AC339+dateDistance,AC339),"")</f>
        <v/>
      </c>
      <c r="AD340" s="130" t="str">
        <f>IF(ISNUMBER(AA340),IF(Dashboard!$H$6="Horizontal",AD339+dateDistance,AD339),"")</f>
        <v/>
      </c>
      <c r="AE340" s="155"/>
      <c r="AF340" s="154"/>
      <c r="AG340" s="154"/>
      <c r="AH340" s="154"/>
      <c r="AK340" s="157"/>
      <c r="AL340" s="157"/>
      <c r="AM340" s="157"/>
    </row>
    <row r="341" spans="5:39" ht="15" customHeight="1" x14ac:dyDescent="0.25">
      <c r="K341" s="137" t="str">
        <f t="shared" si="65"/>
        <v/>
      </c>
      <c r="L341" s="127" t="str">
        <f t="shared" si="63"/>
        <v/>
      </c>
      <c r="AA341" s="130" t="str">
        <f t="shared" si="64"/>
        <v/>
      </c>
      <c r="AB341" s="131" t="str">
        <f t="array" ref="AB341">IF(AA341&lt;=$AA$2,MIN(IF($L$4:$L$503&lt;=AB340,99999999999,$L$4:$L$503)),"")</f>
        <v/>
      </c>
      <c r="AC341" s="130" t="str">
        <f>IF(ISNUMBER(AA341),IF(Dashboard!$H$6&lt;&gt;"Horizontal",AC340+dateDistance,AC340),"")</f>
        <v/>
      </c>
      <c r="AD341" s="130" t="str">
        <f>IF(ISNUMBER(AA341),IF(Dashboard!$H$6="Horizontal",AD340+dateDistance,AD340),"")</f>
        <v/>
      </c>
      <c r="AE341" s="155"/>
      <c r="AF341" s="154"/>
      <c r="AG341" s="154"/>
      <c r="AH341" s="154"/>
      <c r="AK341" s="157"/>
      <c r="AL341" s="157"/>
      <c r="AM341" s="157"/>
    </row>
    <row r="342" spans="5:39" ht="15" customHeight="1" x14ac:dyDescent="0.25">
      <c r="K342" s="137" t="str">
        <f t="shared" si="65"/>
        <v/>
      </c>
      <c r="L342" s="127" t="str">
        <f t="shared" si="63"/>
        <v/>
      </c>
      <c r="AA342" s="130" t="str">
        <f t="shared" si="64"/>
        <v/>
      </c>
      <c r="AB342" s="131" t="str">
        <f t="array" ref="AB342">IF(AA342&lt;=$AA$2,MIN(IF($L$4:$L$503&lt;=AB341,99999999999,$L$4:$L$503)),"")</f>
        <v/>
      </c>
      <c r="AC342" s="130" t="str">
        <f>IF(ISNUMBER(AA342),IF(Dashboard!$H$6&lt;&gt;"Horizontal",AC341+dateDistance,AC341),"")</f>
        <v/>
      </c>
      <c r="AD342" s="130" t="str">
        <f>IF(ISNUMBER(AA342),IF(Dashboard!$H$6="Horizontal",AD341+dateDistance,AD341),"")</f>
        <v/>
      </c>
      <c r="AE342" s="155"/>
      <c r="AF342" s="154"/>
      <c r="AG342" s="154"/>
      <c r="AH342" s="154"/>
      <c r="AK342" s="157"/>
      <c r="AL342" s="157"/>
      <c r="AM342" s="157"/>
    </row>
    <row r="343" spans="5:39" ht="15" customHeight="1" x14ac:dyDescent="0.25">
      <c r="K343" s="137" t="str">
        <f t="shared" si="65"/>
        <v/>
      </c>
      <c r="L343" s="127" t="str">
        <f t="shared" si="63"/>
        <v/>
      </c>
      <c r="AA343" s="130" t="str">
        <f t="shared" si="64"/>
        <v/>
      </c>
      <c r="AB343" s="131" t="str">
        <f t="array" ref="AB343">IF(AA343&lt;=$AA$2,MIN(IF($L$4:$L$503&lt;=AB342,99999999999,$L$4:$L$503)),"")</f>
        <v/>
      </c>
      <c r="AC343" s="130" t="str">
        <f>IF(ISNUMBER(AA343),IF(Dashboard!$H$6&lt;&gt;"Horizontal",AC342+dateDistance,AC342),"")</f>
        <v/>
      </c>
      <c r="AD343" s="130" t="str">
        <f>IF(ISNUMBER(AA343),IF(Dashboard!$H$6="Horizontal",AD342+dateDistance,AD342),"")</f>
        <v/>
      </c>
      <c r="AE343" s="155"/>
      <c r="AF343" s="154"/>
      <c r="AG343" s="154"/>
      <c r="AH343" s="154"/>
      <c r="AK343" s="157"/>
      <c r="AL343" s="157"/>
      <c r="AM343" s="157"/>
    </row>
    <row r="344" spans="5:39" ht="15" customHeight="1" x14ac:dyDescent="0.25">
      <c r="K344" s="137" t="str">
        <f t="shared" si="65"/>
        <v/>
      </c>
      <c r="L344" s="127" t="str">
        <f t="shared" si="63"/>
        <v/>
      </c>
      <c r="AA344" s="130" t="str">
        <f t="shared" si="64"/>
        <v/>
      </c>
      <c r="AB344" s="131" t="str">
        <f t="array" ref="AB344">IF(AA344&lt;=$AA$2,MIN(IF($L$4:$L$503&lt;=AB343,99999999999,$L$4:$L$503)),"")</f>
        <v/>
      </c>
      <c r="AC344" s="130" t="str">
        <f>IF(ISNUMBER(AA344),IF(Dashboard!$H$6&lt;&gt;"Horizontal",AC343+dateDistance,AC343),"")</f>
        <v/>
      </c>
      <c r="AD344" s="130" t="str">
        <f>IF(ISNUMBER(AA344),IF(Dashboard!$H$6="Horizontal",AD343+dateDistance,AD343),"")</f>
        <v/>
      </c>
      <c r="AE344" s="155"/>
      <c r="AF344" s="154"/>
      <c r="AG344" s="154"/>
      <c r="AH344" s="154"/>
      <c r="AK344" s="157"/>
      <c r="AL344" s="157"/>
      <c r="AM344" s="157"/>
    </row>
    <row r="345" spans="5:39" ht="15" customHeight="1" x14ac:dyDescent="0.25">
      <c r="K345" s="137" t="str">
        <f t="shared" si="65"/>
        <v/>
      </c>
      <c r="L345" s="127" t="str">
        <f t="shared" si="63"/>
        <v/>
      </c>
      <c r="AA345" s="130" t="str">
        <f t="shared" si="64"/>
        <v/>
      </c>
      <c r="AB345" s="131" t="str">
        <f t="array" ref="AB345">IF(AA345&lt;=$AA$2,MIN(IF($L$4:$L$503&lt;=AB344,99999999999,$L$4:$L$503)),"")</f>
        <v/>
      </c>
      <c r="AC345" s="130" t="str">
        <f>IF(ISNUMBER(AA345),IF(Dashboard!$H$6&lt;&gt;"Horizontal",AC344+dateDistance,AC344),"")</f>
        <v/>
      </c>
      <c r="AD345" s="130" t="str">
        <f>IF(ISNUMBER(AA345),IF(Dashboard!$H$6="Horizontal",AD344+dateDistance,AD344),"")</f>
        <v/>
      </c>
      <c r="AE345" s="155"/>
      <c r="AF345" s="154"/>
      <c r="AG345" s="154"/>
      <c r="AH345" s="154"/>
      <c r="AK345" s="157"/>
      <c r="AL345" s="157"/>
      <c r="AM345" s="157"/>
    </row>
    <row r="346" spans="5:39" ht="15" customHeight="1" x14ac:dyDescent="0.25">
      <c r="K346" s="137" t="str">
        <f t="shared" si="65"/>
        <v/>
      </c>
      <c r="L346" s="127" t="str">
        <f t="shared" si="63"/>
        <v/>
      </c>
      <c r="AA346" s="130" t="str">
        <f t="shared" si="64"/>
        <v/>
      </c>
      <c r="AB346" s="131" t="str">
        <f t="array" ref="AB346">IF(AA346&lt;=$AA$2,MIN(IF($L$4:$L$503&lt;=AB345,99999999999,$L$4:$L$503)),"")</f>
        <v/>
      </c>
      <c r="AC346" s="130" t="str">
        <f>IF(ISNUMBER(AA346),IF(Dashboard!$H$6&lt;&gt;"Horizontal",AC345+dateDistance,AC345),"")</f>
        <v/>
      </c>
      <c r="AD346" s="130" t="str">
        <f>IF(ISNUMBER(AA346),IF(Dashboard!$H$6="Horizontal",AD345+dateDistance,AD345),"")</f>
        <v/>
      </c>
      <c r="AE346" s="155"/>
      <c r="AF346" s="154"/>
      <c r="AG346" s="154"/>
      <c r="AH346" s="154"/>
      <c r="AK346" s="157"/>
      <c r="AL346" s="157"/>
      <c r="AM346" s="157"/>
    </row>
    <row r="347" spans="5:39" ht="15" customHeight="1" x14ac:dyDescent="0.25">
      <c r="K347" s="137" t="str">
        <f t="shared" si="65"/>
        <v/>
      </c>
      <c r="L347" s="127" t="str">
        <f t="shared" si="63"/>
        <v/>
      </c>
      <c r="AA347" s="130" t="str">
        <f t="shared" si="64"/>
        <v/>
      </c>
      <c r="AB347" s="131" t="str">
        <f t="array" ref="AB347">IF(AA347&lt;=$AA$2,MIN(IF($L$4:$L$503&lt;=AB346,99999999999,$L$4:$L$503)),"")</f>
        <v/>
      </c>
      <c r="AC347" s="130" t="str">
        <f>IF(ISNUMBER(AA347),IF(Dashboard!$H$6&lt;&gt;"Horizontal",AC346+dateDistance,AC346),"")</f>
        <v/>
      </c>
      <c r="AD347" s="130" t="str">
        <f>IF(ISNUMBER(AA347),IF(Dashboard!$H$6="Horizontal",AD346+dateDistance,AD346),"")</f>
        <v/>
      </c>
      <c r="AE347" s="155"/>
      <c r="AF347" s="154"/>
      <c r="AG347" s="154"/>
      <c r="AH347" s="154"/>
      <c r="AK347" s="157"/>
      <c r="AL347" s="157"/>
      <c r="AM347" s="157"/>
    </row>
    <row r="348" spans="5:39" ht="15" customHeight="1" x14ac:dyDescent="0.25">
      <c r="K348" s="137" t="str">
        <f t="shared" si="65"/>
        <v/>
      </c>
      <c r="L348" s="127" t="str">
        <f t="shared" si="63"/>
        <v/>
      </c>
      <c r="AA348" s="130" t="str">
        <f t="shared" si="64"/>
        <v/>
      </c>
      <c r="AB348" s="131" t="str">
        <f t="array" ref="AB348">IF(AA348&lt;=$AA$2,MIN(IF($L$4:$L$503&lt;=AB347,99999999999,$L$4:$L$503)),"")</f>
        <v/>
      </c>
      <c r="AC348" s="130" t="str">
        <f>IF(ISNUMBER(AA348),IF(Dashboard!$H$6&lt;&gt;"Horizontal",AC347+dateDistance,AC347),"")</f>
        <v/>
      </c>
      <c r="AD348" s="130" t="str">
        <f>IF(ISNUMBER(AA348),IF(Dashboard!$H$6="Horizontal",AD347+dateDistance,AD347),"")</f>
        <v/>
      </c>
      <c r="AE348" s="155"/>
      <c r="AF348" s="154"/>
      <c r="AG348" s="154"/>
      <c r="AH348" s="154"/>
      <c r="AK348" s="157"/>
      <c r="AL348" s="157"/>
      <c r="AM348" s="157"/>
    </row>
    <row r="349" spans="5:39" ht="15" customHeight="1" x14ac:dyDescent="0.25">
      <c r="K349" s="137" t="str">
        <f t="shared" si="65"/>
        <v/>
      </c>
      <c r="L349" s="127" t="str">
        <f t="shared" si="63"/>
        <v/>
      </c>
      <c r="AA349" s="130" t="str">
        <f t="shared" si="64"/>
        <v/>
      </c>
      <c r="AB349" s="131" t="str">
        <f t="array" ref="AB349">IF(AA349&lt;=$AA$2,MIN(IF($L$4:$L$503&lt;=AB348,99999999999,$L$4:$L$503)),"")</f>
        <v/>
      </c>
      <c r="AC349" s="130" t="str">
        <f>IF(ISNUMBER(AA349),IF(Dashboard!$H$6&lt;&gt;"Horizontal",AC348+dateDistance,AC348),"")</f>
        <v/>
      </c>
      <c r="AD349" s="130" t="str">
        <f>IF(ISNUMBER(AA349),IF(Dashboard!$H$6="Horizontal",AD348+dateDistance,AD348),"")</f>
        <v/>
      </c>
      <c r="AE349" s="155"/>
      <c r="AF349" s="154"/>
      <c r="AG349" s="154"/>
      <c r="AH349" s="154"/>
      <c r="AK349" s="157"/>
      <c r="AL349" s="157"/>
      <c r="AM349" s="157"/>
    </row>
    <row r="350" spans="5:39" ht="15" customHeight="1" x14ac:dyDescent="0.25">
      <c r="K350" s="137" t="str">
        <f t="shared" si="65"/>
        <v/>
      </c>
      <c r="L350" s="127" t="str">
        <f t="shared" si="63"/>
        <v/>
      </c>
      <c r="AA350" s="130" t="str">
        <f t="shared" si="64"/>
        <v/>
      </c>
      <c r="AB350" s="131" t="str">
        <f t="array" ref="AB350">IF(AA350&lt;=$AA$2,MIN(IF($L$4:$L$503&lt;=AB349,99999999999,$L$4:$L$503)),"")</f>
        <v/>
      </c>
      <c r="AC350" s="130" t="str">
        <f>IF(ISNUMBER(AA350),IF(Dashboard!$H$6&lt;&gt;"Horizontal",AC349+dateDistance,AC349),"")</f>
        <v/>
      </c>
      <c r="AD350" s="130" t="str">
        <f>IF(ISNUMBER(AA350),IF(Dashboard!$H$6="Horizontal",AD349+dateDistance,AD349),"")</f>
        <v/>
      </c>
      <c r="AE350" s="155"/>
      <c r="AF350" s="154"/>
      <c r="AG350" s="154"/>
      <c r="AH350" s="154"/>
      <c r="AK350" s="157"/>
      <c r="AL350" s="157"/>
      <c r="AM350" s="157"/>
    </row>
    <row r="351" spans="5:39" ht="15" customHeight="1" x14ac:dyDescent="0.25">
      <c r="K351" s="137" t="str">
        <f t="shared" si="65"/>
        <v/>
      </c>
      <c r="L351" s="127" t="str">
        <f t="shared" si="63"/>
        <v/>
      </c>
      <c r="AA351" s="130" t="str">
        <f t="shared" si="64"/>
        <v/>
      </c>
      <c r="AB351" s="131" t="str">
        <f t="array" ref="AB351">IF(AA351&lt;=$AA$2,MIN(IF($L$4:$L$503&lt;=AB350,99999999999,$L$4:$L$503)),"")</f>
        <v/>
      </c>
      <c r="AC351" s="130" t="str">
        <f>IF(ISNUMBER(AA351),IF(Dashboard!$H$6&lt;&gt;"Horizontal",AC350+dateDistance,AC350),"")</f>
        <v/>
      </c>
      <c r="AD351" s="130" t="str">
        <f>IF(ISNUMBER(AA351),IF(Dashboard!$H$6="Horizontal",AD350+dateDistance,AD350),"")</f>
        <v/>
      </c>
      <c r="AE351" s="155"/>
      <c r="AF351" s="154"/>
      <c r="AG351" s="154"/>
      <c r="AH351" s="154"/>
      <c r="AK351" s="157"/>
      <c r="AL351" s="157"/>
      <c r="AM351" s="157"/>
    </row>
    <row r="352" spans="5:39" ht="15" customHeight="1" x14ac:dyDescent="0.25">
      <c r="K352" s="137" t="str">
        <f t="shared" si="65"/>
        <v/>
      </c>
      <c r="L352" s="127" t="str">
        <f t="shared" si="63"/>
        <v/>
      </c>
      <c r="AA352" s="130" t="str">
        <f t="shared" si="64"/>
        <v/>
      </c>
      <c r="AB352" s="131" t="str">
        <f t="array" ref="AB352">IF(AA352&lt;=$AA$2,MIN(IF($L$4:$L$503&lt;=AB351,99999999999,$L$4:$L$503)),"")</f>
        <v/>
      </c>
      <c r="AC352" s="130" t="str">
        <f>IF(ISNUMBER(AA352),IF(Dashboard!$H$6&lt;&gt;"Horizontal",AC351+dateDistance,AC351),"")</f>
        <v/>
      </c>
      <c r="AD352" s="130" t="str">
        <f>IF(ISNUMBER(AA352),IF(Dashboard!$H$6="Horizontal",AD351+dateDistance,AD351),"")</f>
        <v/>
      </c>
      <c r="AE352" s="155"/>
      <c r="AF352" s="154"/>
      <c r="AG352" s="154"/>
      <c r="AH352" s="154"/>
      <c r="AK352" s="157"/>
      <c r="AL352" s="157"/>
      <c r="AM352" s="157"/>
    </row>
    <row r="353" spans="11:39" ht="15" customHeight="1" x14ac:dyDescent="0.25">
      <c r="K353" s="137" t="str">
        <f t="shared" si="65"/>
        <v/>
      </c>
      <c r="L353" s="127" t="str">
        <f t="shared" si="63"/>
        <v/>
      </c>
      <c r="AA353" s="130" t="str">
        <f t="shared" si="64"/>
        <v/>
      </c>
      <c r="AB353" s="131" t="str">
        <f t="array" ref="AB353">IF(AA353&lt;=$AA$2,MIN(IF($L$4:$L$503&lt;=AB352,99999999999,$L$4:$L$503)),"")</f>
        <v/>
      </c>
      <c r="AC353" s="130" t="str">
        <f>IF(ISNUMBER(AA353),IF(Dashboard!$H$6&lt;&gt;"Horizontal",AC352+dateDistance,AC352),"")</f>
        <v/>
      </c>
      <c r="AD353" s="130" t="str">
        <f>IF(ISNUMBER(AA353),IF(Dashboard!$H$6="Horizontal",AD352+dateDistance,AD352),"")</f>
        <v/>
      </c>
      <c r="AE353" s="155"/>
      <c r="AF353" s="154"/>
      <c r="AG353" s="154"/>
      <c r="AH353" s="154"/>
      <c r="AK353" s="157"/>
      <c r="AL353" s="157"/>
      <c r="AM353" s="157"/>
    </row>
    <row r="354" spans="11:39" ht="15" customHeight="1" x14ac:dyDescent="0.25">
      <c r="K354" s="137" t="str">
        <f t="shared" si="65"/>
        <v/>
      </c>
      <c r="L354" s="127" t="str">
        <f t="shared" si="63"/>
        <v/>
      </c>
      <c r="AA354" s="130" t="str">
        <f t="shared" si="64"/>
        <v/>
      </c>
      <c r="AB354" s="131" t="str">
        <f t="array" ref="AB354">IF(AA354&lt;=$AA$2,MIN(IF($L$4:$L$503&lt;=AB353,99999999999,$L$4:$L$503)),"")</f>
        <v/>
      </c>
      <c r="AC354" s="130" t="str">
        <f>IF(ISNUMBER(AA354),IF(Dashboard!$H$6&lt;&gt;"Horizontal",AC353+dateDistance,AC353),"")</f>
        <v/>
      </c>
      <c r="AD354" s="130" t="str">
        <f>IF(ISNUMBER(AA354),IF(Dashboard!$H$6="Horizontal",AD353+dateDistance,AD353),"")</f>
        <v/>
      </c>
      <c r="AE354" s="155"/>
      <c r="AF354" s="154"/>
      <c r="AG354" s="154"/>
      <c r="AH354" s="154"/>
      <c r="AK354" s="157"/>
      <c r="AL354" s="157"/>
      <c r="AM354" s="157"/>
    </row>
    <row r="355" spans="11:39" ht="15" customHeight="1" x14ac:dyDescent="0.25">
      <c r="K355" s="137" t="str">
        <f t="shared" si="65"/>
        <v/>
      </c>
      <c r="L355" s="127" t="str">
        <f t="shared" si="63"/>
        <v/>
      </c>
      <c r="AA355" s="130" t="str">
        <f t="shared" si="64"/>
        <v/>
      </c>
      <c r="AB355" s="131" t="str">
        <f t="array" ref="AB355">IF(AA355&lt;=$AA$2,MIN(IF($L$4:$L$503&lt;=AB354,99999999999,$L$4:$L$503)),"")</f>
        <v/>
      </c>
      <c r="AC355" s="130" t="str">
        <f>IF(ISNUMBER(AA355),IF(Dashboard!$H$6&lt;&gt;"Horizontal",AC354+dateDistance,AC354),"")</f>
        <v/>
      </c>
      <c r="AD355" s="130" t="str">
        <f>IF(ISNUMBER(AA355),IF(Dashboard!$H$6="Horizontal",AD354+dateDistance,AD354),"")</f>
        <v/>
      </c>
      <c r="AE355" s="155"/>
      <c r="AF355" s="154"/>
      <c r="AG355" s="154"/>
      <c r="AH355" s="154"/>
      <c r="AK355" s="157"/>
      <c r="AL355" s="157"/>
      <c r="AM355" s="157"/>
    </row>
    <row r="356" spans="11:39" ht="15" customHeight="1" x14ac:dyDescent="0.25">
      <c r="K356" s="137" t="str">
        <f t="shared" si="65"/>
        <v/>
      </c>
      <c r="L356" s="127" t="str">
        <f t="shared" si="63"/>
        <v/>
      </c>
      <c r="AA356" s="130" t="str">
        <f t="shared" si="64"/>
        <v/>
      </c>
      <c r="AB356" s="131" t="str">
        <f t="array" ref="AB356">IF(AA356&lt;=$AA$2,MIN(IF($L$4:$L$503&lt;=AB355,99999999999,$L$4:$L$503)),"")</f>
        <v/>
      </c>
      <c r="AC356" s="130" t="str">
        <f>IF(ISNUMBER(AA356),IF(Dashboard!$H$6&lt;&gt;"Horizontal",AC355+dateDistance,AC355),"")</f>
        <v/>
      </c>
      <c r="AD356" s="130" t="str">
        <f>IF(ISNUMBER(AA356),IF(Dashboard!$H$6="Horizontal",AD355+dateDistance,AD355),"")</f>
        <v/>
      </c>
      <c r="AE356" s="155"/>
      <c r="AF356" s="154"/>
      <c r="AG356" s="154"/>
      <c r="AH356" s="154"/>
      <c r="AK356" s="157"/>
      <c r="AL356" s="157"/>
      <c r="AM356" s="157"/>
    </row>
    <row r="357" spans="11:39" ht="15" customHeight="1" x14ac:dyDescent="0.25">
      <c r="K357" s="137" t="str">
        <f t="shared" si="65"/>
        <v/>
      </c>
      <c r="L357" s="127" t="str">
        <f t="shared" si="63"/>
        <v/>
      </c>
      <c r="AA357" s="130" t="str">
        <f t="shared" si="64"/>
        <v/>
      </c>
      <c r="AB357" s="131" t="str">
        <f t="array" ref="AB357">IF(AA357&lt;=$AA$2,MIN(IF($L$4:$L$503&lt;=AB356,99999999999,$L$4:$L$503)),"")</f>
        <v/>
      </c>
      <c r="AC357" s="130" t="str">
        <f>IF(ISNUMBER(AA357),IF(Dashboard!$H$6&lt;&gt;"Horizontal",AC356+dateDistance,AC356),"")</f>
        <v/>
      </c>
      <c r="AD357" s="130" t="str">
        <f>IF(ISNUMBER(AA357),IF(Dashboard!$H$6="Horizontal",AD356+dateDistance,AD356),"")</f>
        <v/>
      </c>
      <c r="AE357" s="155"/>
      <c r="AF357" s="154"/>
      <c r="AG357" s="154"/>
      <c r="AH357" s="154"/>
      <c r="AK357" s="157"/>
      <c r="AL357" s="157"/>
      <c r="AM357" s="157"/>
    </row>
    <row r="358" spans="11:39" ht="15" customHeight="1" x14ac:dyDescent="0.25">
      <c r="K358" s="137" t="str">
        <f t="shared" si="65"/>
        <v/>
      </c>
      <c r="L358" s="127" t="str">
        <f t="shared" si="63"/>
        <v/>
      </c>
      <c r="AA358" s="130" t="str">
        <f t="shared" si="64"/>
        <v/>
      </c>
      <c r="AB358" s="131" t="str">
        <f t="array" ref="AB358">IF(AA358&lt;=$AA$2,MIN(IF($L$4:$L$503&lt;=AB357,99999999999,$L$4:$L$503)),"")</f>
        <v/>
      </c>
      <c r="AC358" s="130" t="str">
        <f>IF(ISNUMBER(AA358),IF(Dashboard!$H$6&lt;&gt;"Horizontal",AC357+dateDistance,AC357),"")</f>
        <v/>
      </c>
      <c r="AD358" s="130" t="str">
        <f>IF(ISNUMBER(AA358),IF(Dashboard!$H$6="Horizontal",AD357+dateDistance,AD357),"")</f>
        <v/>
      </c>
      <c r="AE358" s="155"/>
      <c r="AF358" s="154"/>
      <c r="AG358" s="154"/>
      <c r="AH358" s="154"/>
      <c r="AK358" s="157"/>
      <c r="AL358" s="157"/>
      <c r="AM358" s="157"/>
    </row>
    <row r="359" spans="11:39" ht="15" customHeight="1" x14ac:dyDescent="0.25">
      <c r="K359" s="137" t="str">
        <f t="shared" si="65"/>
        <v/>
      </c>
      <c r="L359" s="127" t="str">
        <f t="shared" si="63"/>
        <v/>
      </c>
      <c r="AA359" s="130" t="str">
        <f t="shared" si="64"/>
        <v/>
      </c>
      <c r="AB359" s="131" t="str">
        <f t="array" ref="AB359">IF(AA359&lt;=$AA$2,MIN(IF($L$4:$L$503&lt;=AB358,99999999999,$L$4:$L$503)),"")</f>
        <v/>
      </c>
      <c r="AC359" s="130" t="str">
        <f>IF(ISNUMBER(AA359),IF(Dashboard!$H$6&lt;&gt;"Horizontal",AC358+dateDistance,AC358),"")</f>
        <v/>
      </c>
      <c r="AD359" s="130" t="str">
        <f>IF(ISNUMBER(AA359),IF(Dashboard!$H$6="Horizontal",AD358+dateDistance,AD358),"")</f>
        <v/>
      </c>
      <c r="AE359" s="155"/>
      <c r="AF359" s="154"/>
      <c r="AG359" s="154"/>
      <c r="AH359" s="154"/>
      <c r="AK359" s="157"/>
      <c r="AL359" s="157"/>
      <c r="AM359" s="157"/>
    </row>
    <row r="360" spans="11:39" ht="15" customHeight="1" x14ac:dyDescent="0.25">
      <c r="K360" s="137" t="str">
        <f t="shared" si="65"/>
        <v/>
      </c>
      <c r="L360" s="127" t="str">
        <f t="shared" si="63"/>
        <v/>
      </c>
      <c r="AA360" s="130" t="str">
        <f t="shared" si="64"/>
        <v/>
      </c>
      <c r="AB360" s="131" t="str">
        <f t="array" ref="AB360">IF(AA360&lt;=$AA$2,MIN(IF($L$4:$L$503&lt;=AB359,99999999999,$L$4:$L$503)),"")</f>
        <v/>
      </c>
      <c r="AC360" s="130" t="str">
        <f>IF(ISNUMBER(AA360),IF(Dashboard!$H$6&lt;&gt;"Horizontal",AC359+dateDistance,AC359),"")</f>
        <v/>
      </c>
      <c r="AD360" s="130" t="str">
        <f>IF(ISNUMBER(AA360),IF(Dashboard!$H$6="Horizontal",AD359+dateDistance,AD359),"")</f>
        <v/>
      </c>
      <c r="AE360" s="155"/>
      <c r="AF360" s="154"/>
      <c r="AG360" s="154"/>
      <c r="AH360" s="154"/>
      <c r="AK360" s="157"/>
      <c r="AL360" s="157"/>
      <c r="AM360" s="157"/>
    </row>
    <row r="361" spans="11:39" ht="15" customHeight="1" x14ac:dyDescent="0.25">
      <c r="K361" s="137" t="str">
        <f t="shared" si="65"/>
        <v/>
      </c>
      <c r="L361" s="127" t="str">
        <f t="shared" si="63"/>
        <v/>
      </c>
      <c r="AA361" s="130" t="str">
        <f t="shared" si="64"/>
        <v/>
      </c>
      <c r="AB361" s="131" t="str">
        <f t="array" ref="AB361">IF(AA361&lt;=$AA$2,MIN(IF($L$4:$L$503&lt;=AB360,99999999999,$L$4:$L$503)),"")</f>
        <v/>
      </c>
      <c r="AC361" s="130" t="str">
        <f>IF(ISNUMBER(AA361),IF(Dashboard!$H$6&lt;&gt;"Horizontal",AC360+dateDistance,AC360),"")</f>
        <v/>
      </c>
      <c r="AD361" s="130" t="str">
        <f>IF(ISNUMBER(AA361),IF(Dashboard!$H$6="Horizontal",AD360+dateDistance,AD360),"")</f>
        <v/>
      </c>
      <c r="AE361" s="155"/>
      <c r="AF361" s="154"/>
      <c r="AG361" s="154"/>
      <c r="AH361" s="154"/>
      <c r="AK361" s="157"/>
      <c r="AL361" s="157"/>
      <c r="AM361" s="157"/>
    </row>
    <row r="362" spans="11:39" ht="15" customHeight="1" x14ac:dyDescent="0.25">
      <c r="K362" s="137" t="str">
        <f t="shared" si="65"/>
        <v/>
      </c>
      <c r="L362" s="127" t="str">
        <f t="shared" si="63"/>
        <v/>
      </c>
      <c r="AA362" s="130" t="str">
        <f t="shared" si="64"/>
        <v/>
      </c>
      <c r="AB362" s="131" t="str">
        <f t="array" ref="AB362">IF(AA362&lt;=$AA$2,MIN(IF($L$4:$L$503&lt;=AB361,99999999999,$L$4:$L$503)),"")</f>
        <v/>
      </c>
      <c r="AC362" s="130" t="str">
        <f>IF(ISNUMBER(AA362),IF(Dashboard!$H$6&lt;&gt;"Horizontal",AC361+dateDistance,AC361),"")</f>
        <v/>
      </c>
      <c r="AD362" s="130" t="str">
        <f>IF(ISNUMBER(AA362),IF(Dashboard!$H$6="Horizontal",AD361+dateDistance,AD361),"")</f>
        <v/>
      </c>
      <c r="AE362" s="155"/>
      <c r="AF362" s="154"/>
      <c r="AG362" s="154"/>
      <c r="AH362" s="154"/>
      <c r="AK362" s="157"/>
      <c r="AL362" s="157"/>
      <c r="AM362" s="157"/>
    </row>
    <row r="363" spans="11:39" ht="15" customHeight="1" x14ac:dyDescent="0.25">
      <c r="K363" s="137" t="str">
        <f t="shared" si="65"/>
        <v/>
      </c>
      <c r="L363" s="127" t="str">
        <f t="shared" si="63"/>
        <v/>
      </c>
      <c r="AA363" s="130" t="str">
        <f t="shared" si="64"/>
        <v/>
      </c>
      <c r="AB363" s="131" t="str">
        <f t="array" ref="AB363">IF(AA363&lt;=$AA$2,MIN(IF($L$4:$L$503&lt;=AB362,99999999999,$L$4:$L$503)),"")</f>
        <v/>
      </c>
      <c r="AC363" s="130" t="str">
        <f>IF(ISNUMBER(AA363),IF(Dashboard!$H$6&lt;&gt;"Horizontal",AC362+dateDistance,AC362),"")</f>
        <v/>
      </c>
      <c r="AD363" s="130" t="str">
        <f>IF(ISNUMBER(AA363),IF(Dashboard!$H$6="Horizontal",AD362+dateDistance,AD362),"")</f>
        <v/>
      </c>
      <c r="AE363" s="155"/>
      <c r="AF363" s="154"/>
      <c r="AG363" s="154"/>
      <c r="AH363" s="154"/>
      <c r="AK363" s="157"/>
      <c r="AL363" s="157"/>
      <c r="AM363" s="157"/>
    </row>
    <row r="364" spans="11:39" ht="15" customHeight="1" x14ac:dyDescent="0.25">
      <c r="K364" s="137" t="str">
        <f t="shared" si="65"/>
        <v/>
      </c>
      <c r="L364" s="127" t="str">
        <f t="shared" si="63"/>
        <v/>
      </c>
      <c r="AA364" s="130" t="str">
        <f t="shared" si="64"/>
        <v/>
      </c>
      <c r="AB364" s="131" t="str">
        <f t="array" ref="AB364">IF(AA364&lt;=$AA$2,MIN(IF($L$4:$L$503&lt;=AB363,99999999999,$L$4:$L$503)),"")</f>
        <v/>
      </c>
      <c r="AC364" s="130" t="str">
        <f>IF(ISNUMBER(AA364),IF(Dashboard!$H$6&lt;&gt;"Horizontal",AC363+dateDistance,AC363),"")</f>
        <v/>
      </c>
      <c r="AD364" s="130" t="str">
        <f>IF(ISNUMBER(AA364),IF(Dashboard!$H$6="Horizontal",AD363+dateDistance,AD363),"")</f>
        <v/>
      </c>
      <c r="AE364" s="155"/>
      <c r="AF364" s="154"/>
      <c r="AG364" s="154"/>
      <c r="AH364" s="154"/>
      <c r="AK364" s="157"/>
      <c r="AL364" s="157"/>
      <c r="AM364" s="157"/>
    </row>
    <row r="365" spans="11:39" ht="15" customHeight="1" x14ac:dyDescent="0.25">
      <c r="K365" s="137" t="str">
        <f t="shared" si="65"/>
        <v/>
      </c>
      <c r="L365" s="127" t="str">
        <f t="shared" si="63"/>
        <v/>
      </c>
      <c r="AA365" s="130" t="str">
        <f t="shared" si="64"/>
        <v/>
      </c>
      <c r="AB365" s="131" t="str">
        <f t="array" ref="AB365">IF(AA365&lt;=$AA$2,MIN(IF($L$4:$L$503&lt;=AB364,99999999999,$L$4:$L$503)),"")</f>
        <v/>
      </c>
      <c r="AC365" s="130" t="str">
        <f>IF(ISNUMBER(AA365),IF(Dashboard!$H$6&lt;&gt;"Horizontal",AC364+dateDistance,AC364),"")</f>
        <v/>
      </c>
      <c r="AD365" s="130" t="str">
        <f>IF(ISNUMBER(AA365),IF(Dashboard!$H$6="Horizontal",AD364+dateDistance,AD364),"")</f>
        <v/>
      </c>
      <c r="AE365" s="155"/>
      <c r="AF365" s="154"/>
      <c r="AG365" s="154"/>
      <c r="AH365" s="154"/>
      <c r="AK365" s="157"/>
      <c r="AL365" s="157"/>
      <c r="AM365" s="157"/>
    </row>
    <row r="366" spans="11:39" ht="15" customHeight="1" x14ac:dyDescent="0.25">
      <c r="K366" s="137" t="str">
        <f t="shared" si="65"/>
        <v/>
      </c>
      <c r="L366" s="127" t="str">
        <f t="shared" si="63"/>
        <v/>
      </c>
      <c r="AA366" s="130" t="str">
        <f t="shared" si="64"/>
        <v/>
      </c>
      <c r="AB366" s="131" t="str">
        <f t="array" ref="AB366">IF(AA366&lt;=$AA$2,MIN(IF($L$4:$L$503&lt;=AB365,99999999999,$L$4:$L$503)),"")</f>
        <v/>
      </c>
      <c r="AC366" s="130" t="str">
        <f>IF(ISNUMBER(AA366),IF(Dashboard!$H$6&lt;&gt;"Horizontal",AC365+dateDistance,AC365),"")</f>
        <v/>
      </c>
      <c r="AD366" s="130" t="str">
        <f>IF(ISNUMBER(AA366),IF(Dashboard!$H$6="Horizontal",AD365+dateDistance,AD365),"")</f>
        <v/>
      </c>
      <c r="AE366" s="155"/>
      <c r="AF366" s="154"/>
      <c r="AG366" s="154"/>
      <c r="AH366" s="154"/>
      <c r="AK366" s="157"/>
      <c r="AL366" s="157"/>
      <c r="AM366" s="157"/>
    </row>
    <row r="367" spans="11:39" ht="15" customHeight="1" x14ac:dyDescent="0.25">
      <c r="K367" s="137" t="str">
        <f t="shared" si="65"/>
        <v/>
      </c>
      <c r="L367" s="127" t="str">
        <f t="shared" si="63"/>
        <v/>
      </c>
      <c r="AA367" s="130" t="str">
        <f t="shared" si="64"/>
        <v/>
      </c>
      <c r="AB367" s="131" t="str">
        <f t="array" ref="AB367">IF(AA367&lt;=$AA$2,MIN(IF($L$4:$L$503&lt;=AB366,99999999999,$L$4:$L$503)),"")</f>
        <v/>
      </c>
      <c r="AC367" s="130" t="str">
        <f>IF(ISNUMBER(AA367),IF(Dashboard!$H$6&lt;&gt;"Horizontal",AC366+dateDistance,AC366),"")</f>
        <v/>
      </c>
      <c r="AD367" s="130" t="str">
        <f>IF(ISNUMBER(AA367),IF(Dashboard!$H$6="Horizontal",AD366+dateDistance,AD366),"")</f>
        <v/>
      </c>
      <c r="AE367" s="155"/>
      <c r="AF367" s="154"/>
      <c r="AG367" s="154"/>
      <c r="AH367" s="154"/>
      <c r="AK367" s="157"/>
      <c r="AL367" s="157"/>
      <c r="AM367" s="157"/>
    </row>
    <row r="368" spans="11:39" ht="15" customHeight="1" x14ac:dyDescent="0.25">
      <c r="K368" s="137" t="str">
        <f t="shared" si="65"/>
        <v/>
      </c>
      <c r="L368" s="127" t="str">
        <f t="shared" si="63"/>
        <v/>
      </c>
      <c r="AA368" s="130" t="str">
        <f t="shared" si="64"/>
        <v/>
      </c>
      <c r="AB368" s="131" t="str">
        <f t="array" ref="AB368">IF(AA368&lt;=$AA$2,MIN(IF($L$4:$L$503&lt;=AB367,99999999999,$L$4:$L$503)),"")</f>
        <v/>
      </c>
      <c r="AC368" s="130" t="str">
        <f>IF(ISNUMBER(AA368),IF(Dashboard!$H$6&lt;&gt;"Horizontal",AC367+dateDistance,AC367),"")</f>
        <v/>
      </c>
      <c r="AD368" s="130" t="str">
        <f>IF(ISNUMBER(AA368),IF(Dashboard!$H$6="Horizontal",AD367+dateDistance,AD367),"")</f>
        <v/>
      </c>
      <c r="AE368" s="155"/>
      <c r="AF368" s="154"/>
      <c r="AG368" s="154"/>
      <c r="AH368" s="154"/>
      <c r="AK368" s="157"/>
      <c r="AL368" s="157"/>
      <c r="AM368" s="157"/>
    </row>
    <row r="369" spans="11:39" ht="15" customHeight="1" x14ac:dyDescent="0.25">
      <c r="K369" s="137" t="str">
        <f t="shared" si="65"/>
        <v/>
      </c>
      <c r="L369" s="127" t="str">
        <f t="shared" si="63"/>
        <v/>
      </c>
      <c r="AA369" s="130" t="str">
        <f t="shared" si="64"/>
        <v/>
      </c>
      <c r="AB369" s="131" t="str">
        <f t="array" ref="AB369">IF(AA369&lt;=$AA$2,MIN(IF($L$4:$L$503&lt;=AB368,99999999999,$L$4:$L$503)),"")</f>
        <v/>
      </c>
      <c r="AC369" s="130" t="str">
        <f>IF(ISNUMBER(AA369),IF(Dashboard!$H$6&lt;&gt;"Horizontal",AC368+dateDistance,AC368),"")</f>
        <v/>
      </c>
      <c r="AD369" s="130" t="str">
        <f>IF(ISNUMBER(AA369),IF(Dashboard!$H$6="Horizontal",AD368+dateDistance,AD368),"")</f>
        <v/>
      </c>
      <c r="AE369" s="155"/>
      <c r="AF369" s="154"/>
      <c r="AG369" s="154"/>
      <c r="AH369" s="154"/>
      <c r="AK369" s="157"/>
      <c r="AL369" s="157"/>
      <c r="AM369" s="157"/>
    </row>
    <row r="370" spans="11:39" ht="15" customHeight="1" x14ac:dyDescent="0.25">
      <c r="K370" s="137" t="str">
        <f t="shared" si="65"/>
        <v/>
      </c>
      <c r="L370" s="127" t="str">
        <f t="shared" si="63"/>
        <v/>
      </c>
      <c r="AA370" s="130" t="str">
        <f t="shared" si="64"/>
        <v/>
      </c>
      <c r="AB370" s="131" t="str">
        <f t="array" ref="AB370">IF(AA370&lt;=$AA$2,MIN(IF($L$4:$L$503&lt;=AB369,99999999999,$L$4:$L$503)),"")</f>
        <v/>
      </c>
      <c r="AC370" s="130" t="str">
        <f>IF(ISNUMBER(AA370),IF(Dashboard!$H$6&lt;&gt;"Horizontal",AC369+dateDistance,AC369),"")</f>
        <v/>
      </c>
      <c r="AD370" s="130" t="str">
        <f>IF(ISNUMBER(AA370),IF(Dashboard!$H$6="Horizontal",AD369+dateDistance,AD369),"")</f>
        <v/>
      </c>
      <c r="AE370" s="155"/>
      <c r="AF370" s="154"/>
      <c r="AG370" s="154"/>
      <c r="AH370" s="154"/>
      <c r="AK370" s="157"/>
      <c r="AL370" s="157"/>
      <c r="AM370" s="157"/>
    </row>
    <row r="371" spans="11:39" ht="15" customHeight="1" x14ac:dyDescent="0.25">
      <c r="K371" s="137" t="str">
        <f t="shared" si="65"/>
        <v/>
      </c>
      <c r="L371" s="127" t="str">
        <f t="shared" si="63"/>
        <v/>
      </c>
      <c r="AA371" s="130" t="str">
        <f t="shared" si="64"/>
        <v/>
      </c>
      <c r="AB371" s="131" t="str">
        <f t="array" ref="AB371">IF(AA371&lt;=$AA$2,MIN(IF($L$4:$L$503&lt;=AB370,99999999999,$L$4:$L$503)),"")</f>
        <v/>
      </c>
      <c r="AC371" s="130" t="str">
        <f>IF(ISNUMBER(AA371),IF(Dashboard!$H$6&lt;&gt;"Horizontal",AC370+dateDistance,AC370),"")</f>
        <v/>
      </c>
      <c r="AD371" s="130" t="str">
        <f>IF(ISNUMBER(AA371),IF(Dashboard!$H$6="Horizontal",AD370+dateDistance,AD370),"")</f>
        <v/>
      </c>
      <c r="AE371" s="155"/>
      <c r="AF371" s="154"/>
      <c r="AG371" s="154"/>
      <c r="AH371" s="154"/>
      <c r="AK371" s="157"/>
      <c r="AL371" s="157"/>
      <c r="AM371" s="157"/>
    </row>
    <row r="372" spans="11:39" ht="15" customHeight="1" x14ac:dyDescent="0.25">
      <c r="K372" s="137" t="str">
        <f t="shared" si="65"/>
        <v/>
      </c>
      <c r="L372" s="127" t="str">
        <f t="shared" si="63"/>
        <v/>
      </c>
      <c r="AA372" s="130" t="str">
        <f t="shared" si="64"/>
        <v/>
      </c>
      <c r="AB372" s="131" t="str">
        <f t="array" ref="AB372">IF(AA372&lt;=$AA$2,MIN(IF($L$4:$L$503&lt;=AB371,99999999999,$L$4:$L$503)),"")</f>
        <v/>
      </c>
      <c r="AC372" s="130" t="str">
        <f>IF(ISNUMBER(AA372),IF(Dashboard!$H$6&lt;&gt;"Horizontal",AC371+dateDistance,AC371),"")</f>
        <v/>
      </c>
      <c r="AD372" s="130" t="str">
        <f>IF(ISNUMBER(AA372),IF(Dashboard!$H$6="Horizontal",AD371+dateDistance,AD371),"")</f>
        <v/>
      </c>
      <c r="AE372" s="155"/>
      <c r="AF372" s="154"/>
      <c r="AG372" s="154"/>
      <c r="AH372" s="154"/>
      <c r="AK372" s="157"/>
      <c r="AL372" s="157"/>
      <c r="AM372" s="157"/>
    </row>
    <row r="373" spans="11:39" ht="15" customHeight="1" x14ac:dyDescent="0.25">
      <c r="K373" s="137" t="str">
        <f t="shared" si="65"/>
        <v/>
      </c>
      <c r="L373" s="127" t="str">
        <f t="shared" si="63"/>
        <v/>
      </c>
      <c r="AA373" s="130" t="str">
        <f t="shared" si="64"/>
        <v/>
      </c>
      <c r="AB373" s="131" t="str">
        <f t="array" ref="AB373">IF(AA373&lt;=$AA$2,MIN(IF($L$4:$L$503&lt;=AB372,99999999999,$L$4:$L$503)),"")</f>
        <v/>
      </c>
      <c r="AC373" s="130" t="str">
        <f>IF(ISNUMBER(AA373),IF(Dashboard!$H$6&lt;&gt;"Horizontal",AC372+dateDistance,AC372),"")</f>
        <v/>
      </c>
      <c r="AD373" s="130" t="str">
        <f>IF(ISNUMBER(AA373),IF(Dashboard!$H$6="Horizontal",AD372+dateDistance,AD372),"")</f>
        <v/>
      </c>
      <c r="AE373" s="155"/>
      <c r="AF373" s="154"/>
      <c r="AG373" s="154"/>
      <c r="AH373" s="154"/>
      <c r="AK373" s="157"/>
      <c r="AL373" s="157"/>
      <c r="AM373" s="157"/>
    </row>
    <row r="374" spans="11:39" ht="15" customHeight="1" x14ac:dyDescent="0.25">
      <c r="K374" s="137" t="str">
        <f t="shared" si="65"/>
        <v/>
      </c>
      <c r="L374" s="127" t="str">
        <f t="shared" si="63"/>
        <v/>
      </c>
      <c r="AA374" s="130" t="str">
        <f t="shared" si="64"/>
        <v/>
      </c>
      <c r="AB374" s="131" t="str">
        <f t="array" ref="AB374">IF(AA374&lt;=$AA$2,MIN(IF($L$4:$L$503&lt;=AB373,99999999999,$L$4:$L$503)),"")</f>
        <v/>
      </c>
      <c r="AC374" s="130" t="str">
        <f>IF(ISNUMBER(AA374),IF(Dashboard!$H$6&lt;&gt;"Horizontal",AC373+dateDistance,AC373),"")</f>
        <v/>
      </c>
      <c r="AD374" s="130" t="str">
        <f>IF(ISNUMBER(AA374),IF(Dashboard!$H$6="Horizontal",AD373+dateDistance,AD373),"")</f>
        <v/>
      </c>
      <c r="AE374" s="155"/>
      <c r="AF374" s="154"/>
      <c r="AG374" s="154"/>
      <c r="AH374" s="154"/>
      <c r="AK374" s="157"/>
      <c r="AL374" s="157"/>
      <c r="AM374" s="157"/>
    </row>
    <row r="375" spans="11:39" ht="15" customHeight="1" x14ac:dyDescent="0.25">
      <c r="K375" s="137" t="str">
        <f t="shared" si="65"/>
        <v/>
      </c>
      <c r="L375" s="127" t="str">
        <f t="shared" si="63"/>
        <v/>
      </c>
      <c r="AA375" s="130" t="str">
        <f t="shared" si="64"/>
        <v/>
      </c>
      <c r="AB375" s="131" t="str">
        <f t="array" ref="AB375">IF(AA375&lt;=$AA$2,MIN(IF($L$4:$L$503&lt;=AB374,99999999999,$L$4:$L$503)),"")</f>
        <v/>
      </c>
      <c r="AC375" s="130" t="str">
        <f>IF(ISNUMBER(AA375),IF(Dashboard!$H$6&lt;&gt;"Horizontal",AC374+dateDistance,AC374),"")</f>
        <v/>
      </c>
      <c r="AD375" s="130" t="str">
        <f>IF(ISNUMBER(AA375),IF(Dashboard!$H$6="Horizontal",AD374+dateDistance,AD374),"")</f>
        <v/>
      </c>
      <c r="AE375" s="155"/>
      <c r="AF375" s="154"/>
      <c r="AG375" s="154"/>
      <c r="AH375" s="154"/>
      <c r="AK375" s="157"/>
      <c r="AL375" s="157"/>
      <c r="AM375" s="157"/>
    </row>
    <row r="376" spans="11:39" ht="15" customHeight="1" x14ac:dyDescent="0.25">
      <c r="K376" s="137" t="str">
        <f t="shared" si="65"/>
        <v/>
      </c>
      <c r="L376" s="127" t="str">
        <f t="shared" si="63"/>
        <v/>
      </c>
      <c r="AA376" s="130" t="str">
        <f t="shared" si="64"/>
        <v/>
      </c>
      <c r="AB376" s="131" t="str">
        <f t="array" ref="AB376">IF(AA376&lt;=$AA$2,MIN(IF($L$4:$L$503&lt;=AB375,99999999999,$L$4:$L$503)),"")</f>
        <v/>
      </c>
      <c r="AC376" s="130" t="str">
        <f>IF(ISNUMBER(AA376),IF(Dashboard!$H$6&lt;&gt;"Horizontal",AC375+dateDistance,AC375),"")</f>
        <v/>
      </c>
      <c r="AD376" s="130" t="str">
        <f>IF(ISNUMBER(AA376),IF(Dashboard!$H$6="Horizontal",AD375+dateDistance,AD375),"")</f>
        <v/>
      </c>
      <c r="AE376" s="155"/>
      <c r="AF376" s="154"/>
      <c r="AG376" s="154"/>
      <c r="AH376" s="154"/>
      <c r="AK376" s="157"/>
      <c r="AL376" s="157"/>
      <c r="AM376" s="157"/>
    </row>
    <row r="377" spans="11:39" ht="15" customHeight="1" x14ac:dyDescent="0.25">
      <c r="K377" s="137" t="str">
        <f t="shared" si="65"/>
        <v/>
      </c>
      <c r="L377" s="127" t="str">
        <f t="shared" si="63"/>
        <v/>
      </c>
      <c r="AA377" s="130" t="str">
        <f t="shared" si="64"/>
        <v/>
      </c>
      <c r="AB377" s="131" t="str">
        <f t="array" ref="AB377">IF(AA377&lt;=$AA$2,MIN(IF($L$4:$L$503&lt;=AB376,99999999999,$L$4:$L$503)),"")</f>
        <v/>
      </c>
      <c r="AC377" s="130" t="str">
        <f>IF(ISNUMBER(AA377),IF(Dashboard!$H$6&lt;&gt;"Horizontal",AC376+dateDistance,AC376),"")</f>
        <v/>
      </c>
      <c r="AD377" s="130" t="str">
        <f>IF(ISNUMBER(AA377),IF(Dashboard!$H$6="Horizontal",AD376+dateDistance,AD376),"")</f>
        <v/>
      </c>
      <c r="AE377" s="155"/>
      <c r="AF377" s="154"/>
      <c r="AG377" s="154"/>
      <c r="AH377" s="154"/>
      <c r="AK377" s="157"/>
      <c r="AL377" s="157"/>
      <c r="AM377" s="157"/>
    </row>
    <row r="378" spans="11:39" ht="15" customHeight="1" x14ac:dyDescent="0.25">
      <c r="K378" s="137" t="str">
        <f t="shared" si="65"/>
        <v/>
      </c>
      <c r="L378" s="127" t="str">
        <f t="shared" si="63"/>
        <v/>
      </c>
      <c r="AA378" s="130" t="str">
        <f t="shared" si="64"/>
        <v/>
      </c>
      <c r="AB378" s="131" t="str">
        <f t="array" ref="AB378">IF(AA378&lt;=$AA$2,MIN(IF($L$4:$L$503&lt;=AB377,99999999999,$L$4:$L$503)),"")</f>
        <v/>
      </c>
      <c r="AC378" s="130" t="str">
        <f>IF(ISNUMBER(AA378),IF(Dashboard!$H$6&lt;&gt;"Horizontal",AC377+dateDistance,AC377),"")</f>
        <v/>
      </c>
      <c r="AD378" s="130" t="str">
        <f>IF(ISNUMBER(AA378),IF(Dashboard!$H$6="Horizontal",AD377+dateDistance,AD377),"")</f>
        <v/>
      </c>
      <c r="AE378" s="155"/>
      <c r="AF378" s="154"/>
      <c r="AG378" s="154"/>
      <c r="AH378" s="154"/>
      <c r="AK378" s="157"/>
      <c r="AL378" s="157"/>
      <c r="AM378" s="157"/>
    </row>
    <row r="379" spans="11:39" ht="15" customHeight="1" x14ac:dyDescent="0.25">
      <c r="K379" s="137" t="str">
        <f t="shared" si="65"/>
        <v/>
      </c>
      <c r="L379" s="127" t="str">
        <f t="shared" si="63"/>
        <v/>
      </c>
      <c r="AA379" s="130" t="str">
        <f t="shared" si="64"/>
        <v/>
      </c>
      <c r="AB379" s="131" t="str">
        <f t="array" ref="AB379">IF(AA379&lt;=$AA$2,MIN(IF($L$4:$L$503&lt;=AB378,99999999999,$L$4:$L$503)),"")</f>
        <v/>
      </c>
      <c r="AC379" s="130" t="str">
        <f>IF(ISNUMBER(AA379),IF(Dashboard!$H$6&lt;&gt;"Horizontal",AC378+dateDistance,AC378),"")</f>
        <v/>
      </c>
      <c r="AD379" s="130" t="str">
        <f>IF(ISNUMBER(AA379),IF(Dashboard!$H$6="Horizontal",AD378+dateDistance,AD378),"")</f>
        <v/>
      </c>
      <c r="AE379" s="155"/>
      <c r="AF379" s="154"/>
      <c r="AG379" s="154"/>
      <c r="AH379" s="154"/>
      <c r="AK379" s="157"/>
      <c r="AL379" s="157"/>
      <c r="AM379" s="157"/>
    </row>
    <row r="380" spans="11:39" ht="15" customHeight="1" x14ac:dyDescent="0.25">
      <c r="K380" s="137" t="str">
        <f t="shared" si="65"/>
        <v/>
      </c>
      <c r="L380" s="127" t="str">
        <f t="shared" si="63"/>
        <v/>
      </c>
      <c r="AA380" s="130" t="str">
        <f t="shared" si="64"/>
        <v/>
      </c>
      <c r="AB380" s="131" t="str">
        <f t="array" ref="AB380">IF(AA380&lt;=$AA$2,MIN(IF($L$4:$L$503&lt;=AB379,99999999999,$L$4:$L$503)),"")</f>
        <v/>
      </c>
      <c r="AC380" s="130" t="str">
        <f>IF(ISNUMBER(AA380),IF(Dashboard!$H$6&lt;&gt;"Horizontal",AC379+dateDistance,AC379),"")</f>
        <v/>
      </c>
      <c r="AD380" s="130" t="str">
        <f>IF(ISNUMBER(AA380),IF(Dashboard!$H$6="Horizontal",AD379+dateDistance,AD379),"")</f>
        <v/>
      </c>
      <c r="AE380" s="155"/>
      <c r="AF380" s="154"/>
      <c r="AG380" s="154"/>
      <c r="AH380" s="154"/>
      <c r="AK380" s="157"/>
      <c r="AL380" s="157"/>
      <c r="AM380" s="157"/>
    </row>
    <row r="381" spans="11:39" ht="15" customHeight="1" x14ac:dyDescent="0.25">
      <c r="K381" s="137" t="str">
        <f t="shared" si="65"/>
        <v/>
      </c>
      <c r="L381" s="127" t="str">
        <f t="shared" si="63"/>
        <v/>
      </c>
      <c r="AA381" s="130" t="str">
        <f t="shared" si="64"/>
        <v/>
      </c>
      <c r="AB381" s="131" t="str">
        <f t="array" ref="AB381">IF(AA381&lt;=$AA$2,MIN(IF($L$4:$L$503&lt;=AB380,99999999999,$L$4:$L$503)),"")</f>
        <v/>
      </c>
      <c r="AC381" s="130" t="str">
        <f>IF(ISNUMBER(AA381),IF(Dashboard!$H$6&lt;&gt;"Horizontal",AC380+dateDistance,AC380),"")</f>
        <v/>
      </c>
      <c r="AD381" s="130" t="str">
        <f>IF(ISNUMBER(AA381),IF(Dashboard!$H$6="Horizontal",AD380+dateDistance,AD380),"")</f>
        <v/>
      </c>
      <c r="AE381" s="155"/>
      <c r="AF381" s="154"/>
      <c r="AG381" s="154"/>
      <c r="AH381" s="154"/>
      <c r="AK381" s="157"/>
      <c r="AL381" s="157"/>
      <c r="AM381" s="157"/>
    </row>
    <row r="382" spans="11:39" ht="15" customHeight="1" x14ac:dyDescent="0.25">
      <c r="K382" s="137" t="str">
        <f t="shared" si="65"/>
        <v/>
      </c>
      <c r="L382" s="127" t="str">
        <f t="shared" si="63"/>
        <v/>
      </c>
      <c r="AA382" s="130" t="str">
        <f t="shared" si="64"/>
        <v/>
      </c>
      <c r="AB382" s="131" t="str">
        <f t="array" ref="AB382">IF(AA382&lt;=$AA$2,MIN(IF($L$4:$L$503&lt;=AB381,99999999999,$L$4:$L$503)),"")</f>
        <v/>
      </c>
      <c r="AC382" s="130" t="str">
        <f>IF(ISNUMBER(AA382),IF(Dashboard!$H$6&lt;&gt;"Horizontal",AC381+dateDistance,AC381),"")</f>
        <v/>
      </c>
      <c r="AD382" s="130" t="str">
        <f>IF(ISNUMBER(AA382),IF(Dashboard!$H$6="Horizontal",AD381+dateDistance,AD381),"")</f>
        <v/>
      </c>
      <c r="AE382" s="155"/>
      <c r="AF382" s="154"/>
      <c r="AG382" s="154"/>
      <c r="AH382" s="154"/>
      <c r="AK382" s="157"/>
      <c r="AL382" s="157"/>
      <c r="AM382" s="157"/>
    </row>
    <row r="383" spans="11:39" ht="15" customHeight="1" x14ac:dyDescent="0.25">
      <c r="K383" s="137" t="str">
        <f t="shared" si="65"/>
        <v/>
      </c>
      <c r="L383" s="127" t="str">
        <f t="shared" si="63"/>
        <v/>
      </c>
      <c r="AA383" s="130" t="str">
        <f t="shared" si="64"/>
        <v/>
      </c>
      <c r="AB383" s="131" t="str">
        <f t="array" ref="AB383">IF(AA383&lt;=$AA$2,MIN(IF($L$4:$L$503&lt;=AB382,99999999999,$L$4:$L$503)),"")</f>
        <v/>
      </c>
      <c r="AC383" s="130" t="str">
        <f>IF(ISNUMBER(AA383),IF(Dashboard!$H$6&lt;&gt;"Horizontal",AC382+dateDistance,AC382),"")</f>
        <v/>
      </c>
      <c r="AD383" s="130" t="str">
        <f>IF(ISNUMBER(AA383),IF(Dashboard!$H$6="Horizontal",AD382+dateDistance,AD382),"")</f>
        <v/>
      </c>
      <c r="AE383" s="155"/>
      <c r="AF383" s="154"/>
      <c r="AG383" s="154"/>
      <c r="AH383" s="154"/>
      <c r="AK383" s="157"/>
      <c r="AL383" s="157"/>
      <c r="AM383" s="157"/>
    </row>
    <row r="384" spans="11:39" ht="15" customHeight="1" x14ac:dyDescent="0.25">
      <c r="K384" s="137" t="str">
        <f t="shared" si="65"/>
        <v/>
      </c>
      <c r="L384" s="127" t="str">
        <f t="shared" si="63"/>
        <v/>
      </c>
      <c r="AA384" s="130" t="str">
        <f t="shared" si="64"/>
        <v/>
      </c>
      <c r="AB384" s="131" t="str">
        <f t="array" ref="AB384">IF(AA384&lt;=$AA$2,MIN(IF($L$4:$L$503&lt;=AB383,99999999999,$L$4:$L$503)),"")</f>
        <v/>
      </c>
      <c r="AC384" s="130" t="str">
        <f>IF(ISNUMBER(AA384),IF(Dashboard!$H$6&lt;&gt;"Horizontal",AC383+dateDistance,AC383),"")</f>
        <v/>
      </c>
      <c r="AD384" s="130" t="str">
        <f>IF(ISNUMBER(AA384),IF(Dashboard!$H$6="Horizontal",AD383+dateDistance,AD383),"")</f>
        <v/>
      </c>
      <c r="AE384" s="155"/>
      <c r="AF384" s="154"/>
      <c r="AG384" s="154"/>
      <c r="AH384" s="154"/>
      <c r="AK384" s="157"/>
      <c r="AL384" s="157"/>
      <c r="AM384" s="157"/>
    </row>
    <row r="385" spans="11:39" ht="15" customHeight="1" x14ac:dyDescent="0.25">
      <c r="K385" s="137" t="str">
        <f t="shared" si="65"/>
        <v/>
      </c>
      <c r="L385" s="127" t="str">
        <f t="shared" si="63"/>
        <v/>
      </c>
      <c r="AA385" s="130" t="str">
        <f t="shared" si="64"/>
        <v/>
      </c>
      <c r="AB385" s="131" t="str">
        <f t="array" ref="AB385">IF(AA385&lt;=$AA$2,MIN(IF($L$4:$L$503&lt;=AB384,99999999999,$L$4:$L$503)),"")</f>
        <v/>
      </c>
      <c r="AC385" s="130" t="str">
        <f>IF(ISNUMBER(AA385),IF(Dashboard!$H$6&lt;&gt;"Horizontal",AC384+dateDistance,AC384),"")</f>
        <v/>
      </c>
      <c r="AD385" s="130" t="str">
        <f>IF(ISNUMBER(AA385),IF(Dashboard!$H$6="Horizontal",AD384+dateDistance,AD384),"")</f>
        <v/>
      </c>
      <c r="AE385" s="155"/>
      <c r="AF385" s="154"/>
      <c r="AG385" s="154"/>
      <c r="AH385" s="154"/>
      <c r="AK385" s="157"/>
      <c r="AL385" s="157"/>
      <c r="AM385" s="157"/>
    </row>
    <row r="386" spans="11:39" ht="15" customHeight="1" x14ac:dyDescent="0.25">
      <c r="K386" s="137" t="str">
        <f t="shared" si="65"/>
        <v/>
      </c>
      <c r="L386" s="127" t="str">
        <f t="shared" si="63"/>
        <v/>
      </c>
      <c r="AA386" s="130" t="str">
        <f t="shared" si="64"/>
        <v/>
      </c>
      <c r="AB386" s="131" t="str">
        <f t="array" ref="AB386">IF(AA386&lt;=$AA$2,MIN(IF($L$4:$L$503&lt;=AB385,99999999999,$L$4:$L$503)),"")</f>
        <v/>
      </c>
      <c r="AC386" s="130" t="str">
        <f>IF(ISNUMBER(AA386),IF(Dashboard!$H$6&lt;&gt;"Horizontal",AC385+dateDistance,AC385),"")</f>
        <v/>
      </c>
      <c r="AD386" s="130" t="str">
        <f>IF(ISNUMBER(AA386),IF(Dashboard!$H$6="Horizontal",AD385+dateDistance,AD385),"")</f>
        <v/>
      </c>
      <c r="AE386" s="155"/>
      <c r="AF386" s="154"/>
      <c r="AG386" s="154"/>
      <c r="AH386" s="154"/>
      <c r="AK386" s="157"/>
      <c r="AL386" s="157"/>
      <c r="AM386" s="157"/>
    </row>
    <row r="387" spans="11:39" ht="15" customHeight="1" x14ac:dyDescent="0.25">
      <c r="K387" s="137" t="str">
        <f t="shared" si="65"/>
        <v/>
      </c>
      <c r="L387" s="127" t="str">
        <f t="shared" si="63"/>
        <v/>
      </c>
      <c r="AA387" s="130" t="str">
        <f t="shared" si="64"/>
        <v/>
      </c>
      <c r="AB387" s="131" t="str">
        <f t="array" ref="AB387">IF(AA387&lt;=$AA$2,MIN(IF($L$4:$L$503&lt;=AB386,99999999999,$L$4:$L$503)),"")</f>
        <v/>
      </c>
      <c r="AC387" s="130" t="str">
        <f>IF(ISNUMBER(AA387),IF(Dashboard!$H$6&lt;&gt;"Horizontal",AC386+dateDistance,AC386),"")</f>
        <v/>
      </c>
      <c r="AD387" s="130" t="str">
        <f>IF(ISNUMBER(AA387),IF(Dashboard!$H$6="Horizontal",AD386+dateDistance,AD386),"")</f>
        <v/>
      </c>
      <c r="AE387" s="155"/>
      <c r="AF387" s="154"/>
      <c r="AG387" s="154"/>
      <c r="AH387" s="154"/>
      <c r="AK387" s="157"/>
      <c r="AL387" s="157"/>
      <c r="AM387" s="157"/>
    </row>
    <row r="388" spans="11:39" ht="15" customHeight="1" x14ac:dyDescent="0.25">
      <c r="K388" s="137" t="str">
        <f t="shared" si="65"/>
        <v/>
      </c>
      <c r="L388" s="127" t="str">
        <f t="shared" ref="L388:L451" si="66">IFERROR(IF(K388&lt;=$G$2,SMALL($G$4:$G$253,K388),SMALL($H$4:$H$253,K388-$G$2)),"")</f>
        <v/>
      </c>
      <c r="AA388" s="130" t="str">
        <f t="shared" ref="AA388:AA451" si="67">IFERROR(IF(AA387+1&gt;$AA$2,"",AA387+1),"")</f>
        <v/>
      </c>
      <c r="AB388" s="131" t="str">
        <f t="array" ref="AB388">IF(AA388&lt;=$AA$2,MIN(IF($L$4:$L$503&lt;=AB387,99999999999,$L$4:$L$503)),"")</f>
        <v/>
      </c>
      <c r="AC388" s="130" t="str">
        <f>IF(ISNUMBER(AA388),IF(Dashboard!$H$6&lt;&gt;"Horizontal",AC387+dateDistance,AC387),"")</f>
        <v/>
      </c>
      <c r="AD388" s="130" t="str">
        <f>IF(ISNUMBER(AA388),IF(Dashboard!$H$6="Horizontal",AD387+dateDistance,AD387),"")</f>
        <v/>
      </c>
      <c r="AE388" s="155"/>
      <c r="AF388" s="154"/>
      <c r="AG388" s="154"/>
      <c r="AH388" s="154"/>
      <c r="AK388" s="157"/>
      <c r="AL388" s="157"/>
      <c r="AM388" s="157"/>
    </row>
    <row r="389" spans="11:39" ht="15" customHeight="1" x14ac:dyDescent="0.25">
      <c r="K389" s="137" t="str">
        <f t="shared" ref="K389:K452" si="68">IFERROR(IF(K388+1&gt;$G$2+$H$2,"",K388+1),"")</f>
        <v/>
      </c>
      <c r="L389" s="127" t="str">
        <f t="shared" si="66"/>
        <v/>
      </c>
      <c r="AA389" s="130" t="str">
        <f t="shared" si="67"/>
        <v/>
      </c>
      <c r="AB389" s="131" t="str">
        <f t="array" ref="AB389">IF(AA389&lt;=$AA$2,MIN(IF($L$4:$L$503&lt;=AB388,99999999999,$L$4:$L$503)),"")</f>
        <v/>
      </c>
      <c r="AC389" s="130" t="str">
        <f>IF(ISNUMBER(AA389),IF(Dashboard!$H$6&lt;&gt;"Horizontal",AC388+dateDistance,AC388),"")</f>
        <v/>
      </c>
      <c r="AD389" s="130" t="str">
        <f>IF(ISNUMBER(AA389),IF(Dashboard!$H$6="Horizontal",AD388+dateDistance,AD388),"")</f>
        <v/>
      </c>
      <c r="AE389" s="155"/>
      <c r="AF389" s="154"/>
      <c r="AG389" s="154"/>
      <c r="AH389" s="154"/>
      <c r="AK389" s="157"/>
      <c r="AL389" s="157"/>
      <c r="AM389" s="157"/>
    </row>
    <row r="390" spans="11:39" ht="15" customHeight="1" x14ac:dyDescent="0.25">
      <c r="K390" s="137" t="str">
        <f t="shared" si="68"/>
        <v/>
      </c>
      <c r="L390" s="127" t="str">
        <f t="shared" si="66"/>
        <v/>
      </c>
      <c r="AA390" s="130" t="str">
        <f t="shared" si="67"/>
        <v/>
      </c>
      <c r="AB390" s="131" t="str">
        <f t="array" ref="AB390">IF(AA390&lt;=$AA$2,MIN(IF($L$4:$L$503&lt;=AB389,99999999999,$L$4:$L$503)),"")</f>
        <v/>
      </c>
      <c r="AC390" s="130" t="str">
        <f>IF(ISNUMBER(AA390),IF(Dashboard!$H$6&lt;&gt;"Horizontal",AC389+dateDistance,AC389),"")</f>
        <v/>
      </c>
      <c r="AD390" s="130" t="str">
        <f>IF(ISNUMBER(AA390),IF(Dashboard!$H$6="Horizontal",AD389+dateDistance,AD389),"")</f>
        <v/>
      </c>
      <c r="AE390" s="155"/>
      <c r="AF390" s="154"/>
      <c r="AG390" s="154"/>
      <c r="AH390" s="154"/>
      <c r="AK390" s="157"/>
      <c r="AL390" s="157"/>
      <c r="AM390" s="157"/>
    </row>
    <row r="391" spans="11:39" ht="15" customHeight="1" x14ac:dyDescent="0.25">
      <c r="K391" s="137" t="str">
        <f t="shared" si="68"/>
        <v/>
      </c>
      <c r="L391" s="127" t="str">
        <f t="shared" si="66"/>
        <v/>
      </c>
      <c r="AA391" s="130" t="str">
        <f t="shared" si="67"/>
        <v/>
      </c>
      <c r="AB391" s="131" t="str">
        <f t="array" ref="AB391">IF(AA391&lt;=$AA$2,MIN(IF($L$4:$L$503&lt;=AB390,99999999999,$L$4:$L$503)),"")</f>
        <v/>
      </c>
      <c r="AC391" s="130" t="str">
        <f>IF(ISNUMBER(AA391),IF(Dashboard!$H$6&lt;&gt;"Horizontal",AC390+dateDistance,AC390),"")</f>
        <v/>
      </c>
      <c r="AD391" s="130" t="str">
        <f>IF(ISNUMBER(AA391),IF(Dashboard!$H$6="Horizontal",AD390+dateDistance,AD390),"")</f>
        <v/>
      </c>
      <c r="AE391" s="155"/>
      <c r="AF391" s="154"/>
      <c r="AG391" s="154"/>
      <c r="AH391" s="154"/>
      <c r="AK391" s="157"/>
      <c r="AL391" s="157"/>
      <c r="AM391" s="157"/>
    </row>
    <row r="392" spans="11:39" ht="15" customHeight="1" x14ac:dyDescent="0.25">
      <c r="K392" s="137" t="str">
        <f t="shared" si="68"/>
        <v/>
      </c>
      <c r="L392" s="127" t="str">
        <f t="shared" si="66"/>
        <v/>
      </c>
      <c r="AA392" s="130" t="str">
        <f t="shared" si="67"/>
        <v/>
      </c>
      <c r="AB392" s="131" t="str">
        <f t="array" ref="AB392">IF(AA392&lt;=$AA$2,MIN(IF($L$4:$L$503&lt;=AB391,99999999999,$L$4:$L$503)),"")</f>
        <v/>
      </c>
      <c r="AC392" s="130" t="str">
        <f>IF(ISNUMBER(AA392),IF(Dashboard!$H$6&lt;&gt;"Horizontal",AC391+dateDistance,AC391),"")</f>
        <v/>
      </c>
      <c r="AD392" s="130" t="str">
        <f>IF(ISNUMBER(AA392),IF(Dashboard!$H$6="Horizontal",AD391+dateDistance,AD391),"")</f>
        <v/>
      </c>
      <c r="AE392" s="155"/>
      <c r="AF392" s="154"/>
      <c r="AG392" s="154"/>
      <c r="AH392" s="154"/>
      <c r="AK392" s="157"/>
      <c r="AL392" s="157"/>
      <c r="AM392" s="157"/>
    </row>
    <row r="393" spans="11:39" ht="15" customHeight="1" x14ac:dyDescent="0.25">
      <c r="K393" s="137" t="str">
        <f t="shared" si="68"/>
        <v/>
      </c>
      <c r="L393" s="127" t="str">
        <f t="shared" si="66"/>
        <v/>
      </c>
      <c r="AA393" s="130" t="str">
        <f t="shared" si="67"/>
        <v/>
      </c>
      <c r="AB393" s="131" t="str">
        <f t="array" ref="AB393">IF(AA393&lt;=$AA$2,MIN(IF($L$4:$L$503&lt;=AB392,99999999999,$L$4:$L$503)),"")</f>
        <v/>
      </c>
      <c r="AC393" s="130" t="str">
        <f>IF(ISNUMBER(AA393),IF(Dashboard!$H$6&lt;&gt;"Horizontal",AC392+dateDistance,AC392),"")</f>
        <v/>
      </c>
      <c r="AD393" s="130" t="str">
        <f>IF(ISNUMBER(AA393),IF(Dashboard!$H$6="Horizontal",AD392+dateDistance,AD392),"")</f>
        <v/>
      </c>
      <c r="AE393" s="155"/>
      <c r="AF393" s="154"/>
      <c r="AG393" s="154"/>
      <c r="AH393" s="154"/>
      <c r="AK393" s="157"/>
      <c r="AL393" s="157"/>
      <c r="AM393" s="157"/>
    </row>
    <row r="394" spans="11:39" ht="15" customHeight="1" x14ac:dyDescent="0.25">
      <c r="K394" s="137" t="str">
        <f t="shared" si="68"/>
        <v/>
      </c>
      <c r="L394" s="127" t="str">
        <f t="shared" si="66"/>
        <v/>
      </c>
      <c r="AA394" s="130" t="str">
        <f t="shared" si="67"/>
        <v/>
      </c>
      <c r="AB394" s="131" t="str">
        <f t="array" ref="AB394">IF(AA394&lt;=$AA$2,MIN(IF($L$4:$L$503&lt;=AB393,99999999999,$L$4:$L$503)),"")</f>
        <v/>
      </c>
      <c r="AC394" s="130" t="str">
        <f>IF(ISNUMBER(AA394),IF(Dashboard!$H$6&lt;&gt;"Horizontal",AC393+dateDistance,AC393),"")</f>
        <v/>
      </c>
      <c r="AD394" s="130" t="str">
        <f>IF(ISNUMBER(AA394),IF(Dashboard!$H$6="Horizontal",AD393+dateDistance,AD393),"")</f>
        <v/>
      </c>
      <c r="AE394" s="155"/>
      <c r="AF394" s="154"/>
      <c r="AG394" s="154"/>
      <c r="AH394" s="154"/>
      <c r="AK394" s="157"/>
      <c r="AL394" s="157"/>
      <c r="AM394" s="157"/>
    </row>
    <row r="395" spans="11:39" ht="15" customHeight="1" x14ac:dyDescent="0.25">
      <c r="K395" s="137" t="str">
        <f t="shared" si="68"/>
        <v/>
      </c>
      <c r="L395" s="127" t="str">
        <f t="shared" si="66"/>
        <v/>
      </c>
      <c r="AA395" s="130" t="str">
        <f t="shared" si="67"/>
        <v/>
      </c>
      <c r="AB395" s="131" t="str">
        <f t="array" ref="AB395">IF(AA395&lt;=$AA$2,MIN(IF($L$4:$L$503&lt;=AB394,99999999999,$L$4:$L$503)),"")</f>
        <v/>
      </c>
      <c r="AC395" s="130" t="str">
        <f>IF(ISNUMBER(AA395),IF(Dashboard!$H$6&lt;&gt;"Horizontal",AC394+dateDistance,AC394),"")</f>
        <v/>
      </c>
      <c r="AD395" s="130" t="str">
        <f>IF(ISNUMBER(AA395),IF(Dashboard!$H$6="Horizontal",AD394+dateDistance,AD394),"")</f>
        <v/>
      </c>
      <c r="AE395" s="155"/>
      <c r="AF395" s="154"/>
      <c r="AG395" s="154"/>
      <c r="AH395" s="154"/>
      <c r="AK395" s="157"/>
      <c r="AL395" s="157"/>
      <c r="AM395" s="157"/>
    </row>
    <row r="396" spans="11:39" ht="15" customHeight="1" x14ac:dyDescent="0.25">
      <c r="K396" s="137" t="str">
        <f t="shared" si="68"/>
        <v/>
      </c>
      <c r="L396" s="127" t="str">
        <f t="shared" si="66"/>
        <v/>
      </c>
      <c r="AA396" s="130" t="str">
        <f t="shared" si="67"/>
        <v/>
      </c>
      <c r="AB396" s="131" t="str">
        <f t="array" ref="AB396">IF(AA396&lt;=$AA$2,MIN(IF($L$4:$L$503&lt;=AB395,99999999999,$L$4:$L$503)),"")</f>
        <v/>
      </c>
      <c r="AC396" s="130" t="str">
        <f>IF(ISNUMBER(AA396),IF(Dashboard!$H$6&lt;&gt;"Horizontal",AC395+dateDistance,AC395),"")</f>
        <v/>
      </c>
      <c r="AD396" s="130" t="str">
        <f>IF(ISNUMBER(AA396),IF(Dashboard!$H$6="Horizontal",AD395+dateDistance,AD395),"")</f>
        <v/>
      </c>
      <c r="AE396" s="155"/>
      <c r="AF396" s="154"/>
      <c r="AG396" s="154"/>
      <c r="AH396" s="154"/>
      <c r="AK396" s="157"/>
      <c r="AL396" s="157"/>
      <c r="AM396" s="157"/>
    </row>
    <row r="397" spans="11:39" ht="15" customHeight="1" x14ac:dyDescent="0.25">
      <c r="K397" s="137" t="str">
        <f t="shared" si="68"/>
        <v/>
      </c>
      <c r="L397" s="127" t="str">
        <f t="shared" si="66"/>
        <v/>
      </c>
      <c r="AA397" s="130" t="str">
        <f t="shared" si="67"/>
        <v/>
      </c>
      <c r="AB397" s="131" t="str">
        <f t="array" ref="AB397">IF(AA397&lt;=$AA$2,MIN(IF($L$4:$L$503&lt;=AB396,99999999999,$L$4:$L$503)),"")</f>
        <v/>
      </c>
      <c r="AC397" s="130" t="str">
        <f>IF(ISNUMBER(AA397),IF(Dashboard!$H$6&lt;&gt;"Horizontal",AC396+dateDistance,AC396),"")</f>
        <v/>
      </c>
      <c r="AD397" s="130" t="str">
        <f>IF(ISNUMBER(AA397),IF(Dashboard!$H$6="Horizontal",AD396+dateDistance,AD396),"")</f>
        <v/>
      </c>
      <c r="AE397" s="155"/>
      <c r="AF397" s="154"/>
      <c r="AG397" s="154"/>
      <c r="AH397" s="154"/>
      <c r="AK397" s="157"/>
      <c r="AL397" s="157"/>
      <c r="AM397" s="157"/>
    </row>
    <row r="398" spans="11:39" ht="15" customHeight="1" x14ac:dyDescent="0.25">
      <c r="K398" s="137" t="str">
        <f t="shared" si="68"/>
        <v/>
      </c>
      <c r="L398" s="127" t="str">
        <f t="shared" si="66"/>
        <v/>
      </c>
      <c r="AA398" s="130" t="str">
        <f t="shared" si="67"/>
        <v/>
      </c>
      <c r="AB398" s="131" t="str">
        <f t="array" ref="AB398">IF(AA398&lt;=$AA$2,MIN(IF($L$4:$L$503&lt;=AB397,99999999999,$L$4:$L$503)),"")</f>
        <v/>
      </c>
      <c r="AC398" s="130" t="str">
        <f>IF(ISNUMBER(AA398),IF(Dashboard!$H$6&lt;&gt;"Horizontal",AC397+dateDistance,AC397),"")</f>
        <v/>
      </c>
      <c r="AD398" s="130" t="str">
        <f>IF(ISNUMBER(AA398),IF(Dashboard!$H$6="Horizontal",AD397+dateDistance,AD397),"")</f>
        <v/>
      </c>
      <c r="AE398" s="155"/>
      <c r="AF398" s="154"/>
      <c r="AG398" s="154"/>
      <c r="AH398" s="154"/>
      <c r="AK398" s="157"/>
      <c r="AL398" s="157"/>
      <c r="AM398" s="157"/>
    </row>
    <row r="399" spans="11:39" ht="15" customHeight="1" x14ac:dyDescent="0.25">
      <c r="K399" s="137" t="str">
        <f t="shared" si="68"/>
        <v/>
      </c>
      <c r="L399" s="127" t="str">
        <f t="shared" si="66"/>
        <v/>
      </c>
      <c r="AA399" s="130" t="str">
        <f t="shared" si="67"/>
        <v/>
      </c>
      <c r="AB399" s="131" t="str">
        <f t="array" ref="AB399">IF(AA399&lt;=$AA$2,MIN(IF($L$4:$L$503&lt;=AB398,99999999999,$L$4:$L$503)),"")</f>
        <v/>
      </c>
      <c r="AC399" s="130" t="str">
        <f>IF(ISNUMBER(AA399),IF(Dashboard!$H$6&lt;&gt;"Horizontal",AC398+dateDistance,AC398),"")</f>
        <v/>
      </c>
      <c r="AD399" s="130" t="str">
        <f>IF(ISNUMBER(AA399),IF(Dashboard!$H$6="Horizontal",AD398+dateDistance,AD398),"")</f>
        <v/>
      </c>
      <c r="AE399" s="155"/>
      <c r="AF399" s="154"/>
      <c r="AG399" s="154"/>
      <c r="AH399" s="154"/>
      <c r="AK399" s="157"/>
      <c r="AL399" s="157"/>
      <c r="AM399" s="157"/>
    </row>
    <row r="400" spans="11:39" ht="15" customHeight="1" x14ac:dyDescent="0.25">
      <c r="K400" s="137" t="str">
        <f t="shared" si="68"/>
        <v/>
      </c>
      <c r="L400" s="127" t="str">
        <f t="shared" si="66"/>
        <v/>
      </c>
      <c r="AA400" s="130" t="str">
        <f t="shared" si="67"/>
        <v/>
      </c>
      <c r="AB400" s="131" t="str">
        <f t="array" ref="AB400">IF(AA400&lt;=$AA$2,MIN(IF($L$4:$L$503&lt;=AB399,99999999999,$L$4:$L$503)),"")</f>
        <v/>
      </c>
      <c r="AC400" s="130" t="str">
        <f>IF(ISNUMBER(AA400),IF(Dashboard!$H$6&lt;&gt;"Horizontal",AC399+dateDistance,AC399),"")</f>
        <v/>
      </c>
      <c r="AD400" s="130" t="str">
        <f>IF(ISNUMBER(AA400),IF(Dashboard!$H$6="Horizontal",AD399+dateDistance,AD399),"")</f>
        <v/>
      </c>
      <c r="AE400" s="155"/>
      <c r="AF400" s="154"/>
      <c r="AG400" s="154"/>
      <c r="AH400" s="154"/>
      <c r="AK400" s="157"/>
      <c r="AL400" s="157"/>
      <c r="AM400" s="157"/>
    </row>
    <row r="401" spans="11:39" ht="15" customHeight="1" x14ac:dyDescent="0.25">
      <c r="K401" s="137" t="str">
        <f t="shared" si="68"/>
        <v/>
      </c>
      <c r="L401" s="127" t="str">
        <f t="shared" si="66"/>
        <v/>
      </c>
      <c r="AA401" s="130" t="str">
        <f t="shared" si="67"/>
        <v/>
      </c>
      <c r="AB401" s="131" t="str">
        <f t="array" ref="AB401">IF(AA401&lt;=$AA$2,MIN(IF($L$4:$L$503&lt;=AB400,99999999999,$L$4:$L$503)),"")</f>
        <v/>
      </c>
      <c r="AC401" s="130" t="str">
        <f>IF(ISNUMBER(AA401),IF(Dashboard!$H$6&lt;&gt;"Horizontal",AC400+dateDistance,AC400),"")</f>
        <v/>
      </c>
      <c r="AD401" s="130" t="str">
        <f>IF(ISNUMBER(AA401),IF(Dashboard!$H$6="Horizontal",AD400+dateDistance,AD400),"")</f>
        <v/>
      </c>
      <c r="AE401" s="155"/>
      <c r="AF401" s="154"/>
      <c r="AG401" s="154"/>
      <c r="AH401" s="154"/>
      <c r="AK401" s="157"/>
      <c r="AL401" s="157"/>
      <c r="AM401" s="157"/>
    </row>
    <row r="402" spans="11:39" ht="15" customHeight="1" x14ac:dyDescent="0.25">
      <c r="K402" s="137" t="str">
        <f t="shared" si="68"/>
        <v/>
      </c>
      <c r="L402" s="127" t="str">
        <f t="shared" si="66"/>
        <v/>
      </c>
      <c r="AA402" s="130" t="str">
        <f t="shared" si="67"/>
        <v/>
      </c>
      <c r="AB402" s="131" t="str">
        <f t="array" ref="AB402">IF(AA402&lt;=$AA$2,MIN(IF($L$4:$L$503&lt;=AB401,99999999999,$L$4:$L$503)),"")</f>
        <v/>
      </c>
      <c r="AC402" s="130" t="str">
        <f>IF(ISNUMBER(AA402),IF(Dashboard!$H$6&lt;&gt;"Horizontal",AC401+dateDistance,AC401),"")</f>
        <v/>
      </c>
      <c r="AD402" s="130" t="str">
        <f>IF(ISNUMBER(AA402),IF(Dashboard!$H$6="Horizontal",AD401+dateDistance,AD401),"")</f>
        <v/>
      </c>
      <c r="AE402" s="155"/>
      <c r="AF402" s="154"/>
      <c r="AG402" s="154"/>
      <c r="AH402" s="154"/>
      <c r="AK402" s="157"/>
      <c r="AL402" s="157"/>
      <c r="AM402" s="157"/>
    </row>
    <row r="403" spans="11:39" ht="15" customHeight="1" x14ac:dyDescent="0.25">
      <c r="K403" s="137" t="str">
        <f t="shared" si="68"/>
        <v/>
      </c>
      <c r="L403" s="127" t="str">
        <f t="shared" si="66"/>
        <v/>
      </c>
      <c r="AA403" s="130" t="str">
        <f t="shared" si="67"/>
        <v/>
      </c>
      <c r="AB403" s="131" t="str">
        <f t="array" ref="AB403">IF(AA403&lt;=$AA$2,MIN(IF($L$4:$L$503&lt;=AB402,99999999999,$L$4:$L$503)),"")</f>
        <v/>
      </c>
      <c r="AC403" s="130" t="str">
        <f>IF(ISNUMBER(AA403),IF(Dashboard!$H$6&lt;&gt;"Horizontal",AC402+dateDistance,AC402),"")</f>
        <v/>
      </c>
      <c r="AD403" s="130" t="str">
        <f>IF(ISNUMBER(AA403),IF(Dashboard!$H$6="Horizontal",AD402+dateDistance,AD402),"")</f>
        <v/>
      </c>
      <c r="AE403" s="155"/>
      <c r="AF403" s="154"/>
      <c r="AG403" s="154"/>
      <c r="AH403" s="154"/>
      <c r="AK403" s="157"/>
      <c r="AL403" s="157"/>
      <c r="AM403" s="157"/>
    </row>
    <row r="404" spans="11:39" ht="15" customHeight="1" x14ac:dyDescent="0.25">
      <c r="K404" s="137" t="str">
        <f t="shared" si="68"/>
        <v/>
      </c>
      <c r="L404" s="127" t="str">
        <f t="shared" si="66"/>
        <v/>
      </c>
      <c r="AA404" s="130" t="str">
        <f t="shared" si="67"/>
        <v/>
      </c>
      <c r="AB404" s="131" t="str">
        <f t="array" ref="AB404">IF(AA404&lt;=$AA$2,MIN(IF($L$4:$L$503&lt;=AB403,99999999999,$L$4:$L$503)),"")</f>
        <v/>
      </c>
      <c r="AC404" s="130" t="str">
        <f>IF(ISNUMBER(AA404),IF(Dashboard!$H$6&lt;&gt;"Horizontal",AC403+dateDistance,AC403),"")</f>
        <v/>
      </c>
      <c r="AD404" s="130" t="str">
        <f>IF(ISNUMBER(AA404),IF(Dashboard!$H$6="Horizontal",AD403+dateDistance,AD403),"")</f>
        <v/>
      </c>
      <c r="AE404" s="155"/>
      <c r="AF404" s="154"/>
      <c r="AG404" s="154"/>
      <c r="AH404" s="154"/>
      <c r="AK404" s="157"/>
      <c r="AL404" s="157"/>
      <c r="AM404" s="157"/>
    </row>
    <row r="405" spans="11:39" ht="15" customHeight="1" x14ac:dyDescent="0.25">
      <c r="K405" s="137" t="str">
        <f t="shared" si="68"/>
        <v/>
      </c>
      <c r="L405" s="127" t="str">
        <f t="shared" si="66"/>
        <v/>
      </c>
      <c r="AA405" s="130" t="str">
        <f t="shared" si="67"/>
        <v/>
      </c>
      <c r="AB405" s="131" t="str">
        <f t="array" ref="AB405">IF(AA405&lt;=$AA$2,MIN(IF($L$4:$L$503&lt;=AB404,99999999999,$L$4:$L$503)),"")</f>
        <v/>
      </c>
      <c r="AC405" s="130" t="str">
        <f>IF(ISNUMBER(AA405),IF(Dashboard!$H$6&lt;&gt;"Horizontal",AC404+dateDistance,AC404),"")</f>
        <v/>
      </c>
      <c r="AD405" s="130" t="str">
        <f>IF(ISNUMBER(AA405),IF(Dashboard!$H$6="Horizontal",AD404+dateDistance,AD404),"")</f>
        <v/>
      </c>
      <c r="AE405" s="155"/>
      <c r="AF405" s="154"/>
      <c r="AG405" s="154"/>
      <c r="AH405" s="154"/>
      <c r="AK405" s="157"/>
      <c r="AL405" s="157"/>
      <c r="AM405" s="157"/>
    </row>
    <row r="406" spans="11:39" ht="15" customHeight="1" x14ac:dyDescent="0.25">
      <c r="K406" s="137" t="str">
        <f t="shared" si="68"/>
        <v/>
      </c>
      <c r="L406" s="127" t="str">
        <f t="shared" si="66"/>
        <v/>
      </c>
      <c r="AA406" s="130" t="str">
        <f t="shared" si="67"/>
        <v/>
      </c>
      <c r="AB406" s="131" t="str">
        <f t="array" ref="AB406">IF(AA406&lt;=$AA$2,MIN(IF($L$4:$L$503&lt;=AB405,99999999999,$L$4:$L$503)),"")</f>
        <v/>
      </c>
      <c r="AC406" s="130" t="str">
        <f>IF(ISNUMBER(AA406),IF(Dashboard!$H$6&lt;&gt;"Horizontal",AC405+dateDistance,AC405),"")</f>
        <v/>
      </c>
      <c r="AD406" s="130" t="str">
        <f>IF(ISNUMBER(AA406),IF(Dashboard!$H$6="Horizontal",AD405+dateDistance,AD405),"")</f>
        <v/>
      </c>
      <c r="AE406" s="155"/>
      <c r="AF406" s="154"/>
      <c r="AG406" s="154"/>
      <c r="AH406" s="154"/>
      <c r="AK406" s="157"/>
      <c r="AL406" s="157"/>
      <c r="AM406" s="157"/>
    </row>
    <row r="407" spans="11:39" ht="15" customHeight="1" x14ac:dyDescent="0.25">
      <c r="K407" s="137" t="str">
        <f t="shared" si="68"/>
        <v/>
      </c>
      <c r="L407" s="127" t="str">
        <f t="shared" si="66"/>
        <v/>
      </c>
      <c r="AA407" s="130" t="str">
        <f t="shared" si="67"/>
        <v/>
      </c>
      <c r="AB407" s="131" t="str">
        <f t="array" ref="AB407">IF(AA407&lt;=$AA$2,MIN(IF($L$4:$L$503&lt;=AB406,99999999999,$L$4:$L$503)),"")</f>
        <v/>
      </c>
      <c r="AC407" s="130" t="str">
        <f>IF(ISNUMBER(AA407),IF(Dashboard!$H$6&lt;&gt;"Horizontal",AC406+dateDistance,AC406),"")</f>
        <v/>
      </c>
      <c r="AD407" s="130" t="str">
        <f>IF(ISNUMBER(AA407),IF(Dashboard!$H$6="Horizontal",AD406+dateDistance,AD406),"")</f>
        <v/>
      </c>
      <c r="AE407" s="155"/>
      <c r="AF407" s="154"/>
      <c r="AG407" s="154"/>
      <c r="AH407" s="154"/>
      <c r="AK407" s="157"/>
      <c r="AL407" s="157"/>
      <c r="AM407" s="157"/>
    </row>
    <row r="408" spans="11:39" ht="15" customHeight="1" x14ac:dyDescent="0.25">
      <c r="K408" s="137" t="str">
        <f t="shared" si="68"/>
        <v/>
      </c>
      <c r="L408" s="127" t="str">
        <f t="shared" si="66"/>
        <v/>
      </c>
      <c r="AA408" s="130" t="str">
        <f t="shared" si="67"/>
        <v/>
      </c>
      <c r="AB408" s="131" t="str">
        <f t="array" ref="AB408">IF(AA408&lt;=$AA$2,MIN(IF($L$4:$L$503&lt;=AB407,99999999999,$L$4:$L$503)),"")</f>
        <v/>
      </c>
      <c r="AC408" s="130" t="str">
        <f>IF(ISNUMBER(AA408),IF(Dashboard!$H$6&lt;&gt;"Horizontal",AC407+dateDistance,AC407),"")</f>
        <v/>
      </c>
      <c r="AD408" s="130" t="str">
        <f>IF(ISNUMBER(AA408),IF(Dashboard!$H$6="Horizontal",AD407+dateDistance,AD407),"")</f>
        <v/>
      </c>
      <c r="AE408" s="155"/>
      <c r="AF408" s="154"/>
      <c r="AG408" s="154"/>
      <c r="AH408" s="154"/>
      <c r="AK408" s="157"/>
      <c r="AL408" s="157"/>
      <c r="AM408" s="157"/>
    </row>
    <row r="409" spans="11:39" ht="15" customHeight="1" x14ac:dyDescent="0.25">
      <c r="K409" s="137" t="str">
        <f t="shared" si="68"/>
        <v/>
      </c>
      <c r="L409" s="127" t="str">
        <f t="shared" si="66"/>
        <v/>
      </c>
      <c r="AA409" s="130" t="str">
        <f t="shared" si="67"/>
        <v/>
      </c>
      <c r="AB409" s="131" t="str">
        <f t="array" ref="AB409">IF(AA409&lt;=$AA$2,MIN(IF($L$4:$L$503&lt;=AB408,99999999999,$L$4:$L$503)),"")</f>
        <v/>
      </c>
      <c r="AC409" s="130" t="str">
        <f>IF(ISNUMBER(AA409),IF(Dashboard!$H$6&lt;&gt;"Horizontal",AC408+dateDistance,AC408),"")</f>
        <v/>
      </c>
      <c r="AD409" s="130" t="str">
        <f>IF(ISNUMBER(AA409),IF(Dashboard!$H$6="Horizontal",AD408+dateDistance,AD408),"")</f>
        <v/>
      </c>
      <c r="AE409" s="155"/>
      <c r="AF409" s="154"/>
      <c r="AG409" s="154"/>
      <c r="AH409" s="154"/>
      <c r="AK409" s="157"/>
      <c r="AL409" s="157"/>
      <c r="AM409" s="157"/>
    </row>
    <row r="410" spans="11:39" ht="15" customHeight="1" x14ac:dyDescent="0.25">
      <c r="K410" s="137" t="str">
        <f t="shared" si="68"/>
        <v/>
      </c>
      <c r="L410" s="127" t="str">
        <f t="shared" si="66"/>
        <v/>
      </c>
      <c r="AA410" s="130" t="str">
        <f t="shared" si="67"/>
        <v/>
      </c>
      <c r="AB410" s="131" t="str">
        <f t="array" ref="AB410">IF(AA410&lt;=$AA$2,MIN(IF($L$4:$L$503&lt;=AB409,99999999999,$L$4:$L$503)),"")</f>
        <v/>
      </c>
      <c r="AC410" s="130" t="str">
        <f>IF(ISNUMBER(AA410),IF(Dashboard!$H$6&lt;&gt;"Horizontal",AC409+dateDistance,AC409),"")</f>
        <v/>
      </c>
      <c r="AD410" s="130" t="str">
        <f>IF(ISNUMBER(AA410),IF(Dashboard!$H$6="Horizontal",AD409+dateDistance,AD409),"")</f>
        <v/>
      </c>
      <c r="AE410" s="155"/>
      <c r="AF410" s="154"/>
      <c r="AG410" s="154"/>
      <c r="AH410" s="154"/>
      <c r="AK410" s="157"/>
      <c r="AL410" s="157"/>
      <c r="AM410" s="157"/>
    </row>
    <row r="411" spans="11:39" ht="15" customHeight="1" x14ac:dyDescent="0.25">
      <c r="K411" s="137" t="str">
        <f t="shared" si="68"/>
        <v/>
      </c>
      <c r="L411" s="127" t="str">
        <f t="shared" si="66"/>
        <v/>
      </c>
      <c r="AA411" s="130" t="str">
        <f t="shared" si="67"/>
        <v/>
      </c>
      <c r="AB411" s="131" t="str">
        <f t="array" ref="AB411">IF(AA411&lt;=$AA$2,MIN(IF($L$4:$L$503&lt;=AB410,99999999999,$L$4:$L$503)),"")</f>
        <v/>
      </c>
      <c r="AC411" s="130" t="str">
        <f>IF(ISNUMBER(AA411),IF(Dashboard!$H$6&lt;&gt;"Horizontal",AC410+dateDistance,AC410),"")</f>
        <v/>
      </c>
      <c r="AD411" s="130" t="str">
        <f>IF(ISNUMBER(AA411),IF(Dashboard!$H$6="Horizontal",AD410+dateDistance,AD410),"")</f>
        <v/>
      </c>
      <c r="AE411" s="155"/>
      <c r="AF411" s="154"/>
      <c r="AG411" s="154"/>
      <c r="AH411" s="154"/>
      <c r="AK411" s="157"/>
      <c r="AL411" s="157"/>
      <c r="AM411" s="157"/>
    </row>
    <row r="412" spans="11:39" ht="15" customHeight="1" x14ac:dyDescent="0.25">
      <c r="K412" s="137" t="str">
        <f t="shared" si="68"/>
        <v/>
      </c>
      <c r="L412" s="127" t="str">
        <f t="shared" si="66"/>
        <v/>
      </c>
      <c r="AA412" s="130" t="str">
        <f t="shared" si="67"/>
        <v/>
      </c>
      <c r="AB412" s="131" t="str">
        <f t="array" ref="AB412">IF(AA412&lt;=$AA$2,MIN(IF($L$4:$L$503&lt;=AB411,99999999999,$L$4:$L$503)),"")</f>
        <v/>
      </c>
      <c r="AC412" s="130" t="str">
        <f>IF(ISNUMBER(AA412),IF(Dashboard!$H$6&lt;&gt;"Horizontal",AC411+dateDistance,AC411),"")</f>
        <v/>
      </c>
      <c r="AD412" s="130" t="str">
        <f>IF(ISNUMBER(AA412),IF(Dashboard!$H$6="Horizontal",AD411+dateDistance,AD411),"")</f>
        <v/>
      </c>
      <c r="AE412" s="155"/>
      <c r="AF412" s="154"/>
      <c r="AG412" s="154"/>
      <c r="AH412" s="154"/>
      <c r="AK412" s="157"/>
      <c r="AL412" s="157"/>
      <c r="AM412" s="157"/>
    </row>
    <row r="413" spans="11:39" ht="15" customHeight="1" x14ac:dyDescent="0.25">
      <c r="K413" s="137" t="str">
        <f t="shared" si="68"/>
        <v/>
      </c>
      <c r="L413" s="127" t="str">
        <f t="shared" si="66"/>
        <v/>
      </c>
      <c r="AA413" s="130" t="str">
        <f t="shared" si="67"/>
        <v/>
      </c>
      <c r="AB413" s="131" t="str">
        <f t="array" ref="AB413">IF(AA413&lt;=$AA$2,MIN(IF($L$4:$L$503&lt;=AB412,99999999999,$L$4:$L$503)),"")</f>
        <v/>
      </c>
      <c r="AC413" s="130" t="str">
        <f>IF(ISNUMBER(AA413),IF(Dashboard!$H$6&lt;&gt;"Horizontal",AC412+dateDistance,AC412),"")</f>
        <v/>
      </c>
      <c r="AD413" s="130" t="str">
        <f>IF(ISNUMBER(AA413),IF(Dashboard!$H$6="Horizontal",AD412+dateDistance,AD412),"")</f>
        <v/>
      </c>
      <c r="AE413" s="155"/>
      <c r="AF413" s="154"/>
      <c r="AG413" s="154"/>
      <c r="AH413" s="154"/>
      <c r="AK413" s="157"/>
      <c r="AL413" s="157"/>
      <c r="AM413" s="157"/>
    </row>
    <row r="414" spans="11:39" ht="15" customHeight="1" x14ac:dyDescent="0.25">
      <c r="K414" s="137" t="str">
        <f t="shared" si="68"/>
        <v/>
      </c>
      <c r="L414" s="127" t="str">
        <f t="shared" si="66"/>
        <v/>
      </c>
      <c r="AA414" s="130" t="str">
        <f t="shared" si="67"/>
        <v/>
      </c>
      <c r="AB414" s="131" t="str">
        <f t="array" ref="AB414">IF(AA414&lt;=$AA$2,MIN(IF($L$4:$L$503&lt;=AB413,99999999999,$L$4:$L$503)),"")</f>
        <v/>
      </c>
      <c r="AC414" s="130" t="str">
        <f>IF(ISNUMBER(AA414),IF(Dashboard!$H$6&lt;&gt;"Horizontal",AC413+dateDistance,AC413),"")</f>
        <v/>
      </c>
      <c r="AD414" s="130" t="str">
        <f>IF(ISNUMBER(AA414),IF(Dashboard!$H$6="Horizontal",AD413+dateDistance,AD413),"")</f>
        <v/>
      </c>
      <c r="AE414" s="155"/>
      <c r="AF414" s="154"/>
      <c r="AG414" s="154"/>
      <c r="AH414" s="154"/>
      <c r="AK414" s="157"/>
      <c r="AL414" s="157"/>
      <c r="AM414" s="157"/>
    </row>
    <row r="415" spans="11:39" ht="15" customHeight="1" x14ac:dyDescent="0.25">
      <c r="K415" s="137" t="str">
        <f t="shared" si="68"/>
        <v/>
      </c>
      <c r="L415" s="127" t="str">
        <f t="shared" si="66"/>
        <v/>
      </c>
      <c r="AA415" s="130" t="str">
        <f t="shared" si="67"/>
        <v/>
      </c>
      <c r="AB415" s="131" t="str">
        <f t="array" ref="AB415">IF(AA415&lt;=$AA$2,MIN(IF($L$4:$L$503&lt;=AB414,99999999999,$L$4:$L$503)),"")</f>
        <v/>
      </c>
      <c r="AC415" s="130" t="str">
        <f>IF(ISNUMBER(AA415),IF(Dashboard!$H$6&lt;&gt;"Horizontal",AC414+dateDistance,AC414),"")</f>
        <v/>
      </c>
      <c r="AD415" s="130" t="str">
        <f>IF(ISNUMBER(AA415),IF(Dashboard!$H$6="Horizontal",AD414+dateDistance,AD414),"")</f>
        <v/>
      </c>
      <c r="AE415" s="155"/>
      <c r="AF415" s="154"/>
      <c r="AG415" s="154"/>
      <c r="AH415" s="154"/>
      <c r="AK415" s="157"/>
      <c r="AL415" s="157"/>
      <c r="AM415" s="157"/>
    </row>
    <row r="416" spans="11:39" ht="15" customHeight="1" x14ac:dyDescent="0.25">
      <c r="K416" s="137" t="str">
        <f t="shared" si="68"/>
        <v/>
      </c>
      <c r="L416" s="127" t="str">
        <f t="shared" si="66"/>
        <v/>
      </c>
      <c r="AA416" s="130" t="str">
        <f t="shared" si="67"/>
        <v/>
      </c>
      <c r="AB416" s="131" t="str">
        <f t="array" ref="AB416">IF(AA416&lt;=$AA$2,MIN(IF($L$4:$L$503&lt;=AB415,99999999999,$L$4:$L$503)),"")</f>
        <v/>
      </c>
      <c r="AC416" s="130" t="str">
        <f>IF(ISNUMBER(AA416),IF(Dashboard!$H$6&lt;&gt;"Horizontal",AC415+dateDistance,AC415),"")</f>
        <v/>
      </c>
      <c r="AD416" s="130" t="str">
        <f>IF(ISNUMBER(AA416),IF(Dashboard!$H$6="Horizontal",AD415+dateDistance,AD415),"")</f>
        <v/>
      </c>
      <c r="AE416" s="155"/>
      <c r="AF416" s="154"/>
      <c r="AG416" s="154"/>
      <c r="AH416" s="154"/>
      <c r="AK416" s="157"/>
      <c r="AL416" s="157"/>
      <c r="AM416" s="157"/>
    </row>
    <row r="417" spans="11:39" ht="15" customHeight="1" x14ac:dyDescent="0.25">
      <c r="K417" s="137" t="str">
        <f t="shared" si="68"/>
        <v/>
      </c>
      <c r="L417" s="127" t="str">
        <f t="shared" si="66"/>
        <v/>
      </c>
      <c r="AA417" s="130" t="str">
        <f t="shared" si="67"/>
        <v/>
      </c>
      <c r="AB417" s="131" t="str">
        <f t="array" ref="AB417">IF(AA417&lt;=$AA$2,MIN(IF($L$4:$L$503&lt;=AB416,99999999999,$L$4:$L$503)),"")</f>
        <v/>
      </c>
      <c r="AC417" s="130" t="str">
        <f>IF(ISNUMBER(AA417),IF(Dashboard!$H$6&lt;&gt;"Horizontal",AC416+dateDistance,AC416),"")</f>
        <v/>
      </c>
      <c r="AD417" s="130" t="str">
        <f>IF(ISNUMBER(AA417),IF(Dashboard!$H$6="Horizontal",AD416+dateDistance,AD416),"")</f>
        <v/>
      </c>
      <c r="AE417" s="155"/>
      <c r="AF417" s="154"/>
      <c r="AG417" s="154"/>
      <c r="AH417" s="154"/>
      <c r="AK417" s="157"/>
      <c r="AL417" s="157"/>
      <c r="AM417" s="157"/>
    </row>
    <row r="418" spans="11:39" ht="15" customHeight="1" x14ac:dyDescent="0.25">
      <c r="K418" s="137" t="str">
        <f t="shared" si="68"/>
        <v/>
      </c>
      <c r="L418" s="127" t="str">
        <f t="shared" si="66"/>
        <v/>
      </c>
      <c r="AA418" s="130" t="str">
        <f t="shared" si="67"/>
        <v/>
      </c>
      <c r="AB418" s="131" t="str">
        <f t="array" ref="AB418">IF(AA418&lt;=$AA$2,MIN(IF($L$4:$L$503&lt;=AB417,99999999999,$L$4:$L$503)),"")</f>
        <v/>
      </c>
      <c r="AC418" s="130" t="str">
        <f>IF(ISNUMBER(AA418),IF(Dashboard!$H$6&lt;&gt;"Horizontal",AC417+dateDistance,AC417),"")</f>
        <v/>
      </c>
      <c r="AD418" s="130" t="str">
        <f>IF(ISNUMBER(AA418),IF(Dashboard!$H$6="Horizontal",AD417+dateDistance,AD417),"")</f>
        <v/>
      </c>
      <c r="AE418" s="155"/>
      <c r="AF418" s="154"/>
      <c r="AG418" s="154"/>
      <c r="AH418" s="154"/>
      <c r="AK418" s="157"/>
      <c r="AL418" s="157"/>
      <c r="AM418" s="157"/>
    </row>
    <row r="419" spans="11:39" ht="15" customHeight="1" x14ac:dyDescent="0.25">
      <c r="K419" s="137" t="str">
        <f t="shared" si="68"/>
        <v/>
      </c>
      <c r="L419" s="127" t="str">
        <f t="shared" si="66"/>
        <v/>
      </c>
      <c r="AA419" s="130" t="str">
        <f t="shared" si="67"/>
        <v/>
      </c>
      <c r="AB419" s="131" t="str">
        <f t="array" ref="AB419">IF(AA419&lt;=$AA$2,MIN(IF($L$4:$L$503&lt;=AB418,99999999999,$L$4:$L$503)),"")</f>
        <v/>
      </c>
      <c r="AC419" s="130" t="str">
        <f>IF(ISNUMBER(AA419),IF(Dashboard!$H$6&lt;&gt;"Horizontal",AC418+dateDistance,AC418),"")</f>
        <v/>
      </c>
      <c r="AD419" s="130" t="str">
        <f>IF(ISNUMBER(AA419),IF(Dashboard!$H$6="Horizontal",AD418+dateDistance,AD418),"")</f>
        <v/>
      </c>
      <c r="AE419" s="155"/>
      <c r="AF419" s="154"/>
      <c r="AG419" s="154"/>
      <c r="AH419" s="154"/>
      <c r="AK419" s="157"/>
      <c r="AL419" s="157"/>
      <c r="AM419" s="157"/>
    </row>
    <row r="420" spans="11:39" ht="15" customHeight="1" x14ac:dyDescent="0.25">
      <c r="K420" s="137" t="str">
        <f t="shared" si="68"/>
        <v/>
      </c>
      <c r="L420" s="127" t="str">
        <f t="shared" si="66"/>
        <v/>
      </c>
      <c r="AA420" s="130" t="str">
        <f t="shared" si="67"/>
        <v/>
      </c>
      <c r="AB420" s="131" t="str">
        <f t="array" ref="AB420">IF(AA420&lt;=$AA$2,MIN(IF($L$4:$L$503&lt;=AB419,99999999999,$L$4:$L$503)),"")</f>
        <v/>
      </c>
      <c r="AC420" s="130" t="str">
        <f>IF(ISNUMBER(AA420),IF(Dashboard!$H$6&lt;&gt;"Horizontal",AC419+dateDistance,AC419),"")</f>
        <v/>
      </c>
      <c r="AD420" s="130" t="str">
        <f>IF(ISNUMBER(AA420),IF(Dashboard!$H$6="Horizontal",AD419+dateDistance,AD419),"")</f>
        <v/>
      </c>
      <c r="AE420" s="155"/>
      <c r="AF420" s="154"/>
      <c r="AG420" s="154"/>
      <c r="AH420" s="154"/>
      <c r="AK420" s="157"/>
      <c r="AL420" s="157"/>
      <c r="AM420" s="157"/>
    </row>
    <row r="421" spans="11:39" ht="15" customHeight="1" x14ac:dyDescent="0.25">
      <c r="K421" s="137" t="str">
        <f t="shared" si="68"/>
        <v/>
      </c>
      <c r="L421" s="127" t="str">
        <f t="shared" si="66"/>
        <v/>
      </c>
      <c r="AA421" s="130" t="str">
        <f t="shared" si="67"/>
        <v/>
      </c>
      <c r="AB421" s="131" t="str">
        <f t="array" ref="AB421">IF(AA421&lt;=$AA$2,MIN(IF($L$4:$L$503&lt;=AB420,99999999999,$L$4:$L$503)),"")</f>
        <v/>
      </c>
      <c r="AC421" s="130" t="str">
        <f>IF(ISNUMBER(AA421),IF(Dashboard!$H$6&lt;&gt;"Horizontal",AC420+dateDistance,AC420),"")</f>
        <v/>
      </c>
      <c r="AD421" s="130" t="str">
        <f>IF(ISNUMBER(AA421),IF(Dashboard!$H$6="Horizontal",AD420+dateDistance,AD420),"")</f>
        <v/>
      </c>
      <c r="AE421" s="155"/>
      <c r="AF421" s="154"/>
      <c r="AG421" s="154"/>
      <c r="AH421" s="154"/>
      <c r="AK421" s="157"/>
      <c r="AL421" s="157"/>
      <c r="AM421" s="157"/>
    </row>
    <row r="422" spans="11:39" ht="15" customHeight="1" x14ac:dyDescent="0.25">
      <c r="K422" s="137" t="str">
        <f t="shared" si="68"/>
        <v/>
      </c>
      <c r="L422" s="127" t="str">
        <f t="shared" si="66"/>
        <v/>
      </c>
      <c r="AA422" s="130" t="str">
        <f t="shared" si="67"/>
        <v/>
      </c>
      <c r="AB422" s="131" t="str">
        <f t="array" ref="AB422">IF(AA422&lt;=$AA$2,MIN(IF($L$4:$L$503&lt;=AB421,99999999999,$L$4:$L$503)),"")</f>
        <v/>
      </c>
      <c r="AC422" s="130" t="str">
        <f>IF(ISNUMBER(AA422),IF(Dashboard!$H$6&lt;&gt;"Horizontal",AC421+dateDistance,AC421),"")</f>
        <v/>
      </c>
      <c r="AD422" s="130" t="str">
        <f>IF(ISNUMBER(AA422),IF(Dashboard!$H$6="Horizontal",AD421+dateDistance,AD421),"")</f>
        <v/>
      </c>
      <c r="AE422" s="155"/>
      <c r="AF422" s="154"/>
      <c r="AG422" s="154"/>
      <c r="AH422" s="154"/>
      <c r="AK422" s="157"/>
      <c r="AL422" s="157"/>
      <c r="AM422" s="157"/>
    </row>
    <row r="423" spans="11:39" ht="15" customHeight="1" x14ac:dyDescent="0.25">
      <c r="K423" s="137" t="str">
        <f t="shared" si="68"/>
        <v/>
      </c>
      <c r="L423" s="127" t="str">
        <f t="shared" si="66"/>
        <v/>
      </c>
      <c r="AA423" s="130" t="str">
        <f t="shared" si="67"/>
        <v/>
      </c>
      <c r="AB423" s="131" t="str">
        <f t="array" ref="AB423">IF(AA423&lt;=$AA$2,MIN(IF($L$4:$L$503&lt;=AB422,99999999999,$L$4:$L$503)),"")</f>
        <v/>
      </c>
      <c r="AC423" s="130" t="str">
        <f>IF(ISNUMBER(AA423),IF(Dashboard!$H$6&lt;&gt;"Horizontal",AC422+dateDistance,AC422),"")</f>
        <v/>
      </c>
      <c r="AD423" s="130" t="str">
        <f>IF(ISNUMBER(AA423),IF(Dashboard!$H$6="Horizontal",AD422+dateDistance,AD422),"")</f>
        <v/>
      </c>
      <c r="AE423" s="155"/>
      <c r="AF423" s="154"/>
      <c r="AG423" s="154"/>
      <c r="AH423" s="154"/>
      <c r="AK423" s="157"/>
      <c r="AL423" s="157"/>
      <c r="AM423" s="157"/>
    </row>
    <row r="424" spans="11:39" ht="15" customHeight="1" x14ac:dyDescent="0.25">
      <c r="K424" s="137" t="str">
        <f t="shared" si="68"/>
        <v/>
      </c>
      <c r="L424" s="127" t="str">
        <f t="shared" si="66"/>
        <v/>
      </c>
      <c r="AA424" s="130" t="str">
        <f t="shared" si="67"/>
        <v/>
      </c>
      <c r="AB424" s="131" t="str">
        <f t="array" ref="AB424">IF(AA424&lt;=$AA$2,MIN(IF($L$4:$L$503&lt;=AB423,99999999999,$L$4:$L$503)),"")</f>
        <v/>
      </c>
      <c r="AC424" s="130" t="str">
        <f>IF(ISNUMBER(AA424),IF(Dashboard!$H$6&lt;&gt;"Horizontal",AC423+dateDistance,AC423),"")</f>
        <v/>
      </c>
      <c r="AD424" s="130" t="str">
        <f>IF(ISNUMBER(AA424),IF(Dashboard!$H$6="Horizontal",AD423+dateDistance,AD423),"")</f>
        <v/>
      </c>
      <c r="AE424" s="155"/>
      <c r="AF424" s="154"/>
      <c r="AG424" s="154"/>
      <c r="AH424" s="154"/>
      <c r="AK424" s="157"/>
      <c r="AL424" s="157"/>
      <c r="AM424" s="157"/>
    </row>
    <row r="425" spans="11:39" ht="15" customHeight="1" x14ac:dyDescent="0.25">
      <c r="K425" s="137" t="str">
        <f t="shared" si="68"/>
        <v/>
      </c>
      <c r="L425" s="127" t="str">
        <f t="shared" si="66"/>
        <v/>
      </c>
      <c r="AA425" s="130" t="str">
        <f t="shared" si="67"/>
        <v/>
      </c>
      <c r="AB425" s="131" t="str">
        <f t="array" ref="AB425">IF(AA425&lt;=$AA$2,MIN(IF($L$4:$L$503&lt;=AB424,99999999999,$L$4:$L$503)),"")</f>
        <v/>
      </c>
      <c r="AC425" s="130" t="str">
        <f>IF(ISNUMBER(AA425),IF(Dashboard!$H$6&lt;&gt;"Horizontal",AC424+dateDistance,AC424),"")</f>
        <v/>
      </c>
      <c r="AD425" s="130" t="str">
        <f>IF(ISNUMBER(AA425),IF(Dashboard!$H$6="Horizontal",AD424+dateDistance,AD424),"")</f>
        <v/>
      </c>
      <c r="AE425" s="155"/>
      <c r="AF425" s="154"/>
      <c r="AG425" s="154"/>
      <c r="AH425" s="154"/>
      <c r="AK425" s="157"/>
      <c r="AL425" s="157"/>
      <c r="AM425" s="157"/>
    </row>
    <row r="426" spans="11:39" ht="15" customHeight="1" x14ac:dyDescent="0.25">
      <c r="K426" s="137" t="str">
        <f t="shared" si="68"/>
        <v/>
      </c>
      <c r="L426" s="127" t="str">
        <f t="shared" si="66"/>
        <v/>
      </c>
      <c r="AA426" s="130" t="str">
        <f t="shared" si="67"/>
        <v/>
      </c>
      <c r="AB426" s="131" t="str">
        <f t="array" ref="AB426">IF(AA426&lt;=$AA$2,MIN(IF($L$4:$L$503&lt;=AB425,99999999999,$L$4:$L$503)),"")</f>
        <v/>
      </c>
      <c r="AC426" s="130" t="str">
        <f>IF(ISNUMBER(AA426),IF(Dashboard!$H$6&lt;&gt;"Horizontal",AC425+dateDistance,AC425),"")</f>
        <v/>
      </c>
      <c r="AD426" s="130" t="str">
        <f>IF(ISNUMBER(AA426),IF(Dashboard!$H$6="Horizontal",AD425+dateDistance,AD425),"")</f>
        <v/>
      </c>
      <c r="AE426" s="155"/>
      <c r="AF426" s="154"/>
      <c r="AG426" s="154"/>
      <c r="AH426" s="154"/>
      <c r="AK426" s="157"/>
      <c r="AL426" s="157"/>
      <c r="AM426" s="157"/>
    </row>
    <row r="427" spans="11:39" ht="15" customHeight="1" x14ac:dyDescent="0.25">
      <c r="K427" s="137" t="str">
        <f t="shared" si="68"/>
        <v/>
      </c>
      <c r="L427" s="127" t="str">
        <f t="shared" si="66"/>
        <v/>
      </c>
      <c r="AA427" s="130" t="str">
        <f t="shared" si="67"/>
        <v/>
      </c>
      <c r="AB427" s="131" t="str">
        <f t="array" ref="AB427">IF(AA427&lt;=$AA$2,MIN(IF($L$4:$L$503&lt;=AB426,99999999999,$L$4:$L$503)),"")</f>
        <v/>
      </c>
      <c r="AC427" s="130" t="str">
        <f>IF(ISNUMBER(AA427),IF(Dashboard!$H$6&lt;&gt;"Horizontal",AC426+dateDistance,AC426),"")</f>
        <v/>
      </c>
      <c r="AD427" s="130" t="str">
        <f>IF(ISNUMBER(AA427),IF(Dashboard!$H$6="Horizontal",AD426+dateDistance,AD426),"")</f>
        <v/>
      </c>
      <c r="AE427" s="155"/>
      <c r="AF427" s="154"/>
      <c r="AG427" s="154"/>
      <c r="AH427" s="154"/>
      <c r="AK427" s="157"/>
      <c r="AL427" s="157"/>
      <c r="AM427" s="157"/>
    </row>
    <row r="428" spans="11:39" ht="15" customHeight="1" x14ac:dyDescent="0.25">
      <c r="K428" s="137" t="str">
        <f t="shared" si="68"/>
        <v/>
      </c>
      <c r="L428" s="127" t="str">
        <f t="shared" si="66"/>
        <v/>
      </c>
      <c r="AA428" s="130" t="str">
        <f t="shared" si="67"/>
        <v/>
      </c>
      <c r="AB428" s="131" t="str">
        <f t="array" ref="AB428">IF(AA428&lt;=$AA$2,MIN(IF($L$4:$L$503&lt;=AB427,99999999999,$L$4:$L$503)),"")</f>
        <v/>
      </c>
      <c r="AC428" s="130" t="str">
        <f>IF(ISNUMBER(AA428),IF(Dashboard!$H$6&lt;&gt;"Horizontal",AC427+dateDistance,AC427),"")</f>
        <v/>
      </c>
      <c r="AD428" s="130" t="str">
        <f>IF(ISNUMBER(AA428),IF(Dashboard!$H$6="Horizontal",AD427+dateDistance,AD427),"")</f>
        <v/>
      </c>
      <c r="AE428" s="155"/>
      <c r="AF428" s="154"/>
      <c r="AG428" s="154"/>
      <c r="AH428" s="154"/>
      <c r="AK428" s="157"/>
      <c r="AL428" s="157"/>
      <c r="AM428" s="157"/>
    </row>
    <row r="429" spans="11:39" ht="15" customHeight="1" x14ac:dyDescent="0.25">
      <c r="K429" s="137" t="str">
        <f t="shared" si="68"/>
        <v/>
      </c>
      <c r="L429" s="127" t="str">
        <f t="shared" si="66"/>
        <v/>
      </c>
      <c r="AA429" s="130" t="str">
        <f t="shared" si="67"/>
        <v/>
      </c>
      <c r="AB429" s="131" t="str">
        <f t="array" ref="AB429">IF(AA429&lt;=$AA$2,MIN(IF($L$4:$L$503&lt;=AB428,99999999999,$L$4:$L$503)),"")</f>
        <v/>
      </c>
      <c r="AC429" s="130" t="str">
        <f>IF(ISNUMBER(AA429),IF(Dashboard!$H$6&lt;&gt;"Horizontal",AC428+dateDistance,AC428),"")</f>
        <v/>
      </c>
      <c r="AD429" s="130" t="str">
        <f>IF(ISNUMBER(AA429),IF(Dashboard!$H$6="Horizontal",AD428+dateDistance,AD428),"")</f>
        <v/>
      </c>
      <c r="AE429" s="155"/>
      <c r="AF429" s="154"/>
      <c r="AG429" s="154"/>
      <c r="AH429" s="154"/>
      <c r="AK429" s="157"/>
      <c r="AL429" s="157"/>
      <c r="AM429" s="157"/>
    </row>
    <row r="430" spans="11:39" ht="15" customHeight="1" x14ac:dyDescent="0.25">
      <c r="K430" s="137" t="str">
        <f t="shared" si="68"/>
        <v/>
      </c>
      <c r="L430" s="127" t="str">
        <f t="shared" si="66"/>
        <v/>
      </c>
      <c r="AA430" s="130" t="str">
        <f t="shared" si="67"/>
        <v/>
      </c>
      <c r="AB430" s="131" t="str">
        <f t="array" ref="AB430">IF(AA430&lt;=$AA$2,MIN(IF($L$4:$L$503&lt;=AB429,99999999999,$L$4:$L$503)),"")</f>
        <v/>
      </c>
      <c r="AC430" s="130" t="str">
        <f>IF(ISNUMBER(AA430),IF(Dashboard!$H$6&lt;&gt;"Horizontal",AC429+dateDistance,AC429),"")</f>
        <v/>
      </c>
      <c r="AD430" s="130" t="str">
        <f>IF(ISNUMBER(AA430),IF(Dashboard!$H$6="Horizontal",AD429+dateDistance,AD429),"")</f>
        <v/>
      </c>
      <c r="AE430" s="155"/>
      <c r="AF430" s="154"/>
      <c r="AG430" s="154"/>
      <c r="AH430" s="154"/>
      <c r="AK430" s="157"/>
      <c r="AL430" s="157"/>
      <c r="AM430" s="157"/>
    </row>
    <row r="431" spans="11:39" ht="15" customHeight="1" x14ac:dyDescent="0.25">
      <c r="K431" s="137" t="str">
        <f t="shared" si="68"/>
        <v/>
      </c>
      <c r="L431" s="127" t="str">
        <f t="shared" si="66"/>
        <v/>
      </c>
      <c r="AA431" s="130" t="str">
        <f t="shared" si="67"/>
        <v/>
      </c>
      <c r="AB431" s="131" t="str">
        <f t="array" ref="AB431">IF(AA431&lt;=$AA$2,MIN(IF($L$4:$L$503&lt;=AB430,99999999999,$L$4:$L$503)),"")</f>
        <v/>
      </c>
      <c r="AC431" s="130" t="str">
        <f>IF(ISNUMBER(AA431),IF(Dashboard!$H$6&lt;&gt;"Horizontal",AC430+dateDistance,AC430),"")</f>
        <v/>
      </c>
      <c r="AD431" s="130" t="str">
        <f>IF(ISNUMBER(AA431),IF(Dashboard!$H$6="Horizontal",AD430+dateDistance,AD430),"")</f>
        <v/>
      </c>
      <c r="AE431" s="155"/>
      <c r="AF431" s="154"/>
      <c r="AG431" s="154"/>
      <c r="AH431" s="154"/>
      <c r="AK431" s="157"/>
      <c r="AL431" s="157"/>
      <c r="AM431" s="157"/>
    </row>
    <row r="432" spans="11:39" ht="15" customHeight="1" x14ac:dyDescent="0.25">
      <c r="K432" s="137" t="str">
        <f t="shared" si="68"/>
        <v/>
      </c>
      <c r="L432" s="127" t="str">
        <f t="shared" si="66"/>
        <v/>
      </c>
      <c r="AA432" s="130" t="str">
        <f t="shared" si="67"/>
        <v/>
      </c>
      <c r="AB432" s="131" t="str">
        <f t="array" ref="AB432">IF(AA432&lt;=$AA$2,MIN(IF($L$4:$L$503&lt;=AB431,99999999999,$L$4:$L$503)),"")</f>
        <v/>
      </c>
      <c r="AC432" s="130" t="str">
        <f>IF(ISNUMBER(AA432),IF(Dashboard!$H$6&lt;&gt;"Horizontal",AC431+dateDistance,AC431),"")</f>
        <v/>
      </c>
      <c r="AD432" s="130" t="str">
        <f>IF(ISNUMBER(AA432),IF(Dashboard!$H$6="Horizontal",AD431+dateDistance,AD431),"")</f>
        <v/>
      </c>
      <c r="AE432" s="155"/>
      <c r="AF432" s="154"/>
      <c r="AG432" s="154"/>
      <c r="AH432" s="154"/>
      <c r="AK432" s="157"/>
      <c r="AL432" s="157"/>
      <c r="AM432" s="157"/>
    </row>
    <row r="433" spans="11:39" ht="15" customHeight="1" x14ac:dyDescent="0.25">
      <c r="K433" s="137" t="str">
        <f t="shared" si="68"/>
        <v/>
      </c>
      <c r="L433" s="127" t="str">
        <f t="shared" si="66"/>
        <v/>
      </c>
      <c r="AA433" s="130" t="str">
        <f t="shared" si="67"/>
        <v/>
      </c>
      <c r="AB433" s="131" t="str">
        <f t="array" ref="AB433">IF(AA433&lt;=$AA$2,MIN(IF($L$4:$L$503&lt;=AB432,99999999999,$L$4:$L$503)),"")</f>
        <v/>
      </c>
      <c r="AC433" s="130" t="str">
        <f>IF(ISNUMBER(AA433),IF(Dashboard!$H$6&lt;&gt;"Horizontal",AC432+dateDistance,AC432),"")</f>
        <v/>
      </c>
      <c r="AD433" s="130" t="str">
        <f>IF(ISNUMBER(AA433),IF(Dashboard!$H$6="Horizontal",AD432+dateDistance,AD432),"")</f>
        <v/>
      </c>
      <c r="AE433" s="155"/>
      <c r="AF433" s="154"/>
      <c r="AG433" s="154"/>
      <c r="AH433" s="154"/>
      <c r="AK433" s="157"/>
      <c r="AL433" s="157"/>
      <c r="AM433" s="157"/>
    </row>
    <row r="434" spans="11:39" ht="15" customHeight="1" x14ac:dyDescent="0.25">
      <c r="K434" s="137" t="str">
        <f t="shared" si="68"/>
        <v/>
      </c>
      <c r="L434" s="127" t="str">
        <f t="shared" si="66"/>
        <v/>
      </c>
      <c r="AA434" s="130" t="str">
        <f t="shared" si="67"/>
        <v/>
      </c>
      <c r="AB434" s="131" t="str">
        <f t="array" ref="AB434">IF(AA434&lt;=$AA$2,MIN(IF($L$4:$L$503&lt;=AB433,99999999999,$L$4:$L$503)),"")</f>
        <v/>
      </c>
      <c r="AC434" s="130" t="str">
        <f>IF(ISNUMBER(AA434),IF(Dashboard!$H$6&lt;&gt;"Horizontal",AC433+dateDistance,AC433),"")</f>
        <v/>
      </c>
      <c r="AD434" s="130" t="str">
        <f>IF(ISNUMBER(AA434),IF(Dashboard!$H$6="Horizontal",AD433+dateDistance,AD433),"")</f>
        <v/>
      </c>
      <c r="AE434" s="155"/>
      <c r="AF434" s="154"/>
      <c r="AG434" s="154"/>
      <c r="AH434" s="154"/>
      <c r="AK434" s="157"/>
      <c r="AL434" s="157"/>
      <c r="AM434" s="157"/>
    </row>
    <row r="435" spans="11:39" ht="15" customHeight="1" x14ac:dyDescent="0.25">
      <c r="K435" s="137" t="str">
        <f t="shared" si="68"/>
        <v/>
      </c>
      <c r="L435" s="127" t="str">
        <f t="shared" si="66"/>
        <v/>
      </c>
      <c r="AA435" s="130" t="str">
        <f t="shared" si="67"/>
        <v/>
      </c>
      <c r="AB435" s="131" t="str">
        <f t="array" ref="AB435">IF(AA435&lt;=$AA$2,MIN(IF($L$4:$L$503&lt;=AB434,99999999999,$L$4:$L$503)),"")</f>
        <v/>
      </c>
      <c r="AC435" s="130" t="str">
        <f>IF(ISNUMBER(AA435),IF(Dashboard!$H$6&lt;&gt;"Horizontal",AC434+dateDistance,AC434),"")</f>
        <v/>
      </c>
      <c r="AD435" s="130" t="str">
        <f>IF(ISNUMBER(AA435),IF(Dashboard!$H$6="Horizontal",AD434+dateDistance,AD434),"")</f>
        <v/>
      </c>
      <c r="AE435" s="155"/>
      <c r="AF435" s="154"/>
      <c r="AG435" s="154"/>
      <c r="AH435" s="154"/>
      <c r="AK435" s="157"/>
      <c r="AL435" s="157"/>
      <c r="AM435" s="157"/>
    </row>
    <row r="436" spans="11:39" ht="15" customHeight="1" x14ac:dyDescent="0.25">
      <c r="K436" s="137" t="str">
        <f t="shared" si="68"/>
        <v/>
      </c>
      <c r="L436" s="127" t="str">
        <f t="shared" si="66"/>
        <v/>
      </c>
      <c r="AA436" s="130" t="str">
        <f t="shared" si="67"/>
        <v/>
      </c>
      <c r="AB436" s="131" t="str">
        <f t="array" ref="AB436">IF(AA436&lt;=$AA$2,MIN(IF($L$4:$L$503&lt;=AB435,99999999999,$L$4:$L$503)),"")</f>
        <v/>
      </c>
      <c r="AC436" s="130" t="str">
        <f>IF(ISNUMBER(AA436),IF(Dashboard!$H$6&lt;&gt;"Horizontal",AC435+dateDistance,AC435),"")</f>
        <v/>
      </c>
      <c r="AD436" s="130" t="str">
        <f>IF(ISNUMBER(AA436),IF(Dashboard!$H$6="Horizontal",AD435+dateDistance,AD435),"")</f>
        <v/>
      </c>
      <c r="AE436" s="155"/>
      <c r="AF436" s="154"/>
      <c r="AG436" s="154"/>
      <c r="AH436" s="154"/>
      <c r="AK436" s="157"/>
      <c r="AL436" s="157"/>
      <c r="AM436" s="157"/>
    </row>
    <row r="437" spans="11:39" ht="15" customHeight="1" x14ac:dyDescent="0.25">
      <c r="K437" s="137" t="str">
        <f t="shared" si="68"/>
        <v/>
      </c>
      <c r="L437" s="127" t="str">
        <f t="shared" si="66"/>
        <v/>
      </c>
      <c r="AA437" s="130" t="str">
        <f t="shared" si="67"/>
        <v/>
      </c>
      <c r="AB437" s="131" t="str">
        <f t="array" ref="AB437">IF(AA437&lt;=$AA$2,MIN(IF($L$4:$L$503&lt;=AB436,99999999999,$L$4:$L$503)),"")</f>
        <v/>
      </c>
      <c r="AC437" s="130" t="str">
        <f>IF(ISNUMBER(AA437),IF(Dashboard!$H$6&lt;&gt;"Horizontal",AC436+dateDistance,AC436),"")</f>
        <v/>
      </c>
      <c r="AD437" s="130" t="str">
        <f>IF(ISNUMBER(AA437),IF(Dashboard!$H$6="Horizontal",AD436+dateDistance,AD436),"")</f>
        <v/>
      </c>
      <c r="AE437" s="155"/>
      <c r="AF437" s="154"/>
      <c r="AG437" s="154"/>
      <c r="AH437" s="154"/>
      <c r="AK437" s="157"/>
      <c r="AL437" s="157"/>
      <c r="AM437" s="157"/>
    </row>
    <row r="438" spans="11:39" ht="15" customHeight="1" x14ac:dyDescent="0.25">
      <c r="K438" s="137" t="str">
        <f t="shared" si="68"/>
        <v/>
      </c>
      <c r="L438" s="127" t="str">
        <f t="shared" si="66"/>
        <v/>
      </c>
      <c r="AA438" s="130" t="str">
        <f t="shared" si="67"/>
        <v/>
      </c>
      <c r="AB438" s="131" t="str">
        <f t="array" ref="AB438">IF(AA438&lt;=$AA$2,MIN(IF($L$4:$L$503&lt;=AB437,99999999999,$L$4:$L$503)),"")</f>
        <v/>
      </c>
      <c r="AC438" s="130" t="str">
        <f>IF(ISNUMBER(AA438),IF(Dashboard!$H$6&lt;&gt;"Horizontal",AC437+dateDistance,AC437),"")</f>
        <v/>
      </c>
      <c r="AD438" s="130" t="str">
        <f>IF(ISNUMBER(AA438),IF(Dashboard!$H$6="Horizontal",AD437+dateDistance,AD437),"")</f>
        <v/>
      </c>
      <c r="AE438" s="155"/>
      <c r="AF438" s="154"/>
      <c r="AG438" s="154"/>
      <c r="AH438" s="154"/>
      <c r="AK438" s="157"/>
      <c r="AL438" s="157"/>
      <c r="AM438" s="157"/>
    </row>
    <row r="439" spans="11:39" ht="15" customHeight="1" x14ac:dyDescent="0.25">
      <c r="K439" s="137" t="str">
        <f t="shared" si="68"/>
        <v/>
      </c>
      <c r="L439" s="127" t="str">
        <f t="shared" si="66"/>
        <v/>
      </c>
      <c r="AA439" s="130" t="str">
        <f t="shared" si="67"/>
        <v/>
      </c>
      <c r="AB439" s="131" t="str">
        <f t="array" ref="AB439">IF(AA439&lt;=$AA$2,MIN(IF($L$4:$L$503&lt;=AB438,99999999999,$L$4:$L$503)),"")</f>
        <v/>
      </c>
      <c r="AC439" s="130" t="str">
        <f>IF(ISNUMBER(AA439),IF(Dashboard!$H$6&lt;&gt;"Horizontal",AC438+dateDistance,AC438),"")</f>
        <v/>
      </c>
      <c r="AD439" s="130" t="str">
        <f>IF(ISNUMBER(AA439),IF(Dashboard!$H$6="Horizontal",AD438+dateDistance,AD438),"")</f>
        <v/>
      </c>
      <c r="AE439" s="155"/>
      <c r="AF439" s="154"/>
      <c r="AG439" s="154"/>
      <c r="AH439" s="154"/>
      <c r="AK439" s="157"/>
      <c r="AL439" s="157"/>
      <c r="AM439" s="157"/>
    </row>
    <row r="440" spans="11:39" ht="15" customHeight="1" x14ac:dyDescent="0.25">
      <c r="K440" s="137" t="str">
        <f t="shared" si="68"/>
        <v/>
      </c>
      <c r="L440" s="127" t="str">
        <f t="shared" si="66"/>
        <v/>
      </c>
      <c r="AA440" s="130" t="str">
        <f t="shared" si="67"/>
        <v/>
      </c>
      <c r="AB440" s="131" t="str">
        <f t="array" ref="AB440">IF(AA440&lt;=$AA$2,MIN(IF($L$4:$L$503&lt;=AB439,99999999999,$L$4:$L$503)),"")</f>
        <v/>
      </c>
      <c r="AC440" s="130" t="str">
        <f>IF(ISNUMBER(AA440),IF(Dashboard!$H$6&lt;&gt;"Horizontal",AC439+dateDistance,AC439),"")</f>
        <v/>
      </c>
      <c r="AD440" s="130" t="str">
        <f>IF(ISNUMBER(AA440),IF(Dashboard!$H$6="Horizontal",AD439+dateDistance,AD439),"")</f>
        <v/>
      </c>
      <c r="AE440" s="155"/>
      <c r="AF440" s="154"/>
      <c r="AG440" s="154"/>
      <c r="AH440" s="154"/>
      <c r="AK440" s="157"/>
      <c r="AL440" s="157"/>
      <c r="AM440" s="157"/>
    </row>
    <row r="441" spans="11:39" ht="15" customHeight="1" x14ac:dyDescent="0.25">
      <c r="K441" s="137" t="str">
        <f t="shared" si="68"/>
        <v/>
      </c>
      <c r="L441" s="127" t="str">
        <f t="shared" si="66"/>
        <v/>
      </c>
      <c r="AA441" s="130" t="str">
        <f t="shared" si="67"/>
        <v/>
      </c>
      <c r="AB441" s="131" t="str">
        <f t="array" ref="AB441">IF(AA441&lt;=$AA$2,MIN(IF($L$4:$L$503&lt;=AB440,99999999999,$L$4:$L$503)),"")</f>
        <v/>
      </c>
      <c r="AC441" s="130" t="str">
        <f>IF(ISNUMBER(AA441),IF(Dashboard!$H$6&lt;&gt;"Horizontal",AC440+dateDistance,AC440),"")</f>
        <v/>
      </c>
      <c r="AD441" s="130" t="str">
        <f>IF(ISNUMBER(AA441),IF(Dashboard!$H$6="Horizontal",AD440+dateDistance,AD440),"")</f>
        <v/>
      </c>
      <c r="AE441" s="155"/>
      <c r="AF441" s="154"/>
      <c r="AG441" s="154"/>
      <c r="AH441" s="154"/>
      <c r="AK441" s="157"/>
      <c r="AL441" s="157"/>
      <c r="AM441" s="157"/>
    </row>
    <row r="442" spans="11:39" ht="15" customHeight="1" x14ac:dyDescent="0.25">
      <c r="K442" s="137" t="str">
        <f t="shared" si="68"/>
        <v/>
      </c>
      <c r="L442" s="127" t="str">
        <f t="shared" si="66"/>
        <v/>
      </c>
      <c r="AA442" s="130" t="str">
        <f t="shared" si="67"/>
        <v/>
      </c>
      <c r="AB442" s="131" t="str">
        <f t="array" ref="AB442">IF(AA442&lt;=$AA$2,MIN(IF($L$4:$L$503&lt;=AB441,99999999999,$L$4:$L$503)),"")</f>
        <v/>
      </c>
      <c r="AC442" s="130" t="str">
        <f>IF(ISNUMBER(AA442),IF(Dashboard!$H$6&lt;&gt;"Horizontal",AC441+dateDistance,AC441),"")</f>
        <v/>
      </c>
      <c r="AD442" s="130" t="str">
        <f>IF(ISNUMBER(AA442),IF(Dashboard!$H$6="Horizontal",AD441+dateDistance,AD441),"")</f>
        <v/>
      </c>
      <c r="AE442" s="155"/>
      <c r="AF442" s="154"/>
      <c r="AG442" s="154"/>
      <c r="AH442" s="154"/>
      <c r="AK442" s="157"/>
      <c r="AL442" s="157"/>
      <c r="AM442" s="157"/>
    </row>
    <row r="443" spans="11:39" ht="15" customHeight="1" x14ac:dyDescent="0.25">
      <c r="K443" s="137" t="str">
        <f t="shared" si="68"/>
        <v/>
      </c>
      <c r="L443" s="127" t="str">
        <f t="shared" si="66"/>
        <v/>
      </c>
      <c r="AA443" s="130" t="str">
        <f t="shared" si="67"/>
        <v/>
      </c>
      <c r="AB443" s="131" t="str">
        <f t="array" ref="AB443">IF(AA443&lt;=$AA$2,MIN(IF($L$4:$L$503&lt;=AB442,99999999999,$L$4:$L$503)),"")</f>
        <v/>
      </c>
      <c r="AC443" s="130" t="str">
        <f>IF(ISNUMBER(AA443),IF(Dashboard!$H$6&lt;&gt;"Horizontal",AC442+dateDistance,AC442),"")</f>
        <v/>
      </c>
      <c r="AD443" s="130" t="str">
        <f>IF(ISNUMBER(AA443),IF(Dashboard!$H$6="Horizontal",AD442+dateDistance,AD442),"")</f>
        <v/>
      </c>
      <c r="AE443" s="155"/>
      <c r="AF443" s="154"/>
      <c r="AG443" s="154"/>
      <c r="AH443" s="154"/>
      <c r="AK443" s="157"/>
      <c r="AL443" s="157"/>
      <c r="AM443" s="157"/>
    </row>
    <row r="444" spans="11:39" ht="15" customHeight="1" x14ac:dyDescent="0.25">
      <c r="K444" s="137" t="str">
        <f t="shared" si="68"/>
        <v/>
      </c>
      <c r="L444" s="127" t="str">
        <f t="shared" si="66"/>
        <v/>
      </c>
      <c r="AA444" s="130" t="str">
        <f t="shared" si="67"/>
        <v/>
      </c>
      <c r="AB444" s="131" t="str">
        <f t="array" ref="AB444">IF(AA444&lt;=$AA$2,MIN(IF($L$4:$L$503&lt;=AB443,99999999999,$L$4:$L$503)),"")</f>
        <v/>
      </c>
      <c r="AC444" s="130" t="str">
        <f>IF(ISNUMBER(AA444),IF(Dashboard!$H$6&lt;&gt;"Horizontal",AC443+dateDistance,AC443),"")</f>
        <v/>
      </c>
      <c r="AD444" s="130" t="str">
        <f>IF(ISNUMBER(AA444),IF(Dashboard!$H$6="Horizontal",AD443+dateDistance,AD443),"")</f>
        <v/>
      </c>
      <c r="AE444" s="155"/>
      <c r="AF444" s="154"/>
      <c r="AG444" s="154"/>
      <c r="AH444" s="154"/>
      <c r="AK444" s="157"/>
      <c r="AL444" s="157"/>
      <c r="AM444" s="157"/>
    </row>
    <row r="445" spans="11:39" ht="15" customHeight="1" x14ac:dyDescent="0.25">
      <c r="K445" s="137" t="str">
        <f t="shared" si="68"/>
        <v/>
      </c>
      <c r="L445" s="127" t="str">
        <f t="shared" si="66"/>
        <v/>
      </c>
      <c r="AA445" s="130" t="str">
        <f t="shared" si="67"/>
        <v/>
      </c>
      <c r="AB445" s="131" t="str">
        <f t="array" ref="AB445">IF(AA445&lt;=$AA$2,MIN(IF($L$4:$L$503&lt;=AB444,99999999999,$L$4:$L$503)),"")</f>
        <v/>
      </c>
      <c r="AC445" s="130" t="str">
        <f>IF(ISNUMBER(AA445),IF(Dashboard!$H$6&lt;&gt;"Horizontal",AC444+dateDistance,AC444),"")</f>
        <v/>
      </c>
      <c r="AD445" s="130" t="str">
        <f>IF(ISNUMBER(AA445),IF(Dashboard!$H$6="Horizontal",AD444+dateDistance,AD444),"")</f>
        <v/>
      </c>
      <c r="AE445" s="155"/>
      <c r="AF445" s="154"/>
      <c r="AG445" s="154"/>
      <c r="AH445" s="154"/>
      <c r="AK445" s="157"/>
      <c r="AL445" s="157"/>
      <c r="AM445" s="157"/>
    </row>
    <row r="446" spans="11:39" ht="15" customHeight="1" x14ac:dyDescent="0.25">
      <c r="K446" s="137" t="str">
        <f t="shared" si="68"/>
        <v/>
      </c>
      <c r="L446" s="127" t="str">
        <f t="shared" si="66"/>
        <v/>
      </c>
      <c r="AA446" s="130" t="str">
        <f t="shared" si="67"/>
        <v/>
      </c>
      <c r="AB446" s="131" t="str">
        <f t="array" ref="AB446">IF(AA446&lt;=$AA$2,MIN(IF($L$4:$L$503&lt;=AB445,99999999999,$L$4:$L$503)),"")</f>
        <v/>
      </c>
      <c r="AC446" s="130" t="str">
        <f>IF(ISNUMBER(AA446),IF(Dashboard!$H$6&lt;&gt;"Horizontal",AC445+dateDistance,AC445),"")</f>
        <v/>
      </c>
      <c r="AD446" s="130" t="str">
        <f>IF(ISNUMBER(AA446),IF(Dashboard!$H$6="Horizontal",AD445+dateDistance,AD445),"")</f>
        <v/>
      </c>
      <c r="AE446" s="155"/>
      <c r="AF446" s="154"/>
      <c r="AG446" s="154"/>
      <c r="AH446" s="154"/>
      <c r="AK446" s="157"/>
      <c r="AL446" s="157"/>
      <c r="AM446" s="157"/>
    </row>
    <row r="447" spans="11:39" ht="15" customHeight="1" x14ac:dyDescent="0.25">
      <c r="K447" s="137" t="str">
        <f t="shared" si="68"/>
        <v/>
      </c>
      <c r="L447" s="127" t="str">
        <f t="shared" si="66"/>
        <v/>
      </c>
      <c r="AA447" s="130" t="str">
        <f t="shared" si="67"/>
        <v/>
      </c>
      <c r="AB447" s="131" t="str">
        <f t="array" ref="AB447">IF(AA447&lt;=$AA$2,MIN(IF($L$4:$L$503&lt;=AB446,99999999999,$L$4:$L$503)),"")</f>
        <v/>
      </c>
      <c r="AC447" s="130" t="str">
        <f>IF(ISNUMBER(AA447),IF(Dashboard!$H$6&lt;&gt;"Horizontal",AC446+dateDistance,AC446),"")</f>
        <v/>
      </c>
      <c r="AD447" s="130" t="str">
        <f>IF(ISNUMBER(AA447),IF(Dashboard!$H$6="Horizontal",AD446+dateDistance,AD446),"")</f>
        <v/>
      </c>
      <c r="AE447" s="155"/>
      <c r="AF447" s="154"/>
      <c r="AG447" s="154"/>
      <c r="AH447" s="154"/>
      <c r="AK447" s="157"/>
      <c r="AL447" s="157"/>
      <c r="AM447" s="157"/>
    </row>
    <row r="448" spans="11:39" ht="15" customHeight="1" x14ac:dyDescent="0.25">
      <c r="K448" s="137" t="str">
        <f t="shared" si="68"/>
        <v/>
      </c>
      <c r="L448" s="127" t="str">
        <f t="shared" si="66"/>
        <v/>
      </c>
      <c r="AA448" s="130" t="str">
        <f t="shared" si="67"/>
        <v/>
      </c>
      <c r="AB448" s="131" t="str">
        <f t="array" ref="AB448">IF(AA448&lt;=$AA$2,MIN(IF($L$4:$L$503&lt;=AB447,99999999999,$L$4:$L$503)),"")</f>
        <v/>
      </c>
      <c r="AC448" s="130" t="str">
        <f>IF(ISNUMBER(AA448),IF(Dashboard!$H$6&lt;&gt;"Horizontal",AC447+dateDistance,AC447),"")</f>
        <v/>
      </c>
      <c r="AD448" s="130" t="str">
        <f>IF(ISNUMBER(AA448),IF(Dashboard!$H$6="Horizontal",AD447+dateDistance,AD447),"")</f>
        <v/>
      </c>
      <c r="AE448" s="155"/>
      <c r="AF448" s="154"/>
      <c r="AG448" s="154"/>
      <c r="AH448" s="154"/>
      <c r="AK448" s="157"/>
      <c r="AL448" s="157"/>
      <c r="AM448" s="157"/>
    </row>
    <row r="449" spans="11:39" ht="15" customHeight="1" x14ac:dyDescent="0.25">
      <c r="K449" s="137" t="str">
        <f t="shared" si="68"/>
        <v/>
      </c>
      <c r="L449" s="127" t="str">
        <f t="shared" si="66"/>
        <v/>
      </c>
      <c r="AA449" s="130" t="str">
        <f t="shared" si="67"/>
        <v/>
      </c>
      <c r="AB449" s="131" t="str">
        <f t="array" ref="AB449">IF(AA449&lt;=$AA$2,MIN(IF($L$4:$L$503&lt;=AB448,99999999999,$L$4:$L$503)),"")</f>
        <v/>
      </c>
      <c r="AC449" s="130" t="str">
        <f>IF(ISNUMBER(AA449),IF(Dashboard!$H$6&lt;&gt;"Horizontal",AC448+dateDistance,AC448),"")</f>
        <v/>
      </c>
      <c r="AD449" s="130" t="str">
        <f>IF(ISNUMBER(AA449),IF(Dashboard!$H$6="Horizontal",AD448+dateDistance,AD448),"")</f>
        <v/>
      </c>
      <c r="AE449" s="155"/>
      <c r="AF449" s="154"/>
      <c r="AG449" s="154"/>
      <c r="AH449" s="154"/>
      <c r="AK449" s="157"/>
      <c r="AL449" s="157"/>
      <c r="AM449" s="157"/>
    </row>
    <row r="450" spans="11:39" ht="15" customHeight="1" x14ac:dyDescent="0.25">
      <c r="K450" s="137" t="str">
        <f t="shared" si="68"/>
        <v/>
      </c>
      <c r="L450" s="127" t="str">
        <f t="shared" si="66"/>
        <v/>
      </c>
      <c r="AA450" s="130" t="str">
        <f t="shared" si="67"/>
        <v/>
      </c>
      <c r="AB450" s="131" t="str">
        <f t="array" ref="AB450">IF(AA450&lt;=$AA$2,MIN(IF($L$4:$L$503&lt;=AB449,99999999999,$L$4:$L$503)),"")</f>
        <v/>
      </c>
      <c r="AC450" s="130" t="str">
        <f>IF(ISNUMBER(AA450),IF(Dashboard!$H$6&lt;&gt;"Horizontal",AC449+dateDistance,AC449),"")</f>
        <v/>
      </c>
      <c r="AD450" s="130" t="str">
        <f>IF(ISNUMBER(AA450),IF(Dashboard!$H$6="Horizontal",AD449+dateDistance,AD449),"")</f>
        <v/>
      </c>
      <c r="AE450" s="155"/>
      <c r="AF450" s="154"/>
      <c r="AG450" s="154"/>
      <c r="AH450" s="154"/>
      <c r="AK450" s="157"/>
      <c r="AL450" s="157"/>
      <c r="AM450" s="157"/>
    </row>
    <row r="451" spans="11:39" ht="15" customHeight="1" x14ac:dyDescent="0.25">
      <c r="K451" s="137" t="str">
        <f t="shared" si="68"/>
        <v/>
      </c>
      <c r="L451" s="127" t="str">
        <f t="shared" si="66"/>
        <v/>
      </c>
      <c r="AA451" s="130" t="str">
        <f t="shared" si="67"/>
        <v/>
      </c>
      <c r="AB451" s="131" t="str">
        <f t="array" ref="AB451">IF(AA451&lt;=$AA$2,MIN(IF($L$4:$L$503&lt;=AB450,99999999999,$L$4:$L$503)),"")</f>
        <v/>
      </c>
      <c r="AC451" s="130" t="str">
        <f>IF(ISNUMBER(AA451),IF(Dashboard!$H$6&lt;&gt;"Horizontal",AC450+dateDistance,AC450),"")</f>
        <v/>
      </c>
      <c r="AD451" s="130" t="str">
        <f>IF(ISNUMBER(AA451),IF(Dashboard!$H$6="Horizontal",AD450+dateDistance,AD450),"")</f>
        <v/>
      </c>
      <c r="AE451" s="155"/>
      <c r="AF451" s="154"/>
      <c r="AG451" s="154"/>
      <c r="AH451" s="154"/>
      <c r="AK451" s="157"/>
      <c r="AL451" s="157"/>
      <c r="AM451" s="157"/>
    </row>
    <row r="452" spans="11:39" ht="15" customHeight="1" x14ac:dyDescent="0.25">
      <c r="K452" s="137" t="str">
        <f t="shared" si="68"/>
        <v/>
      </c>
      <c r="L452" s="127" t="str">
        <f t="shared" ref="L452:L503" si="69">IFERROR(IF(K452&lt;=$G$2,SMALL($G$4:$G$253,K452),SMALL($H$4:$H$253,K452-$G$2)),"")</f>
        <v/>
      </c>
      <c r="AA452" s="130" t="str">
        <f t="shared" ref="AA452:AA503" si="70">IFERROR(IF(AA451+1&gt;$AA$2,"",AA451+1),"")</f>
        <v/>
      </c>
      <c r="AB452" s="131" t="str">
        <f t="array" ref="AB452">IF(AA452&lt;=$AA$2,MIN(IF($L$4:$L$503&lt;=AB451,99999999999,$L$4:$L$503)),"")</f>
        <v/>
      </c>
      <c r="AC452" s="130" t="str">
        <f>IF(ISNUMBER(AA452),IF(Dashboard!$H$6&lt;&gt;"Horizontal",AC451+dateDistance,AC451),"")</f>
        <v/>
      </c>
      <c r="AD452" s="130" t="str">
        <f>IF(ISNUMBER(AA452),IF(Dashboard!$H$6="Horizontal",AD451+dateDistance,AD451),"")</f>
        <v/>
      </c>
      <c r="AE452" s="155"/>
      <c r="AF452" s="154"/>
      <c r="AG452" s="154"/>
      <c r="AH452" s="154"/>
      <c r="AK452" s="157"/>
      <c r="AL452" s="157"/>
      <c r="AM452" s="157"/>
    </row>
    <row r="453" spans="11:39" ht="15" customHeight="1" x14ac:dyDescent="0.25">
      <c r="K453" s="137" t="str">
        <f t="shared" ref="K453:K503" si="71">IFERROR(IF(K452+1&gt;$G$2+$H$2,"",K452+1),"")</f>
        <v/>
      </c>
      <c r="L453" s="127" t="str">
        <f t="shared" si="69"/>
        <v/>
      </c>
      <c r="AA453" s="130" t="str">
        <f t="shared" si="70"/>
        <v/>
      </c>
      <c r="AB453" s="131" t="str">
        <f t="array" ref="AB453">IF(AA453&lt;=$AA$2,MIN(IF($L$4:$L$503&lt;=AB452,99999999999,$L$4:$L$503)),"")</f>
        <v/>
      </c>
      <c r="AC453" s="130" t="str">
        <f>IF(ISNUMBER(AA453),IF(Dashboard!$H$6&lt;&gt;"Horizontal",AC452+dateDistance,AC452),"")</f>
        <v/>
      </c>
      <c r="AD453" s="130" t="str">
        <f>IF(ISNUMBER(AA453),IF(Dashboard!$H$6="Horizontal",AD452+dateDistance,AD452),"")</f>
        <v/>
      </c>
      <c r="AE453" s="155"/>
      <c r="AF453" s="154"/>
      <c r="AG453" s="154"/>
      <c r="AH453" s="154"/>
      <c r="AK453" s="157"/>
      <c r="AL453" s="157"/>
      <c r="AM453" s="157"/>
    </row>
    <row r="454" spans="11:39" ht="15" customHeight="1" x14ac:dyDescent="0.25">
      <c r="K454" s="137" t="str">
        <f t="shared" si="71"/>
        <v/>
      </c>
      <c r="L454" s="127" t="str">
        <f t="shared" si="69"/>
        <v/>
      </c>
      <c r="AA454" s="130" t="str">
        <f t="shared" si="70"/>
        <v/>
      </c>
      <c r="AB454" s="131" t="str">
        <f t="array" ref="AB454">IF(AA454&lt;=$AA$2,MIN(IF($L$4:$L$503&lt;=AB453,99999999999,$L$4:$L$503)),"")</f>
        <v/>
      </c>
      <c r="AC454" s="130" t="str">
        <f>IF(ISNUMBER(AA454),IF(Dashboard!$H$6&lt;&gt;"Horizontal",AC453+dateDistance,AC453),"")</f>
        <v/>
      </c>
      <c r="AD454" s="130" t="str">
        <f>IF(ISNUMBER(AA454),IF(Dashboard!$H$6="Horizontal",AD453+dateDistance,AD453),"")</f>
        <v/>
      </c>
      <c r="AE454" s="155"/>
      <c r="AF454" s="154"/>
      <c r="AG454" s="154"/>
      <c r="AH454" s="154"/>
      <c r="AK454" s="157"/>
      <c r="AL454" s="157"/>
      <c r="AM454" s="157"/>
    </row>
    <row r="455" spans="11:39" ht="15" customHeight="1" x14ac:dyDescent="0.25">
      <c r="K455" s="137" t="str">
        <f t="shared" si="71"/>
        <v/>
      </c>
      <c r="L455" s="127" t="str">
        <f t="shared" si="69"/>
        <v/>
      </c>
      <c r="AA455" s="130" t="str">
        <f t="shared" si="70"/>
        <v/>
      </c>
      <c r="AB455" s="131" t="str">
        <f t="array" ref="AB455">IF(AA455&lt;=$AA$2,MIN(IF($L$4:$L$503&lt;=AB454,99999999999,$L$4:$L$503)),"")</f>
        <v/>
      </c>
      <c r="AC455" s="130" t="str">
        <f>IF(ISNUMBER(AA455),IF(Dashboard!$H$6&lt;&gt;"Horizontal",AC454+dateDistance,AC454),"")</f>
        <v/>
      </c>
      <c r="AD455" s="130" t="str">
        <f>IF(ISNUMBER(AA455),IF(Dashboard!$H$6="Horizontal",AD454+dateDistance,AD454),"")</f>
        <v/>
      </c>
      <c r="AE455" s="155"/>
      <c r="AF455" s="154"/>
      <c r="AG455" s="154"/>
      <c r="AH455" s="154"/>
      <c r="AK455" s="157"/>
      <c r="AL455" s="157"/>
      <c r="AM455" s="157"/>
    </row>
    <row r="456" spans="11:39" ht="15" customHeight="1" x14ac:dyDescent="0.25">
      <c r="K456" s="137" t="str">
        <f t="shared" si="71"/>
        <v/>
      </c>
      <c r="L456" s="127" t="str">
        <f t="shared" si="69"/>
        <v/>
      </c>
      <c r="AA456" s="130" t="str">
        <f t="shared" si="70"/>
        <v/>
      </c>
      <c r="AB456" s="131" t="str">
        <f t="array" ref="AB456">IF(AA456&lt;=$AA$2,MIN(IF($L$4:$L$503&lt;=AB455,99999999999,$L$4:$L$503)),"")</f>
        <v/>
      </c>
      <c r="AC456" s="130" t="str">
        <f>IF(ISNUMBER(AA456),IF(Dashboard!$H$6&lt;&gt;"Horizontal",AC455+dateDistance,AC455),"")</f>
        <v/>
      </c>
      <c r="AD456" s="130" t="str">
        <f>IF(ISNUMBER(AA456),IF(Dashboard!$H$6="Horizontal",AD455+dateDistance,AD455),"")</f>
        <v/>
      </c>
      <c r="AE456" s="155"/>
      <c r="AF456" s="154"/>
      <c r="AG456" s="154"/>
      <c r="AH456" s="154"/>
      <c r="AK456" s="157"/>
      <c r="AL456" s="157"/>
      <c r="AM456" s="157"/>
    </row>
    <row r="457" spans="11:39" ht="15" customHeight="1" x14ac:dyDescent="0.25">
      <c r="K457" s="137" t="str">
        <f t="shared" si="71"/>
        <v/>
      </c>
      <c r="L457" s="127" t="str">
        <f t="shared" si="69"/>
        <v/>
      </c>
      <c r="AA457" s="130" t="str">
        <f t="shared" si="70"/>
        <v/>
      </c>
      <c r="AB457" s="131" t="str">
        <f t="array" ref="AB457">IF(AA457&lt;=$AA$2,MIN(IF($L$4:$L$503&lt;=AB456,99999999999,$L$4:$L$503)),"")</f>
        <v/>
      </c>
      <c r="AC457" s="130" t="str">
        <f>IF(ISNUMBER(AA457),IF(Dashboard!$H$6&lt;&gt;"Horizontal",AC456+dateDistance,AC456),"")</f>
        <v/>
      </c>
      <c r="AD457" s="130" t="str">
        <f>IF(ISNUMBER(AA457),IF(Dashboard!$H$6="Horizontal",AD456+dateDistance,AD456),"")</f>
        <v/>
      </c>
      <c r="AE457" s="155"/>
      <c r="AF457" s="154"/>
      <c r="AG457" s="154"/>
      <c r="AH457" s="154"/>
      <c r="AK457" s="157"/>
      <c r="AL457" s="157"/>
      <c r="AM457" s="157"/>
    </row>
    <row r="458" spans="11:39" ht="15" customHeight="1" x14ac:dyDescent="0.25">
      <c r="K458" s="137" t="str">
        <f t="shared" si="71"/>
        <v/>
      </c>
      <c r="L458" s="127" t="str">
        <f t="shared" si="69"/>
        <v/>
      </c>
      <c r="AA458" s="130" t="str">
        <f t="shared" si="70"/>
        <v/>
      </c>
      <c r="AB458" s="131" t="str">
        <f t="array" ref="AB458">IF(AA458&lt;=$AA$2,MIN(IF($L$4:$L$503&lt;=AB457,99999999999,$L$4:$L$503)),"")</f>
        <v/>
      </c>
      <c r="AC458" s="130" t="str">
        <f>IF(ISNUMBER(AA458),IF(Dashboard!$H$6&lt;&gt;"Horizontal",AC457+dateDistance,AC457),"")</f>
        <v/>
      </c>
      <c r="AD458" s="130" t="str">
        <f>IF(ISNUMBER(AA458),IF(Dashboard!$H$6="Horizontal",AD457+dateDistance,AD457),"")</f>
        <v/>
      </c>
      <c r="AE458" s="155"/>
      <c r="AF458" s="154"/>
      <c r="AG458" s="154"/>
      <c r="AH458" s="154"/>
      <c r="AK458" s="157"/>
      <c r="AL458" s="157"/>
      <c r="AM458" s="157"/>
    </row>
    <row r="459" spans="11:39" ht="15" customHeight="1" x14ac:dyDescent="0.25">
      <c r="K459" s="137" t="str">
        <f t="shared" si="71"/>
        <v/>
      </c>
      <c r="L459" s="127" t="str">
        <f t="shared" si="69"/>
        <v/>
      </c>
      <c r="AA459" s="130" t="str">
        <f t="shared" si="70"/>
        <v/>
      </c>
      <c r="AB459" s="131" t="str">
        <f t="array" ref="AB459">IF(AA459&lt;=$AA$2,MIN(IF($L$4:$L$503&lt;=AB458,99999999999,$L$4:$L$503)),"")</f>
        <v/>
      </c>
      <c r="AC459" s="130" t="str">
        <f>IF(ISNUMBER(AA459),IF(Dashboard!$H$6&lt;&gt;"Horizontal",AC458+dateDistance,AC458),"")</f>
        <v/>
      </c>
      <c r="AD459" s="130" t="str">
        <f>IF(ISNUMBER(AA459),IF(Dashboard!$H$6="Horizontal",AD458+dateDistance,AD458),"")</f>
        <v/>
      </c>
      <c r="AE459" s="155"/>
      <c r="AF459" s="154"/>
      <c r="AG459" s="154"/>
      <c r="AH459" s="154"/>
      <c r="AK459" s="157"/>
      <c r="AL459" s="157"/>
      <c r="AM459" s="157"/>
    </row>
    <row r="460" spans="11:39" ht="15" customHeight="1" x14ac:dyDescent="0.25">
      <c r="K460" s="137" t="str">
        <f t="shared" si="71"/>
        <v/>
      </c>
      <c r="L460" s="127" t="str">
        <f t="shared" si="69"/>
        <v/>
      </c>
      <c r="AA460" s="130" t="str">
        <f t="shared" si="70"/>
        <v/>
      </c>
      <c r="AB460" s="131" t="str">
        <f t="array" ref="AB460">IF(AA460&lt;=$AA$2,MIN(IF($L$4:$L$503&lt;=AB459,99999999999,$L$4:$L$503)),"")</f>
        <v/>
      </c>
      <c r="AC460" s="130" t="str">
        <f>IF(ISNUMBER(AA460),IF(Dashboard!$H$6&lt;&gt;"Horizontal",AC459+dateDistance,AC459),"")</f>
        <v/>
      </c>
      <c r="AD460" s="130" t="str">
        <f>IF(ISNUMBER(AA460),IF(Dashboard!$H$6="Horizontal",AD459+dateDistance,AD459),"")</f>
        <v/>
      </c>
      <c r="AE460" s="155"/>
      <c r="AF460" s="154"/>
      <c r="AG460" s="154"/>
      <c r="AH460" s="154"/>
      <c r="AK460" s="157"/>
      <c r="AL460" s="157"/>
      <c r="AM460" s="157"/>
    </row>
    <row r="461" spans="11:39" ht="15" customHeight="1" x14ac:dyDescent="0.25">
      <c r="K461" s="137" t="str">
        <f t="shared" si="71"/>
        <v/>
      </c>
      <c r="L461" s="127" t="str">
        <f t="shared" si="69"/>
        <v/>
      </c>
      <c r="AA461" s="130" t="str">
        <f t="shared" si="70"/>
        <v/>
      </c>
      <c r="AB461" s="131" t="str">
        <f t="array" ref="AB461">IF(AA461&lt;=$AA$2,MIN(IF($L$4:$L$503&lt;=AB460,99999999999,$L$4:$L$503)),"")</f>
        <v/>
      </c>
      <c r="AC461" s="130" t="str">
        <f>IF(ISNUMBER(AA461),IF(Dashboard!$H$6&lt;&gt;"Horizontal",AC460+dateDistance,AC460),"")</f>
        <v/>
      </c>
      <c r="AD461" s="130" t="str">
        <f>IF(ISNUMBER(AA461),IF(Dashboard!$H$6="Horizontal",AD460+dateDistance,AD460),"")</f>
        <v/>
      </c>
      <c r="AE461" s="155"/>
      <c r="AF461" s="154"/>
      <c r="AG461" s="154"/>
      <c r="AH461" s="154"/>
      <c r="AK461" s="157"/>
      <c r="AL461" s="157"/>
      <c r="AM461" s="157"/>
    </row>
    <row r="462" spans="11:39" ht="15" customHeight="1" x14ac:dyDescent="0.25">
      <c r="K462" s="137" t="str">
        <f t="shared" si="71"/>
        <v/>
      </c>
      <c r="L462" s="127" t="str">
        <f t="shared" si="69"/>
        <v/>
      </c>
      <c r="AA462" s="130" t="str">
        <f t="shared" si="70"/>
        <v/>
      </c>
      <c r="AB462" s="131" t="str">
        <f t="array" ref="AB462">IF(AA462&lt;=$AA$2,MIN(IF($L$4:$L$503&lt;=AB461,99999999999,$L$4:$L$503)),"")</f>
        <v/>
      </c>
      <c r="AC462" s="130" t="str">
        <f>IF(ISNUMBER(AA462),IF(Dashboard!$H$6&lt;&gt;"Horizontal",AC461+dateDistance,AC461),"")</f>
        <v/>
      </c>
      <c r="AD462" s="130" t="str">
        <f>IF(ISNUMBER(AA462),IF(Dashboard!$H$6="Horizontal",AD461+dateDistance,AD461),"")</f>
        <v/>
      </c>
      <c r="AE462" s="155"/>
      <c r="AF462" s="154"/>
      <c r="AG462" s="154"/>
      <c r="AH462" s="154"/>
      <c r="AK462" s="157"/>
      <c r="AL462" s="157"/>
      <c r="AM462" s="157"/>
    </row>
    <row r="463" spans="11:39" ht="15" customHeight="1" x14ac:dyDescent="0.25">
      <c r="K463" s="137" t="str">
        <f t="shared" si="71"/>
        <v/>
      </c>
      <c r="L463" s="127" t="str">
        <f t="shared" si="69"/>
        <v/>
      </c>
      <c r="AA463" s="130" t="str">
        <f t="shared" si="70"/>
        <v/>
      </c>
      <c r="AB463" s="131" t="str">
        <f t="array" ref="AB463">IF(AA463&lt;=$AA$2,MIN(IF($L$4:$L$503&lt;=AB462,99999999999,$L$4:$L$503)),"")</f>
        <v/>
      </c>
      <c r="AC463" s="130" t="str">
        <f>IF(ISNUMBER(AA463),IF(Dashboard!$H$6&lt;&gt;"Horizontal",AC462+dateDistance,AC462),"")</f>
        <v/>
      </c>
      <c r="AD463" s="130" t="str">
        <f>IF(ISNUMBER(AA463),IF(Dashboard!$H$6="Horizontal",AD462+dateDistance,AD462),"")</f>
        <v/>
      </c>
      <c r="AE463" s="155"/>
      <c r="AF463" s="154"/>
      <c r="AG463" s="154"/>
      <c r="AH463" s="154"/>
      <c r="AK463" s="157"/>
      <c r="AL463" s="157"/>
      <c r="AM463" s="157"/>
    </row>
    <row r="464" spans="11:39" ht="15" customHeight="1" x14ac:dyDescent="0.25">
      <c r="K464" s="137" t="str">
        <f t="shared" si="71"/>
        <v/>
      </c>
      <c r="L464" s="127" t="str">
        <f t="shared" si="69"/>
        <v/>
      </c>
      <c r="AA464" s="130" t="str">
        <f t="shared" si="70"/>
        <v/>
      </c>
      <c r="AB464" s="131" t="str">
        <f t="array" ref="AB464">IF(AA464&lt;=$AA$2,MIN(IF($L$4:$L$503&lt;=AB463,99999999999,$L$4:$L$503)),"")</f>
        <v/>
      </c>
      <c r="AC464" s="130" t="str">
        <f>IF(ISNUMBER(AA464),IF(Dashboard!$H$6&lt;&gt;"Horizontal",AC463+dateDistance,AC463),"")</f>
        <v/>
      </c>
      <c r="AD464" s="130" t="str">
        <f>IF(ISNUMBER(AA464),IF(Dashboard!$H$6="Horizontal",AD463+dateDistance,AD463),"")</f>
        <v/>
      </c>
      <c r="AE464" s="155"/>
      <c r="AF464" s="154"/>
      <c r="AG464" s="154"/>
      <c r="AH464" s="154"/>
      <c r="AK464" s="157"/>
      <c r="AL464" s="157"/>
      <c r="AM464" s="157"/>
    </row>
    <row r="465" spans="11:39" ht="15" customHeight="1" x14ac:dyDescent="0.25">
      <c r="K465" s="137" t="str">
        <f t="shared" si="71"/>
        <v/>
      </c>
      <c r="L465" s="127" t="str">
        <f t="shared" si="69"/>
        <v/>
      </c>
      <c r="AA465" s="130" t="str">
        <f t="shared" si="70"/>
        <v/>
      </c>
      <c r="AB465" s="131" t="str">
        <f t="array" ref="AB465">IF(AA465&lt;=$AA$2,MIN(IF($L$4:$L$503&lt;=AB464,99999999999,$L$4:$L$503)),"")</f>
        <v/>
      </c>
      <c r="AC465" s="130" t="str">
        <f>IF(ISNUMBER(AA465),IF(Dashboard!$H$6&lt;&gt;"Horizontal",AC464+dateDistance,AC464),"")</f>
        <v/>
      </c>
      <c r="AD465" s="130" t="str">
        <f>IF(ISNUMBER(AA465),IF(Dashboard!$H$6="Horizontal",AD464+dateDistance,AD464),"")</f>
        <v/>
      </c>
      <c r="AE465" s="155"/>
      <c r="AF465" s="154"/>
      <c r="AG465" s="154"/>
      <c r="AH465" s="154"/>
      <c r="AK465" s="157"/>
      <c r="AL465" s="157"/>
      <c r="AM465" s="157"/>
    </row>
    <row r="466" spans="11:39" ht="15" customHeight="1" x14ac:dyDescent="0.25">
      <c r="K466" s="137" t="str">
        <f t="shared" si="71"/>
        <v/>
      </c>
      <c r="L466" s="127" t="str">
        <f t="shared" si="69"/>
        <v/>
      </c>
      <c r="AA466" s="130" t="str">
        <f t="shared" si="70"/>
        <v/>
      </c>
      <c r="AB466" s="131" t="str">
        <f t="array" ref="AB466">IF(AA466&lt;=$AA$2,MIN(IF($L$4:$L$503&lt;=AB465,99999999999,$L$4:$L$503)),"")</f>
        <v/>
      </c>
      <c r="AC466" s="130" t="str">
        <f>IF(ISNUMBER(AA466),IF(Dashboard!$H$6&lt;&gt;"Horizontal",AC465+dateDistance,AC465),"")</f>
        <v/>
      </c>
      <c r="AD466" s="130" t="str">
        <f>IF(ISNUMBER(AA466),IF(Dashboard!$H$6="Horizontal",AD465+dateDistance,AD465),"")</f>
        <v/>
      </c>
      <c r="AE466" s="155"/>
      <c r="AF466" s="154"/>
      <c r="AG466" s="154"/>
      <c r="AH466" s="154"/>
      <c r="AK466" s="157"/>
      <c r="AL466" s="157"/>
      <c r="AM466" s="157"/>
    </row>
    <row r="467" spans="11:39" ht="15" customHeight="1" x14ac:dyDescent="0.25">
      <c r="K467" s="137" t="str">
        <f t="shared" si="71"/>
        <v/>
      </c>
      <c r="L467" s="127" t="str">
        <f t="shared" si="69"/>
        <v/>
      </c>
      <c r="AA467" s="130" t="str">
        <f t="shared" si="70"/>
        <v/>
      </c>
      <c r="AB467" s="131" t="str">
        <f t="array" ref="AB467">IF(AA467&lt;=$AA$2,MIN(IF($L$4:$L$503&lt;=AB466,99999999999,$L$4:$L$503)),"")</f>
        <v/>
      </c>
      <c r="AC467" s="130" t="str">
        <f>IF(ISNUMBER(AA467),IF(Dashboard!$H$6&lt;&gt;"Horizontal",AC466+dateDistance,AC466),"")</f>
        <v/>
      </c>
      <c r="AD467" s="130" t="str">
        <f>IF(ISNUMBER(AA467),IF(Dashboard!$H$6="Horizontal",AD466+dateDistance,AD466),"")</f>
        <v/>
      </c>
      <c r="AE467" s="155"/>
      <c r="AF467" s="154"/>
      <c r="AG467" s="154"/>
      <c r="AH467" s="154"/>
      <c r="AK467" s="157"/>
      <c r="AL467" s="157"/>
      <c r="AM467" s="157"/>
    </row>
    <row r="468" spans="11:39" ht="15" customHeight="1" x14ac:dyDescent="0.25">
      <c r="K468" s="137" t="str">
        <f t="shared" si="71"/>
        <v/>
      </c>
      <c r="L468" s="127" t="str">
        <f t="shared" si="69"/>
        <v/>
      </c>
      <c r="AA468" s="130" t="str">
        <f t="shared" si="70"/>
        <v/>
      </c>
      <c r="AB468" s="131" t="str">
        <f t="array" ref="AB468">IF(AA468&lt;=$AA$2,MIN(IF($L$4:$L$503&lt;=AB467,99999999999,$L$4:$L$503)),"")</f>
        <v/>
      </c>
      <c r="AC468" s="130" t="str">
        <f>IF(ISNUMBER(AA468),IF(Dashboard!$H$6&lt;&gt;"Horizontal",AC467+dateDistance,AC467),"")</f>
        <v/>
      </c>
      <c r="AD468" s="130" t="str">
        <f>IF(ISNUMBER(AA468),IF(Dashboard!$H$6="Horizontal",AD467+dateDistance,AD467),"")</f>
        <v/>
      </c>
      <c r="AE468" s="155"/>
      <c r="AF468" s="154"/>
      <c r="AG468" s="154"/>
      <c r="AH468" s="154"/>
      <c r="AK468" s="157"/>
      <c r="AL468" s="157"/>
      <c r="AM468" s="157"/>
    </row>
    <row r="469" spans="11:39" ht="15" customHeight="1" x14ac:dyDescent="0.25">
      <c r="K469" s="137" t="str">
        <f t="shared" si="71"/>
        <v/>
      </c>
      <c r="L469" s="127" t="str">
        <f t="shared" si="69"/>
        <v/>
      </c>
      <c r="AA469" s="130" t="str">
        <f t="shared" si="70"/>
        <v/>
      </c>
      <c r="AB469" s="131" t="str">
        <f t="array" ref="AB469">IF(AA469&lt;=$AA$2,MIN(IF($L$4:$L$503&lt;=AB468,99999999999,$L$4:$L$503)),"")</f>
        <v/>
      </c>
      <c r="AC469" s="130" t="str">
        <f>IF(ISNUMBER(AA469),IF(Dashboard!$H$6&lt;&gt;"Horizontal",AC468+dateDistance,AC468),"")</f>
        <v/>
      </c>
      <c r="AD469" s="130" t="str">
        <f>IF(ISNUMBER(AA469),IF(Dashboard!$H$6="Horizontal",AD468+dateDistance,AD468),"")</f>
        <v/>
      </c>
      <c r="AE469" s="155"/>
      <c r="AF469" s="154"/>
      <c r="AG469" s="154"/>
      <c r="AH469" s="154"/>
      <c r="AK469" s="157"/>
      <c r="AL469" s="157"/>
      <c r="AM469" s="157"/>
    </row>
    <row r="470" spans="11:39" ht="15" customHeight="1" x14ac:dyDescent="0.25">
      <c r="K470" s="137" t="str">
        <f t="shared" si="71"/>
        <v/>
      </c>
      <c r="L470" s="127" t="str">
        <f t="shared" si="69"/>
        <v/>
      </c>
      <c r="AA470" s="130" t="str">
        <f t="shared" si="70"/>
        <v/>
      </c>
      <c r="AB470" s="131" t="str">
        <f t="array" ref="AB470">IF(AA470&lt;=$AA$2,MIN(IF($L$4:$L$503&lt;=AB469,99999999999,$L$4:$L$503)),"")</f>
        <v/>
      </c>
      <c r="AC470" s="130" t="str">
        <f>IF(ISNUMBER(AA470),IF(Dashboard!$H$6&lt;&gt;"Horizontal",AC469+dateDistance,AC469),"")</f>
        <v/>
      </c>
      <c r="AD470" s="130" t="str">
        <f>IF(ISNUMBER(AA470),IF(Dashboard!$H$6="Horizontal",AD469+dateDistance,AD469),"")</f>
        <v/>
      </c>
      <c r="AE470" s="155"/>
      <c r="AF470" s="154"/>
      <c r="AG470" s="154"/>
      <c r="AH470" s="154"/>
      <c r="AK470" s="157"/>
      <c r="AL470" s="157"/>
      <c r="AM470" s="157"/>
    </row>
    <row r="471" spans="11:39" ht="15" customHeight="1" x14ac:dyDescent="0.25">
      <c r="K471" s="137" t="str">
        <f t="shared" si="71"/>
        <v/>
      </c>
      <c r="L471" s="127" t="str">
        <f t="shared" si="69"/>
        <v/>
      </c>
      <c r="AA471" s="130" t="str">
        <f t="shared" si="70"/>
        <v/>
      </c>
      <c r="AB471" s="131" t="str">
        <f t="array" ref="AB471">IF(AA471&lt;=$AA$2,MIN(IF($L$4:$L$503&lt;=AB470,99999999999,$L$4:$L$503)),"")</f>
        <v/>
      </c>
      <c r="AC471" s="130" t="str">
        <f>IF(ISNUMBER(AA471),IF(Dashboard!$H$6&lt;&gt;"Horizontal",AC470+dateDistance,AC470),"")</f>
        <v/>
      </c>
      <c r="AD471" s="130" t="str">
        <f>IF(ISNUMBER(AA471),IF(Dashboard!$H$6="Horizontal",AD470+dateDistance,AD470),"")</f>
        <v/>
      </c>
      <c r="AE471" s="155"/>
      <c r="AF471" s="154"/>
      <c r="AG471" s="154"/>
      <c r="AH471" s="154"/>
      <c r="AK471" s="157"/>
      <c r="AL471" s="157"/>
      <c r="AM471" s="157"/>
    </row>
    <row r="472" spans="11:39" ht="15" customHeight="1" x14ac:dyDescent="0.25">
      <c r="K472" s="137" t="str">
        <f t="shared" si="71"/>
        <v/>
      </c>
      <c r="L472" s="127" t="str">
        <f t="shared" si="69"/>
        <v/>
      </c>
      <c r="AA472" s="130" t="str">
        <f t="shared" si="70"/>
        <v/>
      </c>
      <c r="AB472" s="131" t="str">
        <f t="array" ref="AB472">IF(AA472&lt;=$AA$2,MIN(IF($L$4:$L$503&lt;=AB471,99999999999,$L$4:$L$503)),"")</f>
        <v/>
      </c>
      <c r="AC472" s="130" t="str">
        <f>IF(ISNUMBER(AA472),IF(Dashboard!$H$6&lt;&gt;"Horizontal",AC471+dateDistance,AC471),"")</f>
        <v/>
      </c>
      <c r="AD472" s="130" t="str">
        <f>IF(ISNUMBER(AA472),IF(Dashboard!$H$6="Horizontal",AD471+dateDistance,AD471),"")</f>
        <v/>
      </c>
      <c r="AE472" s="155"/>
      <c r="AF472" s="154"/>
      <c r="AG472" s="154"/>
      <c r="AH472" s="154"/>
      <c r="AK472" s="157"/>
      <c r="AL472" s="157"/>
      <c r="AM472" s="157"/>
    </row>
    <row r="473" spans="11:39" ht="15" customHeight="1" x14ac:dyDescent="0.25">
      <c r="K473" s="137" t="str">
        <f t="shared" si="71"/>
        <v/>
      </c>
      <c r="L473" s="127" t="str">
        <f t="shared" si="69"/>
        <v/>
      </c>
      <c r="AA473" s="130" t="str">
        <f t="shared" si="70"/>
        <v/>
      </c>
      <c r="AB473" s="131" t="str">
        <f t="array" ref="AB473">IF(AA473&lt;=$AA$2,MIN(IF($L$4:$L$503&lt;=AB472,99999999999,$L$4:$L$503)),"")</f>
        <v/>
      </c>
      <c r="AC473" s="130" t="str">
        <f>IF(ISNUMBER(AA473),IF(Dashboard!$H$6&lt;&gt;"Horizontal",AC472+dateDistance,AC472),"")</f>
        <v/>
      </c>
      <c r="AD473" s="130" t="str">
        <f>IF(ISNUMBER(AA473),IF(Dashboard!$H$6="Horizontal",AD472+dateDistance,AD472),"")</f>
        <v/>
      </c>
      <c r="AE473" s="155"/>
      <c r="AF473" s="154"/>
      <c r="AG473" s="154"/>
      <c r="AH473" s="154"/>
      <c r="AK473" s="157"/>
      <c r="AL473" s="157"/>
      <c r="AM473" s="157"/>
    </row>
    <row r="474" spans="11:39" ht="15" customHeight="1" x14ac:dyDescent="0.25">
      <c r="K474" s="137" t="str">
        <f t="shared" si="71"/>
        <v/>
      </c>
      <c r="L474" s="127" t="str">
        <f t="shared" si="69"/>
        <v/>
      </c>
      <c r="AA474" s="130" t="str">
        <f t="shared" si="70"/>
        <v/>
      </c>
      <c r="AB474" s="131" t="str">
        <f t="array" ref="AB474">IF(AA474&lt;=$AA$2,MIN(IF($L$4:$L$503&lt;=AB473,99999999999,$L$4:$L$503)),"")</f>
        <v/>
      </c>
      <c r="AC474" s="130" t="str">
        <f>IF(ISNUMBER(AA474),IF(Dashboard!$H$6&lt;&gt;"Horizontal",AC473+dateDistance,AC473),"")</f>
        <v/>
      </c>
      <c r="AD474" s="130" t="str">
        <f>IF(ISNUMBER(AA474),IF(Dashboard!$H$6="Horizontal",AD473+dateDistance,AD473),"")</f>
        <v/>
      </c>
      <c r="AE474" s="155"/>
      <c r="AF474" s="154"/>
      <c r="AG474" s="154"/>
      <c r="AH474" s="154"/>
      <c r="AK474" s="157"/>
      <c r="AL474" s="157"/>
      <c r="AM474" s="157"/>
    </row>
    <row r="475" spans="11:39" ht="15" customHeight="1" x14ac:dyDescent="0.25">
      <c r="K475" s="137" t="str">
        <f t="shared" si="71"/>
        <v/>
      </c>
      <c r="L475" s="127" t="str">
        <f t="shared" si="69"/>
        <v/>
      </c>
      <c r="AA475" s="130" t="str">
        <f t="shared" si="70"/>
        <v/>
      </c>
      <c r="AB475" s="131" t="str">
        <f t="array" ref="AB475">IF(AA475&lt;=$AA$2,MIN(IF($L$4:$L$503&lt;=AB474,99999999999,$L$4:$L$503)),"")</f>
        <v/>
      </c>
      <c r="AC475" s="130" t="str">
        <f>IF(ISNUMBER(AA475),IF(Dashboard!$H$6&lt;&gt;"Horizontal",AC474+dateDistance,AC474),"")</f>
        <v/>
      </c>
      <c r="AD475" s="130" t="str">
        <f>IF(ISNUMBER(AA475),IF(Dashboard!$H$6="Horizontal",AD474+dateDistance,AD474),"")</f>
        <v/>
      </c>
      <c r="AE475" s="155"/>
      <c r="AF475" s="154"/>
      <c r="AG475" s="154"/>
      <c r="AH475" s="154"/>
      <c r="AK475" s="157"/>
      <c r="AL475" s="157"/>
      <c r="AM475" s="157"/>
    </row>
    <row r="476" spans="11:39" ht="15" customHeight="1" x14ac:dyDescent="0.25">
      <c r="K476" s="137" t="str">
        <f t="shared" si="71"/>
        <v/>
      </c>
      <c r="L476" s="127" t="str">
        <f t="shared" si="69"/>
        <v/>
      </c>
      <c r="AA476" s="130" t="str">
        <f t="shared" si="70"/>
        <v/>
      </c>
      <c r="AB476" s="131" t="str">
        <f t="array" ref="AB476">IF(AA476&lt;=$AA$2,MIN(IF($L$4:$L$503&lt;=AB475,99999999999,$L$4:$L$503)),"")</f>
        <v/>
      </c>
      <c r="AC476" s="130" t="str">
        <f>IF(ISNUMBER(AA476),IF(Dashboard!$H$6&lt;&gt;"Horizontal",AC475+dateDistance,AC475),"")</f>
        <v/>
      </c>
      <c r="AD476" s="130" t="str">
        <f>IF(ISNUMBER(AA476),IF(Dashboard!$H$6="Horizontal",AD475+dateDistance,AD475),"")</f>
        <v/>
      </c>
      <c r="AE476" s="155"/>
      <c r="AF476" s="154"/>
      <c r="AG476" s="154"/>
      <c r="AH476" s="154"/>
      <c r="AK476" s="157"/>
      <c r="AL476" s="157"/>
      <c r="AM476" s="157"/>
    </row>
    <row r="477" spans="11:39" ht="15" customHeight="1" x14ac:dyDescent="0.25">
      <c r="K477" s="137" t="str">
        <f t="shared" si="71"/>
        <v/>
      </c>
      <c r="L477" s="127" t="str">
        <f t="shared" si="69"/>
        <v/>
      </c>
      <c r="AA477" s="130" t="str">
        <f t="shared" si="70"/>
        <v/>
      </c>
      <c r="AB477" s="131" t="str">
        <f t="array" ref="AB477">IF(AA477&lt;=$AA$2,MIN(IF($L$4:$L$503&lt;=AB476,99999999999,$L$4:$L$503)),"")</f>
        <v/>
      </c>
      <c r="AC477" s="130" t="str">
        <f>IF(ISNUMBER(AA477),IF(Dashboard!$H$6&lt;&gt;"Horizontal",AC476+dateDistance,AC476),"")</f>
        <v/>
      </c>
      <c r="AD477" s="130" t="str">
        <f>IF(ISNUMBER(AA477),IF(Dashboard!$H$6="Horizontal",AD476+dateDistance,AD476),"")</f>
        <v/>
      </c>
      <c r="AE477" s="155"/>
      <c r="AF477" s="154"/>
      <c r="AG477" s="154"/>
      <c r="AH477" s="154"/>
      <c r="AK477" s="157"/>
      <c r="AL477" s="157"/>
      <c r="AM477" s="157"/>
    </row>
    <row r="478" spans="11:39" ht="15" customHeight="1" x14ac:dyDescent="0.25">
      <c r="K478" s="137" t="str">
        <f t="shared" si="71"/>
        <v/>
      </c>
      <c r="L478" s="127" t="str">
        <f t="shared" si="69"/>
        <v/>
      </c>
      <c r="AA478" s="130" t="str">
        <f t="shared" si="70"/>
        <v/>
      </c>
      <c r="AB478" s="131" t="str">
        <f t="array" ref="AB478">IF(AA478&lt;=$AA$2,MIN(IF($L$4:$L$503&lt;=AB477,99999999999,$L$4:$L$503)),"")</f>
        <v/>
      </c>
      <c r="AC478" s="130" t="str">
        <f>IF(ISNUMBER(AA478),IF(Dashboard!$H$6&lt;&gt;"Horizontal",AC477+dateDistance,AC477),"")</f>
        <v/>
      </c>
      <c r="AD478" s="130" t="str">
        <f>IF(ISNUMBER(AA478),IF(Dashboard!$H$6="Horizontal",AD477+dateDistance,AD477),"")</f>
        <v/>
      </c>
      <c r="AE478" s="155"/>
      <c r="AF478" s="154"/>
      <c r="AG478" s="154"/>
      <c r="AH478" s="154"/>
      <c r="AK478" s="157"/>
      <c r="AL478" s="157"/>
      <c r="AM478" s="157"/>
    </row>
    <row r="479" spans="11:39" ht="15" customHeight="1" x14ac:dyDescent="0.25">
      <c r="K479" s="137" t="str">
        <f t="shared" si="71"/>
        <v/>
      </c>
      <c r="L479" s="127" t="str">
        <f t="shared" si="69"/>
        <v/>
      </c>
      <c r="AA479" s="130" t="str">
        <f t="shared" si="70"/>
        <v/>
      </c>
      <c r="AB479" s="131" t="str">
        <f t="array" ref="AB479">IF(AA479&lt;=$AA$2,MIN(IF($L$4:$L$503&lt;=AB478,99999999999,$L$4:$L$503)),"")</f>
        <v/>
      </c>
      <c r="AC479" s="130" t="str">
        <f>IF(ISNUMBER(AA479),IF(Dashboard!$H$6&lt;&gt;"Horizontal",AC478+dateDistance,AC478),"")</f>
        <v/>
      </c>
      <c r="AD479" s="130" t="str">
        <f>IF(ISNUMBER(AA479),IF(Dashboard!$H$6="Horizontal",AD478+dateDistance,AD478),"")</f>
        <v/>
      </c>
      <c r="AE479" s="155"/>
      <c r="AF479" s="154"/>
      <c r="AG479" s="154"/>
      <c r="AH479" s="154"/>
      <c r="AK479" s="157"/>
      <c r="AL479" s="157"/>
      <c r="AM479" s="157"/>
    </row>
    <row r="480" spans="11:39" ht="15" customHeight="1" x14ac:dyDescent="0.25">
      <c r="K480" s="137" t="str">
        <f t="shared" si="71"/>
        <v/>
      </c>
      <c r="L480" s="127" t="str">
        <f t="shared" si="69"/>
        <v/>
      </c>
      <c r="AA480" s="130" t="str">
        <f t="shared" si="70"/>
        <v/>
      </c>
      <c r="AB480" s="131" t="str">
        <f t="array" ref="AB480">IF(AA480&lt;=$AA$2,MIN(IF($L$4:$L$503&lt;=AB479,99999999999,$L$4:$L$503)),"")</f>
        <v/>
      </c>
      <c r="AC480" s="130" t="str">
        <f>IF(ISNUMBER(AA480),IF(Dashboard!$H$6&lt;&gt;"Horizontal",AC479+dateDistance,AC479),"")</f>
        <v/>
      </c>
      <c r="AD480" s="130" t="str">
        <f>IF(ISNUMBER(AA480),IF(Dashboard!$H$6="Horizontal",AD479+dateDistance,AD479),"")</f>
        <v/>
      </c>
      <c r="AE480" s="155"/>
      <c r="AF480" s="154"/>
      <c r="AG480" s="154"/>
      <c r="AH480" s="154"/>
      <c r="AK480" s="157"/>
      <c r="AL480" s="157"/>
      <c r="AM480" s="157"/>
    </row>
    <row r="481" spans="11:39" ht="15" customHeight="1" x14ac:dyDescent="0.25">
      <c r="K481" s="137" t="str">
        <f t="shared" si="71"/>
        <v/>
      </c>
      <c r="L481" s="127" t="str">
        <f t="shared" si="69"/>
        <v/>
      </c>
      <c r="AA481" s="130" t="str">
        <f t="shared" si="70"/>
        <v/>
      </c>
      <c r="AB481" s="131" t="str">
        <f t="array" ref="AB481">IF(AA481&lt;=$AA$2,MIN(IF($L$4:$L$503&lt;=AB480,99999999999,$L$4:$L$503)),"")</f>
        <v/>
      </c>
      <c r="AC481" s="130" t="str">
        <f>IF(ISNUMBER(AA481),IF(Dashboard!$H$6&lt;&gt;"Horizontal",AC480+dateDistance,AC480),"")</f>
        <v/>
      </c>
      <c r="AD481" s="130" t="str">
        <f>IF(ISNUMBER(AA481),IF(Dashboard!$H$6="Horizontal",AD480+dateDistance,AD480),"")</f>
        <v/>
      </c>
      <c r="AE481" s="155"/>
      <c r="AF481" s="154"/>
      <c r="AG481" s="154"/>
      <c r="AH481" s="154"/>
      <c r="AK481" s="157"/>
      <c r="AL481" s="157"/>
      <c r="AM481" s="157"/>
    </row>
    <row r="482" spans="11:39" ht="15" customHeight="1" x14ac:dyDescent="0.25">
      <c r="K482" s="137" t="str">
        <f t="shared" si="71"/>
        <v/>
      </c>
      <c r="L482" s="127" t="str">
        <f t="shared" si="69"/>
        <v/>
      </c>
      <c r="AA482" s="130" t="str">
        <f t="shared" si="70"/>
        <v/>
      </c>
      <c r="AB482" s="131" t="str">
        <f t="array" ref="AB482">IF(AA482&lt;=$AA$2,MIN(IF($L$4:$L$503&lt;=AB481,99999999999,$L$4:$L$503)),"")</f>
        <v/>
      </c>
      <c r="AC482" s="130" t="str">
        <f>IF(ISNUMBER(AA482),IF(Dashboard!$H$6&lt;&gt;"Horizontal",AC481+dateDistance,AC481),"")</f>
        <v/>
      </c>
      <c r="AD482" s="130" t="str">
        <f>IF(ISNUMBER(AA482),IF(Dashboard!$H$6="Horizontal",AD481+dateDistance,AD481),"")</f>
        <v/>
      </c>
      <c r="AE482" s="155"/>
      <c r="AF482" s="154"/>
      <c r="AG482" s="154"/>
      <c r="AH482" s="154"/>
      <c r="AK482" s="157"/>
      <c r="AL482" s="157"/>
      <c r="AM482" s="157"/>
    </row>
    <row r="483" spans="11:39" ht="15" customHeight="1" x14ac:dyDescent="0.25">
      <c r="K483" s="137" t="str">
        <f t="shared" si="71"/>
        <v/>
      </c>
      <c r="L483" s="127" t="str">
        <f t="shared" si="69"/>
        <v/>
      </c>
      <c r="AA483" s="130" t="str">
        <f t="shared" si="70"/>
        <v/>
      </c>
      <c r="AB483" s="131" t="str">
        <f t="array" ref="AB483">IF(AA483&lt;=$AA$2,MIN(IF($L$4:$L$503&lt;=AB482,99999999999,$L$4:$L$503)),"")</f>
        <v/>
      </c>
      <c r="AC483" s="130" t="str">
        <f>IF(ISNUMBER(AA483),IF(Dashboard!$H$6&lt;&gt;"Horizontal",AC482+dateDistance,AC482),"")</f>
        <v/>
      </c>
      <c r="AD483" s="130" t="str">
        <f>IF(ISNUMBER(AA483),IF(Dashboard!$H$6="Horizontal",AD482+dateDistance,AD482),"")</f>
        <v/>
      </c>
      <c r="AE483" s="155"/>
      <c r="AF483" s="154"/>
      <c r="AG483" s="154"/>
      <c r="AH483" s="154"/>
      <c r="AK483" s="157"/>
      <c r="AL483" s="157"/>
      <c r="AM483" s="157"/>
    </row>
    <row r="484" spans="11:39" ht="15" customHeight="1" x14ac:dyDescent="0.25">
      <c r="K484" s="137" t="str">
        <f t="shared" si="71"/>
        <v/>
      </c>
      <c r="L484" s="127" t="str">
        <f t="shared" si="69"/>
        <v/>
      </c>
      <c r="AA484" s="130" t="str">
        <f t="shared" si="70"/>
        <v/>
      </c>
      <c r="AB484" s="131" t="str">
        <f t="array" ref="AB484">IF(AA484&lt;=$AA$2,MIN(IF($L$4:$L$503&lt;=AB483,99999999999,$L$4:$L$503)),"")</f>
        <v/>
      </c>
      <c r="AC484" s="130" t="str">
        <f>IF(ISNUMBER(AA484),IF(Dashboard!$H$6&lt;&gt;"Horizontal",AC483+dateDistance,AC483),"")</f>
        <v/>
      </c>
      <c r="AD484" s="130" t="str">
        <f>IF(ISNUMBER(AA484),IF(Dashboard!$H$6="Horizontal",AD483+dateDistance,AD483),"")</f>
        <v/>
      </c>
      <c r="AE484" s="155"/>
      <c r="AF484" s="154"/>
      <c r="AG484" s="154"/>
      <c r="AH484" s="154"/>
      <c r="AK484" s="157"/>
      <c r="AL484" s="157"/>
      <c r="AM484" s="157"/>
    </row>
    <row r="485" spans="11:39" ht="15" customHeight="1" x14ac:dyDescent="0.25">
      <c r="K485" s="137" t="str">
        <f t="shared" si="71"/>
        <v/>
      </c>
      <c r="L485" s="127" t="str">
        <f t="shared" si="69"/>
        <v/>
      </c>
      <c r="AA485" s="130" t="str">
        <f t="shared" si="70"/>
        <v/>
      </c>
      <c r="AB485" s="131" t="str">
        <f t="array" ref="AB485">IF(AA485&lt;=$AA$2,MIN(IF($L$4:$L$503&lt;=AB484,99999999999,$L$4:$L$503)),"")</f>
        <v/>
      </c>
      <c r="AC485" s="130" t="str">
        <f>IF(ISNUMBER(AA485),IF(Dashboard!$H$6&lt;&gt;"Horizontal",AC484+dateDistance,AC484),"")</f>
        <v/>
      </c>
      <c r="AD485" s="130" t="str">
        <f>IF(ISNUMBER(AA485),IF(Dashboard!$H$6="Horizontal",AD484+dateDistance,AD484),"")</f>
        <v/>
      </c>
      <c r="AE485" s="155"/>
      <c r="AF485" s="154"/>
      <c r="AG485" s="154"/>
      <c r="AH485" s="154"/>
      <c r="AK485" s="157"/>
      <c r="AL485" s="157"/>
      <c r="AM485" s="157"/>
    </row>
    <row r="486" spans="11:39" ht="15" customHeight="1" x14ac:dyDescent="0.25">
      <c r="K486" s="137" t="str">
        <f t="shared" si="71"/>
        <v/>
      </c>
      <c r="L486" s="127" t="str">
        <f t="shared" si="69"/>
        <v/>
      </c>
      <c r="AA486" s="130" t="str">
        <f t="shared" si="70"/>
        <v/>
      </c>
      <c r="AB486" s="131" t="str">
        <f t="array" ref="AB486">IF(AA486&lt;=$AA$2,MIN(IF($L$4:$L$503&lt;=AB485,99999999999,$L$4:$L$503)),"")</f>
        <v/>
      </c>
      <c r="AC486" s="130" t="str">
        <f>IF(ISNUMBER(AA486),IF(Dashboard!$H$6&lt;&gt;"Horizontal",AC485+dateDistance,AC485),"")</f>
        <v/>
      </c>
      <c r="AD486" s="130" t="str">
        <f>IF(ISNUMBER(AA486),IF(Dashboard!$H$6="Horizontal",AD485+dateDistance,AD485),"")</f>
        <v/>
      </c>
      <c r="AE486" s="155"/>
      <c r="AF486" s="154"/>
      <c r="AG486" s="154"/>
      <c r="AH486" s="154"/>
      <c r="AK486" s="157"/>
      <c r="AL486" s="157"/>
      <c r="AM486" s="157"/>
    </row>
    <row r="487" spans="11:39" ht="15" customHeight="1" x14ac:dyDescent="0.25">
      <c r="K487" s="137" t="str">
        <f t="shared" si="71"/>
        <v/>
      </c>
      <c r="L487" s="127" t="str">
        <f t="shared" si="69"/>
        <v/>
      </c>
      <c r="AA487" s="130" t="str">
        <f t="shared" si="70"/>
        <v/>
      </c>
      <c r="AB487" s="131" t="str">
        <f t="array" ref="AB487">IF(AA487&lt;=$AA$2,MIN(IF($L$4:$L$503&lt;=AB486,99999999999,$L$4:$L$503)),"")</f>
        <v/>
      </c>
      <c r="AC487" s="130" t="str">
        <f>IF(ISNUMBER(AA487),IF(Dashboard!$H$6&lt;&gt;"Horizontal",AC486+dateDistance,AC486),"")</f>
        <v/>
      </c>
      <c r="AD487" s="130" t="str">
        <f>IF(ISNUMBER(AA487),IF(Dashboard!$H$6="Horizontal",AD486+dateDistance,AD486),"")</f>
        <v/>
      </c>
      <c r="AE487" s="155"/>
      <c r="AF487" s="154"/>
      <c r="AG487" s="154"/>
      <c r="AH487" s="154"/>
      <c r="AK487" s="157"/>
      <c r="AL487" s="157"/>
      <c r="AM487" s="157"/>
    </row>
    <row r="488" spans="11:39" ht="15" customHeight="1" x14ac:dyDescent="0.25">
      <c r="K488" s="137" t="str">
        <f t="shared" si="71"/>
        <v/>
      </c>
      <c r="L488" s="127" t="str">
        <f t="shared" si="69"/>
        <v/>
      </c>
      <c r="AA488" s="130" t="str">
        <f t="shared" si="70"/>
        <v/>
      </c>
      <c r="AB488" s="131" t="str">
        <f t="array" ref="AB488">IF(AA488&lt;=$AA$2,MIN(IF($L$4:$L$503&lt;=AB487,99999999999,$L$4:$L$503)),"")</f>
        <v/>
      </c>
      <c r="AC488" s="130" t="str">
        <f>IF(ISNUMBER(AA488),IF(Dashboard!$H$6&lt;&gt;"Horizontal",AC487+dateDistance,AC487),"")</f>
        <v/>
      </c>
      <c r="AD488" s="130" t="str">
        <f>IF(ISNUMBER(AA488),IF(Dashboard!$H$6="Horizontal",AD487+dateDistance,AD487),"")</f>
        <v/>
      </c>
      <c r="AE488" s="155"/>
      <c r="AF488" s="154"/>
      <c r="AG488" s="154"/>
      <c r="AH488" s="154"/>
      <c r="AK488" s="157"/>
      <c r="AL488" s="157"/>
      <c r="AM488" s="157"/>
    </row>
    <row r="489" spans="11:39" ht="15" customHeight="1" x14ac:dyDescent="0.25">
      <c r="K489" s="137" t="str">
        <f t="shared" si="71"/>
        <v/>
      </c>
      <c r="L489" s="127" t="str">
        <f t="shared" si="69"/>
        <v/>
      </c>
      <c r="AA489" s="130" t="str">
        <f t="shared" si="70"/>
        <v/>
      </c>
      <c r="AB489" s="131" t="str">
        <f t="array" ref="AB489">IF(AA489&lt;=$AA$2,MIN(IF($L$4:$L$503&lt;=AB488,99999999999,$L$4:$L$503)),"")</f>
        <v/>
      </c>
      <c r="AC489" s="130" t="str">
        <f>IF(ISNUMBER(AA489),IF(Dashboard!$H$6&lt;&gt;"Horizontal",AC488+dateDistance,AC488),"")</f>
        <v/>
      </c>
      <c r="AD489" s="130" t="str">
        <f>IF(ISNUMBER(AA489),IF(Dashboard!$H$6="Horizontal",AD488+dateDistance,AD488),"")</f>
        <v/>
      </c>
      <c r="AE489" s="155"/>
      <c r="AF489" s="154"/>
      <c r="AG489" s="154"/>
      <c r="AH489" s="154"/>
      <c r="AK489" s="157"/>
      <c r="AL489" s="157"/>
      <c r="AM489" s="157"/>
    </row>
    <row r="490" spans="11:39" ht="15" customHeight="1" x14ac:dyDescent="0.25">
      <c r="K490" s="137" t="str">
        <f t="shared" si="71"/>
        <v/>
      </c>
      <c r="L490" s="127" t="str">
        <f t="shared" si="69"/>
        <v/>
      </c>
      <c r="AA490" s="130" t="str">
        <f t="shared" si="70"/>
        <v/>
      </c>
      <c r="AB490" s="131" t="str">
        <f t="array" ref="AB490">IF(AA490&lt;=$AA$2,MIN(IF($L$4:$L$503&lt;=AB489,99999999999,$L$4:$L$503)),"")</f>
        <v/>
      </c>
      <c r="AC490" s="130" t="str">
        <f>IF(ISNUMBER(AA490),IF(Dashboard!$H$6&lt;&gt;"Horizontal",AC489+dateDistance,AC489),"")</f>
        <v/>
      </c>
      <c r="AD490" s="130" t="str">
        <f>IF(ISNUMBER(AA490),IF(Dashboard!$H$6="Horizontal",AD489+dateDistance,AD489),"")</f>
        <v/>
      </c>
      <c r="AE490" s="155"/>
      <c r="AF490" s="154"/>
      <c r="AG490" s="154"/>
      <c r="AH490" s="154"/>
      <c r="AK490" s="157"/>
      <c r="AL490" s="157"/>
      <c r="AM490" s="157"/>
    </row>
    <row r="491" spans="11:39" ht="15" customHeight="1" x14ac:dyDescent="0.25">
      <c r="K491" s="137" t="str">
        <f t="shared" si="71"/>
        <v/>
      </c>
      <c r="L491" s="127" t="str">
        <f t="shared" si="69"/>
        <v/>
      </c>
      <c r="AA491" s="130" t="str">
        <f t="shared" si="70"/>
        <v/>
      </c>
      <c r="AB491" s="131" t="str">
        <f t="array" ref="AB491">IF(AA491&lt;=$AA$2,MIN(IF($L$4:$L$503&lt;=AB490,99999999999,$L$4:$L$503)),"")</f>
        <v/>
      </c>
      <c r="AC491" s="130" t="str">
        <f>IF(ISNUMBER(AA491),IF(Dashboard!$H$6&lt;&gt;"Horizontal",AC490+dateDistance,AC490),"")</f>
        <v/>
      </c>
      <c r="AD491" s="130" t="str">
        <f>IF(ISNUMBER(AA491),IF(Dashboard!$H$6="Horizontal",AD490+dateDistance,AD490),"")</f>
        <v/>
      </c>
      <c r="AE491" s="155"/>
      <c r="AF491" s="154"/>
      <c r="AG491" s="154"/>
      <c r="AH491" s="154"/>
      <c r="AK491" s="157"/>
      <c r="AL491" s="157"/>
      <c r="AM491" s="157"/>
    </row>
    <row r="492" spans="11:39" ht="15" customHeight="1" x14ac:dyDescent="0.25">
      <c r="K492" s="137" t="str">
        <f t="shared" si="71"/>
        <v/>
      </c>
      <c r="L492" s="127" t="str">
        <f t="shared" si="69"/>
        <v/>
      </c>
      <c r="AA492" s="130" t="str">
        <f t="shared" si="70"/>
        <v/>
      </c>
      <c r="AB492" s="131" t="str">
        <f t="array" ref="AB492">IF(AA492&lt;=$AA$2,MIN(IF($L$4:$L$503&lt;=AB491,99999999999,$L$4:$L$503)),"")</f>
        <v/>
      </c>
      <c r="AC492" s="130" t="str">
        <f>IF(ISNUMBER(AA492),IF(Dashboard!$H$6&lt;&gt;"Horizontal",AC491+dateDistance,AC491),"")</f>
        <v/>
      </c>
      <c r="AD492" s="130" t="str">
        <f>IF(ISNUMBER(AA492),IF(Dashboard!$H$6="Horizontal",AD491+dateDistance,AD491),"")</f>
        <v/>
      </c>
      <c r="AE492" s="155"/>
      <c r="AF492" s="154"/>
      <c r="AG492" s="154"/>
      <c r="AH492" s="154"/>
      <c r="AK492" s="157"/>
      <c r="AL492" s="157"/>
      <c r="AM492" s="157"/>
    </row>
    <row r="493" spans="11:39" ht="15" customHeight="1" x14ac:dyDescent="0.25">
      <c r="K493" s="137" t="str">
        <f t="shared" si="71"/>
        <v/>
      </c>
      <c r="L493" s="127" t="str">
        <f t="shared" si="69"/>
        <v/>
      </c>
      <c r="AA493" s="130" t="str">
        <f t="shared" si="70"/>
        <v/>
      </c>
      <c r="AB493" s="131" t="str">
        <f t="array" ref="AB493">IF(AA493&lt;=$AA$2,MIN(IF($L$4:$L$503&lt;=AB492,99999999999,$L$4:$L$503)),"")</f>
        <v/>
      </c>
      <c r="AC493" s="130" t="str">
        <f>IF(ISNUMBER(AA493),IF(Dashboard!$H$6&lt;&gt;"Horizontal",AC492+dateDistance,AC492),"")</f>
        <v/>
      </c>
      <c r="AD493" s="130" t="str">
        <f>IF(ISNUMBER(AA493),IF(Dashboard!$H$6="Horizontal",AD492+dateDistance,AD492),"")</f>
        <v/>
      </c>
      <c r="AE493" s="155"/>
      <c r="AF493" s="154"/>
      <c r="AG493" s="154"/>
      <c r="AH493" s="154"/>
      <c r="AK493" s="157"/>
      <c r="AL493" s="157"/>
      <c r="AM493" s="157"/>
    </row>
    <row r="494" spans="11:39" ht="15" customHeight="1" x14ac:dyDescent="0.25">
      <c r="K494" s="137" t="str">
        <f t="shared" si="71"/>
        <v/>
      </c>
      <c r="L494" s="127" t="str">
        <f t="shared" si="69"/>
        <v/>
      </c>
      <c r="AA494" s="130" t="str">
        <f t="shared" si="70"/>
        <v/>
      </c>
      <c r="AB494" s="131" t="str">
        <f t="array" ref="AB494">IF(AA494&lt;=$AA$2,MIN(IF($L$4:$L$503&lt;=AB493,99999999999,$L$4:$L$503)),"")</f>
        <v/>
      </c>
      <c r="AC494" s="130" t="str">
        <f>IF(ISNUMBER(AA494),IF(Dashboard!$H$6&lt;&gt;"Horizontal",AC493+dateDistance,AC493),"")</f>
        <v/>
      </c>
      <c r="AD494" s="130" t="str">
        <f>IF(ISNUMBER(AA494),IF(Dashboard!$H$6="Horizontal",AD493+dateDistance,AD493),"")</f>
        <v/>
      </c>
      <c r="AE494" s="155"/>
      <c r="AF494" s="154"/>
      <c r="AG494" s="154"/>
      <c r="AH494" s="154"/>
      <c r="AK494" s="157"/>
      <c r="AL494" s="157"/>
      <c r="AM494" s="157"/>
    </row>
    <row r="495" spans="11:39" ht="15" customHeight="1" x14ac:dyDescent="0.25">
      <c r="K495" s="137" t="str">
        <f t="shared" si="71"/>
        <v/>
      </c>
      <c r="L495" s="127" t="str">
        <f t="shared" si="69"/>
        <v/>
      </c>
      <c r="AA495" s="130" t="str">
        <f t="shared" si="70"/>
        <v/>
      </c>
      <c r="AB495" s="131" t="str">
        <f t="array" ref="AB495">IF(AA495&lt;=$AA$2,MIN(IF($L$4:$L$503&lt;=AB494,99999999999,$L$4:$L$503)),"")</f>
        <v/>
      </c>
      <c r="AC495" s="130" t="str">
        <f>IF(ISNUMBER(AA495),IF(Dashboard!$H$6&lt;&gt;"Horizontal",AC494+dateDistance,AC494),"")</f>
        <v/>
      </c>
      <c r="AD495" s="130" t="str">
        <f>IF(ISNUMBER(AA495),IF(Dashboard!$H$6="Horizontal",AD494+dateDistance,AD494),"")</f>
        <v/>
      </c>
      <c r="AE495" s="155"/>
      <c r="AF495" s="154"/>
      <c r="AG495" s="154"/>
      <c r="AH495" s="154"/>
      <c r="AK495" s="157"/>
      <c r="AL495" s="157"/>
      <c r="AM495" s="157"/>
    </row>
    <row r="496" spans="11:39" ht="15" customHeight="1" x14ac:dyDescent="0.25">
      <c r="K496" s="137" t="str">
        <f t="shared" si="71"/>
        <v/>
      </c>
      <c r="L496" s="127" t="str">
        <f t="shared" si="69"/>
        <v/>
      </c>
      <c r="AA496" s="130" t="str">
        <f t="shared" si="70"/>
        <v/>
      </c>
      <c r="AB496" s="131" t="str">
        <f t="array" ref="AB496">IF(AA496&lt;=$AA$2,MIN(IF($L$4:$L$503&lt;=AB495,99999999999,$L$4:$L$503)),"")</f>
        <v/>
      </c>
      <c r="AC496" s="130" t="str">
        <f>IF(ISNUMBER(AA496),IF(Dashboard!$H$6&lt;&gt;"Horizontal",AC495+dateDistance,AC495),"")</f>
        <v/>
      </c>
      <c r="AD496" s="130" t="str">
        <f>IF(ISNUMBER(AA496),IF(Dashboard!$H$6="Horizontal",AD495+dateDistance,AD495),"")</f>
        <v/>
      </c>
      <c r="AE496" s="155"/>
      <c r="AF496" s="154"/>
      <c r="AG496" s="154"/>
      <c r="AH496" s="154"/>
      <c r="AK496" s="157"/>
      <c r="AL496" s="157"/>
      <c r="AM496" s="157"/>
    </row>
    <row r="497" spans="11:39" ht="15" customHeight="1" x14ac:dyDescent="0.25">
      <c r="K497" s="137" t="str">
        <f t="shared" si="71"/>
        <v/>
      </c>
      <c r="L497" s="127" t="str">
        <f t="shared" si="69"/>
        <v/>
      </c>
      <c r="AA497" s="130" t="str">
        <f t="shared" si="70"/>
        <v/>
      </c>
      <c r="AB497" s="131" t="str">
        <f t="array" ref="AB497">IF(AA497&lt;=$AA$2,MIN(IF($L$4:$L$503&lt;=AB496,99999999999,$L$4:$L$503)),"")</f>
        <v/>
      </c>
      <c r="AC497" s="130" t="str">
        <f>IF(ISNUMBER(AA497),IF(Dashboard!$H$6&lt;&gt;"Horizontal",AC496+dateDistance,AC496),"")</f>
        <v/>
      </c>
      <c r="AD497" s="130" t="str">
        <f>IF(ISNUMBER(AA497),IF(Dashboard!$H$6="Horizontal",AD496+dateDistance,AD496),"")</f>
        <v/>
      </c>
      <c r="AE497" s="155"/>
      <c r="AF497" s="154"/>
      <c r="AG497" s="154"/>
      <c r="AH497" s="154"/>
      <c r="AK497" s="157"/>
      <c r="AL497" s="157"/>
      <c r="AM497" s="157"/>
    </row>
    <row r="498" spans="11:39" ht="15" customHeight="1" x14ac:dyDescent="0.25">
      <c r="K498" s="137" t="str">
        <f t="shared" si="71"/>
        <v/>
      </c>
      <c r="L498" s="127" t="str">
        <f t="shared" si="69"/>
        <v/>
      </c>
      <c r="AA498" s="130" t="str">
        <f t="shared" si="70"/>
        <v/>
      </c>
      <c r="AB498" s="131" t="str">
        <f t="array" ref="AB498">IF(AA498&lt;=$AA$2,MIN(IF($L$4:$L$503&lt;=AB497,99999999999,$L$4:$L$503)),"")</f>
        <v/>
      </c>
      <c r="AC498" s="130" t="str">
        <f>IF(ISNUMBER(AA498),IF(Dashboard!$H$6&lt;&gt;"Horizontal",AC497+dateDistance,AC497),"")</f>
        <v/>
      </c>
      <c r="AD498" s="130" t="str">
        <f>IF(ISNUMBER(AA498),IF(Dashboard!$H$6="Horizontal",AD497+dateDistance,AD497),"")</f>
        <v/>
      </c>
      <c r="AE498" s="155"/>
      <c r="AF498" s="154"/>
      <c r="AG498" s="154"/>
      <c r="AH498" s="154"/>
      <c r="AK498" s="157"/>
      <c r="AL498" s="157"/>
      <c r="AM498" s="157"/>
    </row>
    <row r="499" spans="11:39" ht="15" customHeight="1" x14ac:dyDescent="0.25">
      <c r="K499" s="137" t="str">
        <f t="shared" si="71"/>
        <v/>
      </c>
      <c r="L499" s="127" t="str">
        <f t="shared" si="69"/>
        <v/>
      </c>
      <c r="AA499" s="130" t="str">
        <f t="shared" si="70"/>
        <v/>
      </c>
      <c r="AB499" s="131" t="str">
        <f t="array" ref="AB499">IF(AA499&lt;=$AA$2,MIN(IF($L$4:$L$503&lt;=AB498,99999999999,$L$4:$L$503)),"")</f>
        <v/>
      </c>
      <c r="AC499" s="130" t="str">
        <f>IF(ISNUMBER(AA499),IF(Dashboard!$H$6&lt;&gt;"Horizontal",AC498+dateDistance,AC498),"")</f>
        <v/>
      </c>
      <c r="AD499" s="130" t="str">
        <f>IF(ISNUMBER(AA499),IF(Dashboard!$H$6="Horizontal",AD498+dateDistance,AD498),"")</f>
        <v/>
      </c>
      <c r="AE499" s="155"/>
      <c r="AF499" s="154"/>
      <c r="AG499" s="154"/>
      <c r="AH499" s="154"/>
      <c r="AK499" s="157"/>
      <c r="AL499" s="157"/>
      <c r="AM499" s="157"/>
    </row>
    <row r="500" spans="11:39" ht="15" customHeight="1" x14ac:dyDescent="0.25">
      <c r="K500" s="137" t="str">
        <f t="shared" si="71"/>
        <v/>
      </c>
      <c r="L500" s="127" t="str">
        <f t="shared" si="69"/>
        <v/>
      </c>
      <c r="AA500" s="130" t="str">
        <f t="shared" si="70"/>
        <v/>
      </c>
      <c r="AB500" s="131" t="str">
        <f t="array" ref="AB500">IF(AA500&lt;=$AA$2,MIN(IF($L$4:$L$503&lt;=AB499,99999999999,$L$4:$L$503)),"")</f>
        <v/>
      </c>
      <c r="AC500" s="130" t="str">
        <f>IF(ISNUMBER(AA500),IF(Dashboard!$H$6&lt;&gt;"Horizontal",AC499+dateDistance,AC499),"")</f>
        <v/>
      </c>
      <c r="AD500" s="130" t="str">
        <f>IF(ISNUMBER(AA500),IF(Dashboard!$H$6="Horizontal",AD499+dateDistance,AD499),"")</f>
        <v/>
      </c>
      <c r="AE500" s="155"/>
      <c r="AF500" s="154"/>
      <c r="AG500" s="154"/>
      <c r="AH500" s="154"/>
      <c r="AK500" s="157"/>
      <c r="AL500" s="157"/>
      <c r="AM500" s="157"/>
    </row>
    <row r="501" spans="11:39" ht="15" customHeight="1" x14ac:dyDescent="0.25">
      <c r="K501" s="137" t="str">
        <f t="shared" si="71"/>
        <v/>
      </c>
      <c r="L501" s="127" t="str">
        <f t="shared" si="69"/>
        <v/>
      </c>
      <c r="AA501" s="130" t="str">
        <f t="shared" si="70"/>
        <v/>
      </c>
      <c r="AB501" s="131" t="str">
        <f t="array" ref="AB501">IF(AA501&lt;=$AA$2,MIN(IF($L$4:$L$503&lt;=AB500,99999999999,$L$4:$L$503)),"")</f>
        <v/>
      </c>
      <c r="AC501" s="130" t="str">
        <f>IF(ISNUMBER(AA501),IF(Dashboard!$H$6&lt;&gt;"Horizontal",AC500+dateDistance,AC500),"")</f>
        <v/>
      </c>
      <c r="AD501" s="130" t="str">
        <f>IF(ISNUMBER(AA501),IF(Dashboard!$H$6="Horizontal",AD500+dateDistance,AD500),"")</f>
        <v/>
      </c>
      <c r="AE501" s="155"/>
      <c r="AF501" s="154"/>
      <c r="AG501" s="154"/>
      <c r="AH501" s="154"/>
      <c r="AK501" s="157"/>
      <c r="AL501" s="157"/>
      <c r="AM501" s="157"/>
    </row>
    <row r="502" spans="11:39" ht="15" customHeight="1" x14ac:dyDescent="0.25">
      <c r="K502" s="137" t="str">
        <f t="shared" si="71"/>
        <v/>
      </c>
      <c r="L502" s="127" t="str">
        <f t="shared" si="69"/>
        <v/>
      </c>
      <c r="AA502" s="130" t="str">
        <f t="shared" si="70"/>
        <v/>
      </c>
      <c r="AB502" s="131" t="str">
        <f t="array" ref="AB502">IF(AA502&lt;=$AA$2,MIN(IF($L$4:$L$503&lt;=AB501,99999999999,$L$4:$L$503)),"")</f>
        <v/>
      </c>
      <c r="AC502" s="130" t="str">
        <f>IF(ISNUMBER(AA502),IF(Dashboard!$H$6&lt;&gt;"Horizontal",AC501+dateDistance,AC501),"")</f>
        <v/>
      </c>
      <c r="AD502" s="130" t="str">
        <f>IF(ISNUMBER(AA502),IF(Dashboard!$H$6="Horizontal",AD501+dateDistance,AD501),"")</f>
        <v/>
      </c>
      <c r="AE502" s="155"/>
      <c r="AF502" s="154"/>
      <c r="AG502" s="154"/>
      <c r="AH502" s="154"/>
      <c r="AK502" s="157"/>
      <c r="AL502" s="157"/>
      <c r="AM502" s="157"/>
    </row>
    <row r="503" spans="11:39" ht="15" customHeight="1" x14ac:dyDescent="0.25">
      <c r="K503" s="137" t="str">
        <f t="shared" si="71"/>
        <v/>
      </c>
      <c r="L503" s="127" t="str">
        <f t="shared" si="69"/>
        <v/>
      </c>
      <c r="AA503" s="130" t="str">
        <f t="shared" si="70"/>
        <v/>
      </c>
      <c r="AB503" s="131" t="str">
        <f t="array" ref="AB503">IF(AA503&lt;=$AA$2,MIN(IF($L$4:$L$503&lt;=AB502,99999999999,$L$4:$L$503)),"")</f>
        <v/>
      </c>
      <c r="AC503" s="130" t="str">
        <f>IF(ISNUMBER(AA503),IF(Dashboard!$H$6&lt;&gt;"Horizontal",AC502+dateDistance,AC502),"")</f>
        <v/>
      </c>
      <c r="AD503" s="130" t="str">
        <f>IF(ISNUMBER(AA503),IF(Dashboard!$H$6="Horizontal",AD502+dateDistance,AD502),"")</f>
        <v/>
      </c>
      <c r="AE503" s="155"/>
      <c r="AF503" s="154"/>
      <c r="AG503" s="154"/>
      <c r="AH503" s="154"/>
      <c r="AK503" s="157"/>
      <c r="AL503" s="157"/>
      <c r="AM503" s="157"/>
    </row>
    <row r="504" spans="11:39" ht="15" customHeight="1" x14ac:dyDescent="0.25">
      <c r="K504" s="150"/>
      <c r="L504" s="150"/>
    </row>
    <row r="505" spans="11:39" ht="15" customHeight="1" x14ac:dyDescent="0.25">
      <c r="K505" s="150"/>
      <c r="L505" s="150"/>
    </row>
    <row r="506" spans="11:39" ht="15" customHeight="1" x14ac:dyDescent="0.25">
      <c r="K506" s="158"/>
      <c r="L506" s="159"/>
    </row>
    <row r="507" spans="11:39" ht="15" customHeight="1" x14ac:dyDescent="0.25">
      <c r="K507" s="158"/>
      <c r="L507" s="159"/>
    </row>
    <row r="508" spans="11:39" ht="15" customHeight="1" x14ac:dyDescent="0.25">
      <c r="K508" s="158"/>
      <c r="L508" s="159"/>
    </row>
    <row r="509" spans="11:39" ht="15" customHeight="1" x14ac:dyDescent="0.25">
      <c r="K509" s="158"/>
      <c r="L509" s="159"/>
    </row>
    <row r="510" spans="11:39" ht="15" customHeight="1" x14ac:dyDescent="0.25">
      <c r="K510" s="158"/>
      <c r="L510" s="159"/>
    </row>
    <row r="511" spans="11:39" ht="15" customHeight="1" x14ac:dyDescent="0.25">
      <c r="K511" s="158"/>
      <c r="L511" s="159"/>
    </row>
    <row r="512" spans="11:39" ht="15" customHeight="1" x14ac:dyDescent="0.25">
      <c r="K512" s="158"/>
      <c r="L512" s="159"/>
    </row>
    <row r="513" spans="11:12" ht="15" customHeight="1" x14ac:dyDescent="0.25">
      <c r="K513" s="158"/>
      <c r="L513" s="159"/>
    </row>
    <row r="514" spans="11:12" ht="15" customHeight="1" x14ac:dyDescent="0.25">
      <c r="K514" s="158"/>
      <c r="L514" s="159"/>
    </row>
    <row r="515" spans="11:12" ht="15" customHeight="1" x14ac:dyDescent="0.25">
      <c r="K515" s="158"/>
      <c r="L515" s="159"/>
    </row>
    <row r="516" spans="11:12" ht="15" customHeight="1" x14ac:dyDescent="0.25">
      <c r="K516" s="158"/>
      <c r="L516" s="159"/>
    </row>
    <row r="517" spans="11:12" ht="15" customHeight="1" x14ac:dyDescent="0.25">
      <c r="K517" s="158"/>
      <c r="L517" s="159"/>
    </row>
    <row r="518" spans="11:12" ht="15" customHeight="1" x14ac:dyDescent="0.25">
      <c r="K518" s="158"/>
      <c r="L518" s="159"/>
    </row>
    <row r="519" spans="11:12" ht="15" customHeight="1" x14ac:dyDescent="0.25">
      <c r="K519" s="158"/>
      <c r="L519" s="159"/>
    </row>
    <row r="520" spans="11:12" ht="15" customHeight="1" x14ac:dyDescent="0.25">
      <c r="K520" s="158"/>
      <c r="L520" s="159"/>
    </row>
    <row r="521" spans="11:12" ht="15" customHeight="1" x14ac:dyDescent="0.25">
      <c r="K521" s="158"/>
      <c r="L521" s="159"/>
    </row>
    <row r="522" spans="11:12" ht="15" customHeight="1" x14ac:dyDescent="0.25">
      <c r="K522" s="158"/>
      <c r="L522" s="159"/>
    </row>
    <row r="523" spans="11:12" ht="15" customHeight="1" x14ac:dyDescent="0.25">
      <c r="K523" s="158"/>
      <c r="L523" s="159"/>
    </row>
    <row r="524" spans="11:12" ht="15" customHeight="1" x14ac:dyDescent="0.25">
      <c r="K524" s="158"/>
      <c r="L524" s="159"/>
    </row>
    <row r="525" spans="11:12" ht="15" customHeight="1" x14ac:dyDescent="0.25">
      <c r="K525" s="158"/>
      <c r="L525" s="159"/>
    </row>
    <row r="526" spans="11:12" ht="15" customHeight="1" x14ac:dyDescent="0.25">
      <c r="K526" s="158"/>
      <c r="L526" s="159"/>
    </row>
    <row r="527" spans="11:12" ht="15" customHeight="1" x14ac:dyDescent="0.25">
      <c r="K527" s="158"/>
      <c r="L527" s="159"/>
    </row>
    <row r="528" spans="11:12" ht="15" customHeight="1" x14ac:dyDescent="0.25">
      <c r="K528" s="158"/>
      <c r="L528" s="159"/>
    </row>
    <row r="529" spans="11:12" ht="15" customHeight="1" x14ac:dyDescent="0.25">
      <c r="K529" s="158"/>
      <c r="L529" s="159"/>
    </row>
    <row r="530" spans="11:12" ht="15" customHeight="1" x14ac:dyDescent="0.25">
      <c r="K530" s="158"/>
      <c r="L530" s="159"/>
    </row>
    <row r="531" spans="11:12" ht="15" customHeight="1" x14ac:dyDescent="0.25">
      <c r="K531" s="158"/>
      <c r="L531" s="159"/>
    </row>
    <row r="532" spans="11:12" ht="15" customHeight="1" x14ac:dyDescent="0.25">
      <c r="K532" s="158"/>
      <c r="L532" s="159"/>
    </row>
    <row r="533" spans="11:12" ht="15" customHeight="1" x14ac:dyDescent="0.25">
      <c r="K533" s="158"/>
      <c r="L533" s="159"/>
    </row>
    <row r="534" spans="11:12" ht="15" customHeight="1" x14ac:dyDescent="0.25">
      <c r="K534" s="158"/>
      <c r="L534" s="159"/>
    </row>
    <row r="535" spans="11:12" ht="15" customHeight="1" x14ac:dyDescent="0.25">
      <c r="K535" s="158"/>
      <c r="L535" s="159"/>
    </row>
    <row r="536" spans="11:12" ht="15" customHeight="1" x14ac:dyDescent="0.25">
      <c r="K536" s="158"/>
      <c r="L536" s="159"/>
    </row>
    <row r="537" spans="11:12" ht="15" customHeight="1" x14ac:dyDescent="0.25">
      <c r="K537" s="158"/>
      <c r="L537" s="159"/>
    </row>
    <row r="538" spans="11:12" ht="15" customHeight="1" x14ac:dyDescent="0.25">
      <c r="K538" s="158"/>
      <c r="L538" s="159"/>
    </row>
    <row r="539" spans="11:12" ht="15" customHeight="1" x14ac:dyDescent="0.25">
      <c r="K539" s="158"/>
      <c r="L539" s="159"/>
    </row>
    <row r="540" spans="11:12" ht="15" customHeight="1" x14ac:dyDescent="0.25">
      <c r="K540" s="158"/>
      <c r="L540" s="159"/>
    </row>
    <row r="541" spans="11:12" ht="15" customHeight="1" x14ac:dyDescent="0.25">
      <c r="K541" s="158"/>
      <c r="L541" s="159"/>
    </row>
    <row r="542" spans="11:12" ht="15" customHeight="1" x14ac:dyDescent="0.25">
      <c r="K542" s="158"/>
      <c r="L542" s="159"/>
    </row>
    <row r="543" spans="11:12" ht="15" customHeight="1" x14ac:dyDescent="0.25">
      <c r="K543" s="158"/>
      <c r="L543" s="159"/>
    </row>
    <row r="544" spans="11:12" ht="15" customHeight="1" x14ac:dyDescent="0.25">
      <c r="K544" s="158"/>
      <c r="L544" s="159"/>
    </row>
    <row r="545" spans="11:12" ht="15" customHeight="1" x14ac:dyDescent="0.25">
      <c r="K545" s="158"/>
      <c r="L545" s="159"/>
    </row>
    <row r="546" spans="11:12" ht="15" customHeight="1" x14ac:dyDescent="0.25">
      <c r="K546" s="158"/>
      <c r="L546" s="159"/>
    </row>
    <row r="547" spans="11:12" ht="15" customHeight="1" x14ac:dyDescent="0.25">
      <c r="K547" s="158"/>
      <c r="L547" s="159"/>
    </row>
    <row r="548" spans="11:12" ht="15" customHeight="1" x14ac:dyDescent="0.25">
      <c r="K548" s="158"/>
      <c r="L548" s="159"/>
    </row>
    <row r="549" spans="11:12" ht="15" customHeight="1" x14ac:dyDescent="0.25">
      <c r="K549" s="158"/>
      <c r="L549" s="159"/>
    </row>
    <row r="550" spans="11:12" ht="15" customHeight="1" x14ac:dyDescent="0.25">
      <c r="K550" s="158"/>
      <c r="L550" s="159"/>
    </row>
    <row r="551" spans="11:12" ht="15" customHeight="1" x14ac:dyDescent="0.25">
      <c r="K551" s="158"/>
      <c r="L551" s="159"/>
    </row>
    <row r="552" spans="11:12" ht="15" customHeight="1" x14ac:dyDescent="0.25">
      <c r="K552" s="158"/>
      <c r="L552" s="159"/>
    </row>
    <row r="553" spans="11:12" ht="15" customHeight="1" x14ac:dyDescent="0.25">
      <c r="K553" s="158"/>
      <c r="L553" s="159"/>
    </row>
    <row r="554" spans="11:12" ht="15" customHeight="1" x14ac:dyDescent="0.25">
      <c r="K554" s="158"/>
      <c r="L554" s="159"/>
    </row>
    <row r="555" spans="11:12" ht="15" customHeight="1" x14ac:dyDescent="0.25">
      <c r="K555" s="158"/>
      <c r="L555" s="159"/>
    </row>
    <row r="556" spans="11:12" ht="15" customHeight="1" x14ac:dyDescent="0.25">
      <c r="K556" s="158"/>
      <c r="L556" s="159"/>
    </row>
    <row r="557" spans="11:12" ht="15" customHeight="1" x14ac:dyDescent="0.25">
      <c r="K557" s="158"/>
      <c r="L557" s="159"/>
    </row>
    <row r="558" spans="11:12" ht="15" customHeight="1" x14ac:dyDescent="0.25">
      <c r="K558" s="158"/>
      <c r="L558" s="159"/>
    </row>
    <row r="559" spans="11:12" ht="15" customHeight="1" x14ac:dyDescent="0.25">
      <c r="K559" s="158"/>
      <c r="L559" s="159"/>
    </row>
    <row r="560" spans="11:12" ht="15" customHeight="1" x14ac:dyDescent="0.25">
      <c r="K560" s="158"/>
      <c r="L560" s="159"/>
    </row>
    <row r="561" spans="11:12" ht="15" customHeight="1" x14ac:dyDescent="0.25">
      <c r="K561" s="158"/>
      <c r="L561" s="159"/>
    </row>
    <row r="562" spans="11:12" ht="15" customHeight="1" x14ac:dyDescent="0.25">
      <c r="K562" s="158"/>
      <c r="L562" s="159"/>
    </row>
    <row r="563" spans="11:12" ht="15" customHeight="1" x14ac:dyDescent="0.25">
      <c r="K563" s="158"/>
      <c r="L563" s="159"/>
    </row>
    <row r="564" spans="11:12" ht="15" customHeight="1" x14ac:dyDescent="0.25">
      <c r="K564" s="158"/>
      <c r="L564" s="159"/>
    </row>
    <row r="565" spans="11:12" ht="15" customHeight="1" x14ac:dyDescent="0.25">
      <c r="K565" s="158"/>
      <c r="L565" s="159"/>
    </row>
    <row r="566" spans="11:12" ht="15" customHeight="1" x14ac:dyDescent="0.25">
      <c r="K566" s="158"/>
      <c r="L566" s="159"/>
    </row>
    <row r="567" spans="11:12" ht="15" customHeight="1" x14ac:dyDescent="0.25">
      <c r="K567" s="158"/>
      <c r="L567" s="159"/>
    </row>
    <row r="568" spans="11:12" ht="15" customHeight="1" x14ac:dyDescent="0.25">
      <c r="K568" s="158"/>
      <c r="L568" s="159"/>
    </row>
    <row r="569" spans="11:12" ht="15" customHeight="1" x14ac:dyDescent="0.25">
      <c r="K569" s="158"/>
      <c r="L569" s="159"/>
    </row>
    <row r="570" spans="11:12" ht="15" customHeight="1" x14ac:dyDescent="0.25">
      <c r="K570" s="158"/>
      <c r="L570" s="159"/>
    </row>
    <row r="571" spans="11:12" ht="15" customHeight="1" x14ac:dyDescent="0.25">
      <c r="K571" s="158"/>
      <c r="L571" s="159"/>
    </row>
    <row r="572" spans="11:12" ht="15" customHeight="1" x14ac:dyDescent="0.25">
      <c r="K572" s="158"/>
      <c r="L572" s="159"/>
    </row>
    <row r="573" spans="11:12" ht="15" customHeight="1" x14ac:dyDescent="0.25">
      <c r="K573" s="158"/>
      <c r="L573" s="159"/>
    </row>
    <row r="574" spans="11:12" ht="15" customHeight="1" x14ac:dyDescent="0.25">
      <c r="K574" s="158"/>
      <c r="L574" s="159"/>
    </row>
    <row r="575" spans="11:12" ht="15" customHeight="1" x14ac:dyDescent="0.25">
      <c r="K575" s="158"/>
      <c r="L575" s="159"/>
    </row>
    <row r="576" spans="11:12" ht="15" customHeight="1" x14ac:dyDescent="0.25">
      <c r="K576" s="158"/>
      <c r="L576" s="159"/>
    </row>
    <row r="577" spans="11:12" ht="15" customHeight="1" x14ac:dyDescent="0.25">
      <c r="K577" s="158"/>
      <c r="L577" s="159"/>
    </row>
    <row r="578" spans="11:12" ht="15" customHeight="1" x14ac:dyDescent="0.25">
      <c r="K578" s="158"/>
      <c r="L578" s="159"/>
    </row>
    <row r="579" spans="11:12" ht="15" customHeight="1" x14ac:dyDescent="0.25">
      <c r="K579" s="158"/>
      <c r="L579" s="159"/>
    </row>
    <row r="580" spans="11:12" ht="15" customHeight="1" x14ac:dyDescent="0.25">
      <c r="K580" s="158"/>
      <c r="L580" s="159"/>
    </row>
    <row r="581" spans="11:12" ht="15" customHeight="1" x14ac:dyDescent="0.25">
      <c r="K581" s="158"/>
      <c r="L581" s="159"/>
    </row>
    <row r="582" spans="11:12" ht="15" customHeight="1" x14ac:dyDescent="0.25">
      <c r="K582" s="158"/>
      <c r="L582" s="159"/>
    </row>
    <row r="583" spans="11:12" ht="15" customHeight="1" x14ac:dyDescent="0.25">
      <c r="K583" s="158"/>
      <c r="L583" s="159"/>
    </row>
    <row r="584" spans="11:12" ht="15" customHeight="1" x14ac:dyDescent="0.25">
      <c r="K584" s="158"/>
      <c r="L584" s="159"/>
    </row>
    <row r="585" spans="11:12" ht="15" customHeight="1" x14ac:dyDescent="0.25">
      <c r="K585" s="158"/>
      <c r="L585" s="159"/>
    </row>
    <row r="586" spans="11:12" ht="15" customHeight="1" x14ac:dyDescent="0.25">
      <c r="K586" s="158"/>
      <c r="L586" s="159"/>
    </row>
    <row r="587" spans="11:12" ht="15" customHeight="1" x14ac:dyDescent="0.25">
      <c r="K587" s="158"/>
      <c r="L587" s="159"/>
    </row>
    <row r="588" spans="11:12" ht="15" customHeight="1" x14ac:dyDescent="0.25">
      <c r="K588" s="158"/>
      <c r="L588" s="159"/>
    </row>
    <row r="589" spans="11:12" ht="15" customHeight="1" x14ac:dyDescent="0.25">
      <c r="K589" s="158"/>
      <c r="L589" s="159"/>
    </row>
    <row r="590" spans="11:12" ht="15" customHeight="1" x14ac:dyDescent="0.25">
      <c r="K590" s="158"/>
      <c r="L590" s="159"/>
    </row>
    <row r="591" spans="11:12" ht="15" customHeight="1" x14ac:dyDescent="0.25">
      <c r="K591" s="158"/>
      <c r="L591" s="159"/>
    </row>
    <row r="592" spans="11:12" ht="15" customHeight="1" x14ac:dyDescent="0.25">
      <c r="K592" s="158"/>
      <c r="L592" s="159"/>
    </row>
    <row r="593" spans="11:12" ht="15" customHeight="1" x14ac:dyDescent="0.25">
      <c r="K593" s="158"/>
      <c r="L593" s="159"/>
    </row>
    <row r="594" spans="11:12" ht="15" customHeight="1" x14ac:dyDescent="0.25">
      <c r="K594" s="158"/>
      <c r="L594" s="159"/>
    </row>
    <row r="595" spans="11:12" ht="15" customHeight="1" x14ac:dyDescent="0.25">
      <c r="K595" s="158"/>
      <c r="L595" s="159"/>
    </row>
    <row r="596" spans="11:12" ht="15" customHeight="1" x14ac:dyDescent="0.25">
      <c r="K596" s="158"/>
      <c r="L596" s="159"/>
    </row>
    <row r="597" spans="11:12" ht="15" customHeight="1" x14ac:dyDescent="0.25">
      <c r="K597" s="158"/>
      <c r="L597" s="159"/>
    </row>
    <row r="598" spans="11:12" ht="15" customHeight="1" x14ac:dyDescent="0.25">
      <c r="K598" s="158"/>
      <c r="L598" s="159"/>
    </row>
    <row r="599" spans="11:12" ht="15" customHeight="1" x14ac:dyDescent="0.25">
      <c r="K599" s="158"/>
      <c r="L599" s="159"/>
    </row>
    <row r="600" spans="11:12" ht="15" customHeight="1" x14ac:dyDescent="0.25">
      <c r="K600" s="158"/>
      <c r="L600" s="159"/>
    </row>
    <row r="601" spans="11:12" ht="15" customHeight="1" x14ac:dyDescent="0.25">
      <c r="K601" s="158"/>
      <c r="L601" s="159"/>
    </row>
    <row r="602" spans="11:12" ht="15" customHeight="1" x14ac:dyDescent="0.25">
      <c r="K602" s="158"/>
      <c r="L602" s="159"/>
    </row>
    <row r="603" spans="11:12" ht="15" customHeight="1" x14ac:dyDescent="0.25">
      <c r="K603" s="158"/>
      <c r="L603" s="159"/>
    </row>
    <row r="604" spans="11:12" ht="15" customHeight="1" x14ac:dyDescent="0.25">
      <c r="K604" s="158"/>
      <c r="L604" s="159"/>
    </row>
    <row r="605" spans="11:12" ht="15" customHeight="1" x14ac:dyDescent="0.25">
      <c r="K605" s="158"/>
      <c r="L605" s="159"/>
    </row>
    <row r="606" spans="11:12" ht="15" customHeight="1" x14ac:dyDescent="0.25">
      <c r="K606" s="158"/>
      <c r="L606" s="159"/>
    </row>
    <row r="607" spans="11:12" ht="15" customHeight="1" x14ac:dyDescent="0.25">
      <c r="K607" s="158"/>
      <c r="L607" s="159"/>
    </row>
    <row r="608" spans="11:12" ht="15" customHeight="1" x14ac:dyDescent="0.25">
      <c r="K608" s="158"/>
      <c r="L608" s="159"/>
    </row>
    <row r="609" spans="11:12" ht="15" customHeight="1" x14ac:dyDescent="0.25">
      <c r="K609" s="158"/>
      <c r="L609" s="159"/>
    </row>
    <row r="610" spans="11:12" ht="15" customHeight="1" x14ac:dyDescent="0.25">
      <c r="K610" s="158"/>
      <c r="L610" s="159"/>
    </row>
    <row r="611" spans="11:12" ht="15" customHeight="1" x14ac:dyDescent="0.25">
      <c r="K611" s="158"/>
      <c r="L611" s="159"/>
    </row>
    <row r="612" spans="11:12" ht="15" customHeight="1" x14ac:dyDescent="0.25">
      <c r="K612" s="158"/>
      <c r="L612" s="159"/>
    </row>
    <row r="613" spans="11:12" ht="15" customHeight="1" x14ac:dyDescent="0.25">
      <c r="K613" s="158"/>
      <c r="L613" s="159"/>
    </row>
    <row r="614" spans="11:12" ht="15" customHeight="1" x14ac:dyDescent="0.25">
      <c r="K614" s="158"/>
      <c r="L614" s="159"/>
    </row>
    <row r="615" spans="11:12" ht="15" customHeight="1" x14ac:dyDescent="0.25">
      <c r="K615" s="158"/>
      <c r="L615" s="159"/>
    </row>
    <row r="616" spans="11:12" ht="15" customHeight="1" x14ac:dyDescent="0.25">
      <c r="K616" s="158"/>
      <c r="L616" s="159"/>
    </row>
    <row r="617" spans="11:12" ht="15" customHeight="1" x14ac:dyDescent="0.25">
      <c r="K617" s="158"/>
      <c r="L617" s="159"/>
    </row>
    <row r="618" spans="11:12" ht="15" customHeight="1" x14ac:dyDescent="0.25">
      <c r="K618" s="158"/>
      <c r="L618" s="159"/>
    </row>
    <row r="619" spans="11:12" ht="15" customHeight="1" x14ac:dyDescent="0.25">
      <c r="K619" s="158"/>
      <c r="L619" s="159"/>
    </row>
    <row r="620" spans="11:12" ht="15" customHeight="1" x14ac:dyDescent="0.25">
      <c r="K620" s="158"/>
      <c r="L620" s="159"/>
    </row>
    <row r="621" spans="11:12" ht="15" customHeight="1" x14ac:dyDescent="0.25">
      <c r="K621" s="158"/>
      <c r="L621" s="159"/>
    </row>
    <row r="622" spans="11:12" ht="15" customHeight="1" x14ac:dyDescent="0.25">
      <c r="K622" s="158"/>
      <c r="L622" s="159"/>
    </row>
    <row r="623" spans="11:12" ht="15" customHeight="1" x14ac:dyDescent="0.25">
      <c r="K623" s="158"/>
      <c r="L623" s="159"/>
    </row>
    <row r="624" spans="11:12" ht="15" customHeight="1" x14ac:dyDescent="0.25">
      <c r="K624" s="158"/>
      <c r="L624" s="159"/>
    </row>
    <row r="625" spans="11:12" ht="15" customHeight="1" x14ac:dyDescent="0.25">
      <c r="K625" s="158"/>
      <c r="L625" s="159"/>
    </row>
    <row r="626" spans="11:12" ht="15" customHeight="1" x14ac:dyDescent="0.25">
      <c r="K626" s="158"/>
      <c r="L626" s="159"/>
    </row>
    <row r="627" spans="11:12" ht="15" customHeight="1" x14ac:dyDescent="0.25">
      <c r="K627" s="158"/>
      <c r="L627" s="159"/>
    </row>
    <row r="628" spans="11:12" ht="15" customHeight="1" x14ac:dyDescent="0.25">
      <c r="K628" s="158"/>
      <c r="L628" s="159"/>
    </row>
    <row r="629" spans="11:12" ht="15" customHeight="1" x14ac:dyDescent="0.25">
      <c r="K629" s="158"/>
      <c r="L629" s="159"/>
    </row>
    <row r="630" spans="11:12" ht="15" customHeight="1" x14ac:dyDescent="0.25">
      <c r="K630" s="158"/>
      <c r="L630" s="159"/>
    </row>
    <row r="631" spans="11:12" ht="15" customHeight="1" x14ac:dyDescent="0.25">
      <c r="K631" s="158"/>
      <c r="L631" s="159"/>
    </row>
    <row r="632" spans="11:12" ht="15" customHeight="1" x14ac:dyDescent="0.25">
      <c r="K632" s="158"/>
      <c r="L632" s="159"/>
    </row>
    <row r="633" spans="11:12" ht="15" customHeight="1" x14ac:dyDescent="0.25">
      <c r="K633" s="158"/>
      <c r="L633" s="159"/>
    </row>
    <row r="634" spans="11:12" ht="15" customHeight="1" x14ac:dyDescent="0.25">
      <c r="K634" s="158"/>
      <c r="L634" s="159"/>
    </row>
    <row r="635" spans="11:12" ht="15" customHeight="1" x14ac:dyDescent="0.25">
      <c r="K635" s="158"/>
      <c r="L635" s="159"/>
    </row>
    <row r="636" spans="11:12" ht="15" customHeight="1" x14ac:dyDescent="0.25">
      <c r="K636" s="158"/>
      <c r="L636" s="159"/>
    </row>
    <row r="637" spans="11:12" ht="15" customHeight="1" x14ac:dyDescent="0.25">
      <c r="K637" s="158"/>
      <c r="L637" s="159"/>
    </row>
    <row r="638" spans="11:12" ht="15" customHeight="1" x14ac:dyDescent="0.25">
      <c r="K638" s="158"/>
      <c r="L638" s="159"/>
    </row>
    <row r="639" spans="11:12" ht="15" customHeight="1" x14ac:dyDescent="0.25">
      <c r="K639" s="158"/>
      <c r="L639" s="159"/>
    </row>
    <row r="640" spans="11:12" ht="15" customHeight="1" x14ac:dyDescent="0.25">
      <c r="K640" s="158"/>
      <c r="L640" s="159"/>
    </row>
    <row r="641" spans="11:12" ht="15" customHeight="1" x14ac:dyDescent="0.25">
      <c r="K641" s="158"/>
      <c r="L641" s="159"/>
    </row>
    <row r="642" spans="11:12" ht="15" customHeight="1" x14ac:dyDescent="0.25">
      <c r="K642" s="158"/>
      <c r="L642" s="159"/>
    </row>
    <row r="643" spans="11:12" ht="15" customHeight="1" x14ac:dyDescent="0.25">
      <c r="K643" s="158"/>
      <c r="L643" s="159"/>
    </row>
    <row r="644" spans="11:12" ht="15" customHeight="1" x14ac:dyDescent="0.25">
      <c r="K644" s="158"/>
      <c r="L644" s="159"/>
    </row>
    <row r="645" spans="11:12" ht="15" customHeight="1" x14ac:dyDescent="0.25">
      <c r="K645" s="158"/>
      <c r="L645" s="159"/>
    </row>
    <row r="646" spans="11:12" ht="15" customHeight="1" x14ac:dyDescent="0.25">
      <c r="K646" s="158"/>
      <c r="L646" s="159"/>
    </row>
    <row r="647" spans="11:12" ht="15" customHeight="1" x14ac:dyDescent="0.25">
      <c r="K647" s="158"/>
      <c r="L647" s="159"/>
    </row>
    <row r="648" spans="11:12" ht="15" customHeight="1" x14ac:dyDescent="0.25">
      <c r="K648" s="158"/>
      <c r="L648" s="159"/>
    </row>
    <row r="649" spans="11:12" ht="15" customHeight="1" x14ac:dyDescent="0.25">
      <c r="K649" s="158"/>
      <c r="L649" s="159"/>
    </row>
    <row r="650" spans="11:12" ht="15" customHeight="1" x14ac:dyDescent="0.25">
      <c r="K650" s="158"/>
      <c r="L650" s="159"/>
    </row>
    <row r="651" spans="11:12" ht="15" customHeight="1" x14ac:dyDescent="0.25">
      <c r="K651" s="158"/>
      <c r="L651" s="159"/>
    </row>
    <row r="652" spans="11:12" ht="15" customHeight="1" x14ac:dyDescent="0.25">
      <c r="K652" s="158"/>
      <c r="L652" s="159"/>
    </row>
    <row r="653" spans="11:12" ht="15" customHeight="1" x14ac:dyDescent="0.25">
      <c r="K653" s="158"/>
      <c r="L653" s="159"/>
    </row>
    <row r="654" spans="11:12" ht="15" customHeight="1" x14ac:dyDescent="0.25">
      <c r="K654" s="158"/>
      <c r="L654" s="159"/>
    </row>
    <row r="655" spans="11:12" ht="15" customHeight="1" x14ac:dyDescent="0.25">
      <c r="K655" s="158"/>
      <c r="L655" s="159"/>
    </row>
    <row r="656" spans="11:12" ht="15" customHeight="1" x14ac:dyDescent="0.25">
      <c r="K656" s="158"/>
      <c r="L656" s="159"/>
    </row>
    <row r="657" spans="11:12" ht="15" customHeight="1" x14ac:dyDescent="0.25">
      <c r="K657" s="158"/>
      <c r="L657" s="159"/>
    </row>
    <row r="658" spans="11:12" ht="15" customHeight="1" x14ac:dyDescent="0.25">
      <c r="K658" s="158"/>
      <c r="L658" s="159"/>
    </row>
    <row r="659" spans="11:12" ht="15" customHeight="1" x14ac:dyDescent="0.25">
      <c r="K659" s="158"/>
      <c r="L659" s="159"/>
    </row>
    <row r="660" spans="11:12" ht="15" customHeight="1" x14ac:dyDescent="0.25">
      <c r="K660" s="158"/>
      <c r="L660" s="159"/>
    </row>
    <row r="661" spans="11:12" ht="15" customHeight="1" x14ac:dyDescent="0.25">
      <c r="K661" s="158"/>
      <c r="L661" s="159"/>
    </row>
    <row r="662" spans="11:12" ht="15" customHeight="1" x14ac:dyDescent="0.25">
      <c r="K662" s="158"/>
      <c r="L662" s="159"/>
    </row>
    <row r="663" spans="11:12" ht="15" customHeight="1" x14ac:dyDescent="0.25">
      <c r="K663" s="158"/>
      <c r="L663" s="159"/>
    </row>
    <row r="664" spans="11:12" ht="15" customHeight="1" x14ac:dyDescent="0.25">
      <c r="K664" s="158"/>
      <c r="L664" s="159"/>
    </row>
    <row r="665" spans="11:12" ht="15" customHeight="1" x14ac:dyDescent="0.25">
      <c r="K665" s="158"/>
      <c r="L665" s="159"/>
    </row>
    <row r="666" spans="11:12" ht="15" customHeight="1" x14ac:dyDescent="0.25">
      <c r="K666" s="158"/>
      <c r="L666" s="159"/>
    </row>
    <row r="667" spans="11:12" ht="15" customHeight="1" x14ac:dyDescent="0.25">
      <c r="K667" s="158"/>
      <c r="L667" s="159"/>
    </row>
    <row r="668" spans="11:12" ht="15" customHeight="1" x14ac:dyDescent="0.25">
      <c r="K668" s="158"/>
      <c r="L668" s="159"/>
    </row>
    <row r="669" spans="11:12" ht="15" customHeight="1" x14ac:dyDescent="0.25">
      <c r="K669" s="158"/>
      <c r="L669" s="159"/>
    </row>
    <row r="670" spans="11:12" ht="15" customHeight="1" x14ac:dyDescent="0.25">
      <c r="K670" s="158"/>
      <c r="L670" s="159"/>
    </row>
    <row r="671" spans="11:12" ht="15" customHeight="1" x14ac:dyDescent="0.25">
      <c r="K671" s="158"/>
      <c r="L671" s="159"/>
    </row>
    <row r="672" spans="11:12" ht="15" customHeight="1" x14ac:dyDescent="0.25">
      <c r="K672" s="158"/>
      <c r="L672" s="159"/>
    </row>
    <row r="673" spans="11:12" ht="15" customHeight="1" x14ac:dyDescent="0.25">
      <c r="K673" s="158"/>
      <c r="L673" s="159"/>
    </row>
    <row r="674" spans="11:12" ht="15" customHeight="1" x14ac:dyDescent="0.25">
      <c r="K674" s="158"/>
      <c r="L674" s="159"/>
    </row>
    <row r="675" spans="11:12" ht="15" customHeight="1" x14ac:dyDescent="0.25">
      <c r="K675" s="158"/>
      <c r="L675" s="159"/>
    </row>
    <row r="676" spans="11:12" ht="15" customHeight="1" x14ac:dyDescent="0.25">
      <c r="K676" s="158"/>
      <c r="L676" s="159"/>
    </row>
    <row r="677" spans="11:12" ht="15" customHeight="1" x14ac:dyDescent="0.25">
      <c r="K677" s="158"/>
      <c r="L677" s="159"/>
    </row>
    <row r="678" spans="11:12" ht="15" customHeight="1" x14ac:dyDescent="0.25">
      <c r="K678" s="158"/>
      <c r="L678" s="159"/>
    </row>
    <row r="679" spans="11:12" ht="15" customHeight="1" x14ac:dyDescent="0.25">
      <c r="K679" s="158"/>
      <c r="L679" s="159"/>
    </row>
    <row r="680" spans="11:12" ht="15" customHeight="1" x14ac:dyDescent="0.25">
      <c r="K680" s="158"/>
      <c r="L680" s="159"/>
    </row>
    <row r="681" spans="11:12" ht="15" customHeight="1" x14ac:dyDescent="0.25">
      <c r="K681" s="158"/>
      <c r="L681" s="159"/>
    </row>
    <row r="682" spans="11:12" ht="15" customHeight="1" x14ac:dyDescent="0.25">
      <c r="K682" s="158"/>
      <c r="L682" s="159"/>
    </row>
    <row r="683" spans="11:12" ht="15" customHeight="1" x14ac:dyDescent="0.25">
      <c r="K683" s="158"/>
      <c r="L683" s="159"/>
    </row>
    <row r="684" spans="11:12" ht="15" customHeight="1" x14ac:dyDescent="0.25">
      <c r="K684" s="158"/>
      <c r="L684" s="159"/>
    </row>
    <row r="685" spans="11:12" ht="15" customHeight="1" x14ac:dyDescent="0.25">
      <c r="K685" s="158"/>
      <c r="L685" s="159"/>
    </row>
    <row r="686" spans="11:12" ht="15" customHeight="1" x14ac:dyDescent="0.25">
      <c r="K686" s="158"/>
      <c r="L686" s="159"/>
    </row>
    <row r="687" spans="11:12" ht="15" customHeight="1" x14ac:dyDescent="0.25">
      <c r="K687" s="158"/>
      <c r="L687" s="159"/>
    </row>
    <row r="688" spans="11:12" ht="15" customHeight="1" x14ac:dyDescent="0.25">
      <c r="K688" s="158"/>
      <c r="L688" s="159"/>
    </row>
    <row r="689" spans="11:12" ht="15" customHeight="1" x14ac:dyDescent="0.25">
      <c r="K689" s="158"/>
      <c r="L689" s="159"/>
    </row>
    <row r="690" spans="11:12" ht="15" customHeight="1" x14ac:dyDescent="0.25">
      <c r="K690" s="158"/>
      <c r="L690" s="159"/>
    </row>
    <row r="691" spans="11:12" ht="15" customHeight="1" x14ac:dyDescent="0.25">
      <c r="K691" s="158"/>
      <c r="L691" s="159"/>
    </row>
    <row r="692" spans="11:12" ht="15" customHeight="1" x14ac:dyDescent="0.25">
      <c r="K692" s="158"/>
      <c r="L692" s="159"/>
    </row>
    <row r="693" spans="11:12" ht="15" customHeight="1" x14ac:dyDescent="0.25">
      <c r="K693" s="158"/>
      <c r="L693" s="159"/>
    </row>
    <row r="694" spans="11:12" ht="15" customHeight="1" x14ac:dyDescent="0.25">
      <c r="K694" s="158"/>
      <c r="L694" s="159"/>
    </row>
    <row r="695" spans="11:12" ht="15" customHeight="1" x14ac:dyDescent="0.25">
      <c r="K695" s="158"/>
      <c r="L695" s="159"/>
    </row>
    <row r="696" spans="11:12" ht="15" customHeight="1" x14ac:dyDescent="0.25">
      <c r="K696" s="158"/>
      <c r="L696" s="159"/>
    </row>
    <row r="697" spans="11:12" ht="15" customHeight="1" x14ac:dyDescent="0.25">
      <c r="K697" s="158"/>
      <c r="L697" s="159"/>
    </row>
    <row r="698" spans="11:12" ht="15" customHeight="1" x14ac:dyDescent="0.25">
      <c r="K698" s="158"/>
      <c r="L698" s="159"/>
    </row>
    <row r="699" spans="11:12" ht="15" customHeight="1" x14ac:dyDescent="0.25">
      <c r="K699" s="158"/>
      <c r="L699" s="159"/>
    </row>
    <row r="700" spans="11:12" ht="15" customHeight="1" x14ac:dyDescent="0.25">
      <c r="K700" s="158"/>
      <c r="L700" s="159"/>
    </row>
    <row r="701" spans="11:12" ht="15" customHeight="1" x14ac:dyDescent="0.25">
      <c r="K701" s="158"/>
      <c r="L701" s="159"/>
    </row>
    <row r="702" spans="11:12" ht="15" customHeight="1" x14ac:dyDescent="0.25">
      <c r="K702" s="158"/>
      <c r="L702" s="159"/>
    </row>
    <row r="703" spans="11:12" ht="15" customHeight="1" x14ac:dyDescent="0.25">
      <c r="K703" s="158"/>
      <c r="L703" s="159"/>
    </row>
    <row r="704" spans="11:12" ht="15" customHeight="1" x14ac:dyDescent="0.25">
      <c r="K704" s="158"/>
      <c r="L704" s="159"/>
    </row>
    <row r="705" spans="11:12" ht="15" customHeight="1" x14ac:dyDescent="0.25">
      <c r="K705" s="158"/>
      <c r="L705" s="159"/>
    </row>
    <row r="706" spans="11:12" ht="15" customHeight="1" x14ac:dyDescent="0.25">
      <c r="K706" s="158"/>
      <c r="L706" s="159"/>
    </row>
    <row r="707" spans="11:12" ht="15" customHeight="1" x14ac:dyDescent="0.25">
      <c r="K707" s="158"/>
      <c r="L707" s="159"/>
    </row>
    <row r="708" spans="11:12" ht="15" customHeight="1" x14ac:dyDescent="0.25">
      <c r="K708" s="158"/>
      <c r="L708" s="159"/>
    </row>
    <row r="709" spans="11:12" ht="15" customHeight="1" x14ac:dyDescent="0.25">
      <c r="K709" s="158"/>
      <c r="L709" s="159"/>
    </row>
    <row r="710" spans="11:12" ht="15" customHeight="1" x14ac:dyDescent="0.25">
      <c r="K710" s="158"/>
      <c r="L710" s="159"/>
    </row>
    <row r="711" spans="11:12" ht="15" customHeight="1" x14ac:dyDescent="0.25">
      <c r="K711" s="158"/>
      <c r="L711" s="159"/>
    </row>
    <row r="712" spans="11:12" ht="15" customHeight="1" x14ac:dyDescent="0.25">
      <c r="K712" s="158"/>
      <c r="L712" s="159"/>
    </row>
    <row r="713" spans="11:12" ht="15" customHeight="1" x14ac:dyDescent="0.25">
      <c r="K713" s="158"/>
      <c r="L713" s="159"/>
    </row>
    <row r="714" spans="11:12" ht="15" customHeight="1" x14ac:dyDescent="0.25">
      <c r="K714" s="158"/>
      <c r="L714" s="159"/>
    </row>
    <row r="715" spans="11:12" ht="15" customHeight="1" x14ac:dyDescent="0.25">
      <c r="K715" s="158"/>
      <c r="L715" s="159"/>
    </row>
    <row r="716" spans="11:12" ht="15" customHeight="1" x14ac:dyDescent="0.25">
      <c r="K716" s="158"/>
      <c r="L716" s="159"/>
    </row>
    <row r="717" spans="11:12" ht="15" customHeight="1" x14ac:dyDescent="0.25">
      <c r="K717" s="158"/>
      <c r="L717" s="159"/>
    </row>
    <row r="718" spans="11:12" ht="15" customHeight="1" x14ac:dyDescent="0.25">
      <c r="K718" s="158"/>
      <c r="L718" s="159"/>
    </row>
    <row r="719" spans="11:12" ht="15" customHeight="1" x14ac:dyDescent="0.25">
      <c r="K719" s="158"/>
      <c r="L719" s="159"/>
    </row>
    <row r="720" spans="11:12" ht="15" customHeight="1" x14ac:dyDescent="0.25">
      <c r="K720" s="158"/>
      <c r="L720" s="159"/>
    </row>
    <row r="721" spans="11:12" ht="15" customHeight="1" x14ac:dyDescent="0.25">
      <c r="K721" s="158"/>
      <c r="L721" s="159"/>
    </row>
    <row r="722" spans="11:12" ht="15" customHeight="1" x14ac:dyDescent="0.25">
      <c r="K722" s="158"/>
      <c r="L722" s="159"/>
    </row>
    <row r="723" spans="11:12" ht="15" customHeight="1" x14ac:dyDescent="0.25">
      <c r="K723" s="158"/>
      <c r="L723" s="159"/>
    </row>
    <row r="724" spans="11:12" ht="15" customHeight="1" x14ac:dyDescent="0.25">
      <c r="K724" s="158"/>
      <c r="L724" s="159"/>
    </row>
    <row r="725" spans="11:12" ht="15" customHeight="1" x14ac:dyDescent="0.25">
      <c r="K725" s="158"/>
      <c r="L725" s="159"/>
    </row>
    <row r="726" spans="11:12" ht="15" customHeight="1" x14ac:dyDescent="0.25">
      <c r="K726" s="158"/>
      <c r="L726" s="159"/>
    </row>
    <row r="727" spans="11:12" ht="15" customHeight="1" x14ac:dyDescent="0.25">
      <c r="K727" s="158"/>
      <c r="L727" s="159"/>
    </row>
    <row r="728" spans="11:12" ht="15" customHeight="1" x14ac:dyDescent="0.25">
      <c r="K728" s="158"/>
      <c r="L728" s="159"/>
    </row>
    <row r="729" spans="11:12" ht="15" customHeight="1" x14ac:dyDescent="0.25">
      <c r="K729" s="158"/>
      <c r="L729" s="159"/>
    </row>
    <row r="730" spans="11:12" ht="15" customHeight="1" x14ac:dyDescent="0.25">
      <c r="K730" s="158"/>
      <c r="L730" s="159"/>
    </row>
    <row r="731" spans="11:12" ht="15" customHeight="1" x14ac:dyDescent="0.25">
      <c r="K731" s="158"/>
      <c r="L731" s="159"/>
    </row>
    <row r="732" spans="11:12" ht="15" customHeight="1" x14ac:dyDescent="0.25">
      <c r="K732" s="158"/>
      <c r="L732" s="159"/>
    </row>
    <row r="733" spans="11:12" ht="15" customHeight="1" x14ac:dyDescent="0.25">
      <c r="K733" s="158"/>
      <c r="L733" s="159"/>
    </row>
    <row r="734" spans="11:12" ht="15" customHeight="1" x14ac:dyDescent="0.25">
      <c r="K734" s="158"/>
      <c r="L734" s="159"/>
    </row>
    <row r="735" spans="11:12" ht="15" customHeight="1" x14ac:dyDescent="0.25">
      <c r="K735" s="158"/>
      <c r="L735" s="159"/>
    </row>
    <row r="736" spans="11:12" ht="15" customHeight="1" x14ac:dyDescent="0.25">
      <c r="K736" s="158"/>
      <c r="L736" s="159"/>
    </row>
    <row r="737" spans="11:12" ht="15" customHeight="1" x14ac:dyDescent="0.25">
      <c r="K737" s="158"/>
      <c r="L737" s="159"/>
    </row>
    <row r="738" spans="11:12" ht="15" customHeight="1" x14ac:dyDescent="0.25">
      <c r="K738" s="158"/>
      <c r="L738" s="159"/>
    </row>
    <row r="739" spans="11:12" ht="15" customHeight="1" x14ac:dyDescent="0.25">
      <c r="K739" s="158"/>
      <c r="L739" s="159"/>
    </row>
    <row r="740" spans="11:12" ht="15" customHeight="1" x14ac:dyDescent="0.25">
      <c r="K740" s="158"/>
      <c r="L740" s="159"/>
    </row>
    <row r="741" spans="11:12" ht="15" customHeight="1" x14ac:dyDescent="0.25">
      <c r="K741" s="158"/>
      <c r="L741" s="159"/>
    </row>
    <row r="742" spans="11:12" ht="15" customHeight="1" x14ac:dyDescent="0.25">
      <c r="K742" s="158"/>
      <c r="L742" s="159"/>
    </row>
    <row r="743" spans="11:12" ht="15" customHeight="1" x14ac:dyDescent="0.25">
      <c r="K743" s="158"/>
      <c r="L743" s="159"/>
    </row>
    <row r="744" spans="11:12" ht="15" customHeight="1" x14ac:dyDescent="0.25">
      <c r="K744" s="158"/>
      <c r="L744" s="159"/>
    </row>
    <row r="745" spans="11:12" ht="15" customHeight="1" x14ac:dyDescent="0.25">
      <c r="K745" s="158"/>
      <c r="L745" s="159"/>
    </row>
    <row r="746" spans="11:12" ht="15" customHeight="1" x14ac:dyDescent="0.25">
      <c r="K746" s="158"/>
      <c r="L746" s="159"/>
    </row>
    <row r="747" spans="11:12" ht="15" customHeight="1" x14ac:dyDescent="0.25">
      <c r="K747" s="158"/>
      <c r="L747" s="159"/>
    </row>
    <row r="748" spans="11:12" ht="15" customHeight="1" x14ac:dyDescent="0.25">
      <c r="K748" s="158"/>
      <c r="L748" s="159"/>
    </row>
    <row r="749" spans="11:12" ht="15" customHeight="1" x14ac:dyDescent="0.25">
      <c r="K749" s="158"/>
      <c r="L749" s="159"/>
    </row>
    <row r="750" spans="11:12" ht="15" customHeight="1" x14ac:dyDescent="0.25">
      <c r="K750" s="158"/>
      <c r="L750" s="159"/>
    </row>
    <row r="751" spans="11:12" ht="15" customHeight="1" x14ac:dyDescent="0.25">
      <c r="K751" s="158"/>
      <c r="L751" s="159"/>
    </row>
    <row r="752" spans="11:12" ht="15" customHeight="1" x14ac:dyDescent="0.25">
      <c r="K752" s="158"/>
      <c r="L752" s="159"/>
    </row>
    <row r="753" spans="11:12" ht="15" customHeight="1" x14ac:dyDescent="0.25">
      <c r="K753" s="158"/>
      <c r="L753" s="159"/>
    </row>
    <row r="754" spans="11:12" ht="15" customHeight="1" x14ac:dyDescent="0.25">
      <c r="K754" s="158"/>
      <c r="L754" s="159"/>
    </row>
    <row r="755" spans="11:12" ht="15" customHeight="1" x14ac:dyDescent="0.25">
      <c r="K755" s="158"/>
      <c r="L755" s="159"/>
    </row>
    <row r="756" spans="11:12" ht="15" customHeight="1" x14ac:dyDescent="0.25">
      <c r="K756" s="158"/>
      <c r="L756" s="159"/>
    </row>
    <row r="757" spans="11:12" ht="15" customHeight="1" x14ac:dyDescent="0.25">
      <c r="K757" s="158"/>
      <c r="L757" s="159"/>
    </row>
    <row r="758" spans="11:12" ht="15" customHeight="1" x14ac:dyDescent="0.25">
      <c r="K758" s="158"/>
      <c r="L758" s="159"/>
    </row>
    <row r="759" spans="11:12" ht="15" customHeight="1" x14ac:dyDescent="0.25">
      <c r="K759" s="158"/>
      <c r="L759" s="159"/>
    </row>
    <row r="760" spans="11:12" ht="15" customHeight="1" x14ac:dyDescent="0.25">
      <c r="K760" s="158"/>
      <c r="L760" s="159"/>
    </row>
    <row r="761" spans="11:12" ht="15" customHeight="1" x14ac:dyDescent="0.25">
      <c r="K761" s="158"/>
      <c r="L761" s="159"/>
    </row>
    <row r="762" spans="11:12" ht="15" customHeight="1" x14ac:dyDescent="0.25">
      <c r="K762" s="158"/>
      <c r="L762" s="159"/>
    </row>
    <row r="763" spans="11:12" ht="15" customHeight="1" x14ac:dyDescent="0.25">
      <c r="K763" s="158"/>
      <c r="L763" s="159"/>
    </row>
    <row r="764" spans="11:12" ht="15" customHeight="1" x14ac:dyDescent="0.25">
      <c r="K764" s="158"/>
      <c r="L764" s="159"/>
    </row>
    <row r="765" spans="11:12" ht="15" customHeight="1" x14ac:dyDescent="0.25">
      <c r="K765" s="158"/>
      <c r="L765" s="159"/>
    </row>
    <row r="766" spans="11:12" ht="15" customHeight="1" x14ac:dyDescent="0.25">
      <c r="K766" s="158"/>
      <c r="L766" s="159"/>
    </row>
    <row r="767" spans="11:12" ht="15" customHeight="1" x14ac:dyDescent="0.25">
      <c r="K767" s="158"/>
      <c r="L767" s="159"/>
    </row>
    <row r="768" spans="11:12" ht="15" customHeight="1" x14ac:dyDescent="0.25">
      <c r="K768" s="158"/>
      <c r="L768" s="159"/>
    </row>
    <row r="769" spans="11:12" ht="15" customHeight="1" x14ac:dyDescent="0.25">
      <c r="K769" s="158"/>
      <c r="L769" s="159"/>
    </row>
    <row r="770" spans="11:12" ht="15" customHeight="1" x14ac:dyDescent="0.25">
      <c r="K770" s="158"/>
      <c r="L770" s="159"/>
    </row>
    <row r="771" spans="11:12" ht="15" customHeight="1" x14ac:dyDescent="0.25">
      <c r="K771" s="158"/>
      <c r="L771" s="159"/>
    </row>
    <row r="772" spans="11:12" ht="15" customHeight="1" x14ac:dyDescent="0.25">
      <c r="K772" s="158"/>
      <c r="L772" s="159"/>
    </row>
    <row r="773" spans="11:12" ht="15" customHeight="1" x14ac:dyDescent="0.25">
      <c r="K773" s="158"/>
      <c r="L773" s="159"/>
    </row>
    <row r="774" spans="11:12" ht="15" customHeight="1" x14ac:dyDescent="0.25">
      <c r="K774" s="158"/>
      <c r="L774" s="159"/>
    </row>
    <row r="775" spans="11:12" ht="15" customHeight="1" x14ac:dyDescent="0.25">
      <c r="K775" s="158"/>
      <c r="L775" s="159"/>
    </row>
    <row r="776" spans="11:12" ht="15" customHeight="1" x14ac:dyDescent="0.25">
      <c r="K776" s="158"/>
      <c r="L776" s="159"/>
    </row>
    <row r="777" spans="11:12" ht="15" customHeight="1" x14ac:dyDescent="0.25">
      <c r="K777" s="158"/>
      <c r="L777" s="159"/>
    </row>
    <row r="778" spans="11:12" ht="15" customHeight="1" x14ac:dyDescent="0.25">
      <c r="K778" s="158"/>
      <c r="L778" s="159"/>
    </row>
    <row r="779" spans="11:12" ht="15" customHeight="1" x14ac:dyDescent="0.25">
      <c r="K779" s="158"/>
      <c r="L779" s="159"/>
    </row>
    <row r="780" spans="11:12" ht="15" customHeight="1" x14ac:dyDescent="0.25">
      <c r="K780" s="158"/>
      <c r="L780" s="159"/>
    </row>
    <row r="781" spans="11:12" ht="15" customHeight="1" x14ac:dyDescent="0.25">
      <c r="K781" s="158"/>
      <c r="L781" s="159"/>
    </row>
    <row r="782" spans="11:12" ht="15" customHeight="1" x14ac:dyDescent="0.25">
      <c r="K782" s="158"/>
      <c r="L782" s="159"/>
    </row>
    <row r="783" spans="11:12" ht="15" customHeight="1" x14ac:dyDescent="0.25">
      <c r="K783" s="158"/>
      <c r="L783" s="159"/>
    </row>
    <row r="784" spans="11:12" ht="15" customHeight="1" x14ac:dyDescent="0.25">
      <c r="K784" s="158"/>
      <c r="L784" s="159"/>
    </row>
    <row r="785" spans="11:12" ht="15" customHeight="1" x14ac:dyDescent="0.25">
      <c r="K785" s="158"/>
      <c r="L785" s="159"/>
    </row>
    <row r="786" spans="11:12" ht="15" customHeight="1" x14ac:dyDescent="0.25">
      <c r="K786" s="158"/>
      <c r="L786" s="159"/>
    </row>
    <row r="787" spans="11:12" ht="15" customHeight="1" x14ac:dyDescent="0.25">
      <c r="K787" s="158"/>
      <c r="L787" s="159"/>
    </row>
    <row r="788" spans="11:12" ht="15" customHeight="1" x14ac:dyDescent="0.25">
      <c r="K788" s="158"/>
      <c r="L788" s="159"/>
    </row>
    <row r="789" spans="11:12" ht="15" customHeight="1" x14ac:dyDescent="0.25">
      <c r="K789" s="158"/>
      <c r="L789" s="159"/>
    </row>
    <row r="790" spans="11:12" ht="15" customHeight="1" x14ac:dyDescent="0.25">
      <c r="K790" s="158"/>
      <c r="L790" s="159"/>
    </row>
    <row r="791" spans="11:12" ht="15" customHeight="1" x14ac:dyDescent="0.25">
      <c r="K791" s="158"/>
      <c r="L791" s="159"/>
    </row>
    <row r="792" spans="11:12" ht="15" customHeight="1" x14ac:dyDescent="0.25">
      <c r="K792" s="158"/>
      <c r="L792" s="159"/>
    </row>
    <row r="793" spans="11:12" ht="15" customHeight="1" x14ac:dyDescent="0.25">
      <c r="K793" s="158"/>
      <c r="L793" s="159"/>
    </row>
    <row r="794" spans="11:12" ht="15" customHeight="1" x14ac:dyDescent="0.25">
      <c r="K794" s="158"/>
      <c r="L794" s="159"/>
    </row>
    <row r="795" spans="11:12" ht="15" customHeight="1" x14ac:dyDescent="0.25">
      <c r="K795" s="158"/>
      <c r="L795" s="159"/>
    </row>
    <row r="796" spans="11:12" ht="15" customHeight="1" x14ac:dyDescent="0.25">
      <c r="K796" s="158"/>
      <c r="L796" s="159"/>
    </row>
    <row r="797" spans="11:12" ht="15" customHeight="1" x14ac:dyDescent="0.25">
      <c r="K797" s="158"/>
      <c r="L797" s="159"/>
    </row>
    <row r="798" spans="11:12" ht="15" customHeight="1" x14ac:dyDescent="0.25">
      <c r="K798" s="158"/>
      <c r="L798" s="159"/>
    </row>
    <row r="799" spans="11:12" ht="15" customHeight="1" x14ac:dyDescent="0.25">
      <c r="K799" s="158"/>
      <c r="L799" s="159"/>
    </row>
    <row r="800" spans="11:12" ht="15" customHeight="1" x14ac:dyDescent="0.25">
      <c r="K800" s="158"/>
      <c r="L800" s="159"/>
    </row>
    <row r="801" spans="11:12" ht="15" customHeight="1" x14ac:dyDescent="0.25">
      <c r="K801" s="158"/>
      <c r="L801" s="159"/>
    </row>
    <row r="802" spans="11:12" ht="15" customHeight="1" x14ac:dyDescent="0.25">
      <c r="K802" s="158"/>
      <c r="L802" s="159"/>
    </row>
    <row r="803" spans="11:12" ht="15" customHeight="1" x14ac:dyDescent="0.25">
      <c r="K803" s="158"/>
      <c r="L803" s="159"/>
    </row>
    <row r="804" spans="11:12" ht="15" customHeight="1" x14ac:dyDescent="0.25">
      <c r="K804" s="158"/>
      <c r="L804" s="159"/>
    </row>
    <row r="805" spans="11:12" ht="15" customHeight="1" x14ac:dyDescent="0.25">
      <c r="K805" s="158"/>
      <c r="L805" s="159"/>
    </row>
    <row r="806" spans="11:12" ht="15" customHeight="1" x14ac:dyDescent="0.25">
      <c r="K806" s="158"/>
      <c r="L806" s="159"/>
    </row>
    <row r="807" spans="11:12" ht="15" customHeight="1" x14ac:dyDescent="0.25">
      <c r="K807" s="158"/>
      <c r="L807" s="159"/>
    </row>
    <row r="808" spans="11:12" ht="15" customHeight="1" x14ac:dyDescent="0.25">
      <c r="K808" s="158"/>
      <c r="L808" s="159"/>
    </row>
    <row r="809" spans="11:12" ht="15" customHeight="1" x14ac:dyDescent="0.25">
      <c r="K809" s="158"/>
      <c r="L809" s="159"/>
    </row>
    <row r="810" spans="11:12" ht="15" customHeight="1" x14ac:dyDescent="0.25">
      <c r="K810" s="158"/>
      <c r="L810" s="159"/>
    </row>
    <row r="811" spans="11:12" ht="15" customHeight="1" x14ac:dyDescent="0.25">
      <c r="K811" s="158"/>
      <c r="L811" s="159"/>
    </row>
    <row r="812" spans="11:12" ht="15" customHeight="1" x14ac:dyDescent="0.25">
      <c r="K812" s="158"/>
      <c r="L812" s="159"/>
    </row>
    <row r="813" spans="11:12" ht="15" customHeight="1" x14ac:dyDescent="0.25">
      <c r="K813" s="158"/>
      <c r="L813" s="159"/>
    </row>
    <row r="814" spans="11:12" ht="15" customHeight="1" x14ac:dyDescent="0.25">
      <c r="K814" s="158"/>
      <c r="L814" s="159"/>
    </row>
    <row r="815" spans="11:12" ht="15" customHeight="1" x14ac:dyDescent="0.25">
      <c r="K815" s="158"/>
      <c r="L815" s="159"/>
    </row>
    <row r="816" spans="11:12" ht="15" customHeight="1" x14ac:dyDescent="0.25">
      <c r="K816" s="158"/>
      <c r="L816" s="159"/>
    </row>
    <row r="817" spans="11:12" ht="15" customHeight="1" x14ac:dyDescent="0.25">
      <c r="K817" s="158"/>
      <c r="L817" s="159"/>
    </row>
    <row r="818" spans="11:12" ht="15" customHeight="1" x14ac:dyDescent="0.25">
      <c r="K818" s="158"/>
      <c r="L818" s="159"/>
    </row>
    <row r="819" spans="11:12" ht="15" customHeight="1" x14ac:dyDescent="0.25">
      <c r="K819" s="158"/>
      <c r="L819" s="159"/>
    </row>
    <row r="820" spans="11:12" ht="15" customHeight="1" x14ac:dyDescent="0.25">
      <c r="K820" s="158"/>
      <c r="L820" s="159"/>
    </row>
    <row r="821" spans="11:12" ht="15" customHeight="1" x14ac:dyDescent="0.25">
      <c r="K821" s="158"/>
      <c r="L821" s="159"/>
    </row>
    <row r="822" spans="11:12" ht="15" customHeight="1" x14ac:dyDescent="0.25">
      <c r="K822" s="158"/>
      <c r="L822" s="159"/>
    </row>
    <row r="823" spans="11:12" ht="15" customHeight="1" x14ac:dyDescent="0.25">
      <c r="K823" s="158"/>
      <c r="L823" s="159"/>
    </row>
    <row r="824" spans="11:12" ht="15" customHeight="1" x14ac:dyDescent="0.25">
      <c r="K824" s="158"/>
      <c r="L824" s="159"/>
    </row>
    <row r="825" spans="11:12" ht="15" customHeight="1" x14ac:dyDescent="0.25">
      <c r="K825" s="158"/>
      <c r="L825" s="159"/>
    </row>
    <row r="826" spans="11:12" ht="15" customHeight="1" x14ac:dyDescent="0.25">
      <c r="K826" s="158"/>
      <c r="L826" s="159"/>
    </row>
    <row r="827" spans="11:12" ht="15" customHeight="1" x14ac:dyDescent="0.25">
      <c r="K827" s="158"/>
      <c r="L827" s="159"/>
    </row>
    <row r="828" spans="11:12" ht="15" customHeight="1" x14ac:dyDescent="0.25">
      <c r="K828" s="158"/>
      <c r="L828" s="159"/>
    </row>
    <row r="829" spans="11:12" ht="15" customHeight="1" x14ac:dyDescent="0.25">
      <c r="K829" s="158"/>
      <c r="L829" s="159"/>
    </row>
    <row r="830" spans="11:12" ht="15" customHeight="1" x14ac:dyDescent="0.25">
      <c r="K830" s="158"/>
      <c r="L830" s="159"/>
    </row>
    <row r="831" spans="11:12" ht="15" customHeight="1" x14ac:dyDescent="0.25">
      <c r="K831" s="158"/>
      <c r="L831" s="159"/>
    </row>
    <row r="832" spans="11:12" ht="15" customHeight="1" x14ac:dyDescent="0.25">
      <c r="K832" s="158"/>
      <c r="L832" s="159"/>
    </row>
    <row r="833" spans="11:12" ht="15" customHeight="1" x14ac:dyDescent="0.25">
      <c r="K833" s="158"/>
      <c r="L833" s="159"/>
    </row>
    <row r="834" spans="11:12" ht="15" customHeight="1" x14ac:dyDescent="0.25">
      <c r="K834" s="158"/>
      <c r="L834" s="159"/>
    </row>
    <row r="835" spans="11:12" ht="15" customHeight="1" x14ac:dyDescent="0.25">
      <c r="K835" s="158"/>
      <c r="L835" s="159"/>
    </row>
    <row r="836" spans="11:12" ht="15" customHeight="1" x14ac:dyDescent="0.25">
      <c r="K836" s="158"/>
      <c r="L836" s="159"/>
    </row>
    <row r="837" spans="11:12" ht="15" customHeight="1" x14ac:dyDescent="0.25">
      <c r="K837" s="158"/>
      <c r="L837" s="159"/>
    </row>
    <row r="838" spans="11:12" ht="15" customHeight="1" x14ac:dyDescent="0.25">
      <c r="K838" s="158"/>
      <c r="L838" s="159"/>
    </row>
    <row r="839" spans="11:12" ht="15" customHeight="1" x14ac:dyDescent="0.25">
      <c r="K839" s="158"/>
      <c r="L839" s="159"/>
    </row>
    <row r="840" spans="11:12" ht="15" customHeight="1" x14ac:dyDescent="0.25">
      <c r="K840" s="158"/>
      <c r="L840" s="159"/>
    </row>
    <row r="841" spans="11:12" ht="15" customHeight="1" x14ac:dyDescent="0.25">
      <c r="K841" s="158"/>
      <c r="L841" s="159"/>
    </row>
    <row r="842" spans="11:12" ht="15" customHeight="1" x14ac:dyDescent="0.25">
      <c r="K842" s="158"/>
      <c r="L842" s="159"/>
    </row>
    <row r="843" spans="11:12" ht="15" customHeight="1" x14ac:dyDescent="0.25">
      <c r="K843" s="158"/>
      <c r="L843" s="159"/>
    </row>
    <row r="844" spans="11:12" ht="15" customHeight="1" x14ac:dyDescent="0.25">
      <c r="K844" s="158"/>
      <c r="L844" s="159"/>
    </row>
    <row r="845" spans="11:12" ht="15" customHeight="1" x14ac:dyDescent="0.25">
      <c r="K845" s="158"/>
      <c r="L845" s="159"/>
    </row>
    <row r="846" spans="11:12" ht="15" customHeight="1" x14ac:dyDescent="0.25">
      <c r="K846" s="158"/>
      <c r="L846" s="159"/>
    </row>
    <row r="847" spans="11:12" ht="15" customHeight="1" x14ac:dyDescent="0.25">
      <c r="K847" s="158"/>
      <c r="L847" s="159"/>
    </row>
    <row r="848" spans="11:12" ht="15" customHeight="1" x14ac:dyDescent="0.25">
      <c r="K848" s="158"/>
      <c r="L848" s="159"/>
    </row>
    <row r="849" spans="11:12" ht="15" customHeight="1" x14ac:dyDescent="0.25">
      <c r="K849" s="158"/>
      <c r="L849" s="159"/>
    </row>
    <row r="850" spans="11:12" ht="15" customHeight="1" x14ac:dyDescent="0.25">
      <c r="K850" s="158"/>
      <c r="L850" s="159"/>
    </row>
    <row r="851" spans="11:12" ht="15" customHeight="1" x14ac:dyDescent="0.25">
      <c r="K851" s="158"/>
      <c r="L851" s="159"/>
    </row>
    <row r="852" spans="11:12" ht="15" customHeight="1" x14ac:dyDescent="0.25">
      <c r="K852" s="158"/>
      <c r="L852" s="159"/>
    </row>
    <row r="853" spans="11:12" ht="15" customHeight="1" x14ac:dyDescent="0.25">
      <c r="K853" s="158"/>
      <c r="L853" s="159"/>
    </row>
    <row r="854" spans="11:12" ht="15" customHeight="1" x14ac:dyDescent="0.25">
      <c r="K854" s="158"/>
      <c r="L854" s="159"/>
    </row>
    <row r="855" spans="11:12" ht="15" customHeight="1" x14ac:dyDescent="0.25">
      <c r="K855" s="158"/>
      <c r="L855" s="159"/>
    </row>
    <row r="856" spans="11:12" ht="15" customHeight="1" x14ac:dyDescent="0.25">
      <c r="K856" s="158"/>
      <c r="L856" s="159"/>
    </row>
    <row r="857" spans="11:12" ht="15" customHeight="1" x14ac:dyDescent="0.25">
      <c r="K857" s="158"/>
      <c r="L857" s="159"/>
    </row>
    <row r="858" spans="11:12" ht="15" customHeight="1" x14ac:dyDescent="0.25">
      <c r="K858" s="158"/>
      <c r="L858" s="159"/>
    </row>
    <row r="859" spans="11:12" ht="15" customHeight="1" x14ac:dyDescent="0.25">
      <c r="K859" s="158"/>
      <c r="L859" s="159"/>
    </row>
    <row r="860" spans="11:12" ht="15" customHeight="1" x14ac:dyDescent="0.25">
      <c r="K860" s="158"/>
      <c r="L860" s="159"/>
    </row>
    <row r="861" spans="11:12" ht="15" customHeight="1" x14ac:dyDescent="0.25">
      <c r="K861" s="158"/>
      <c r="L861" s="159"/>
    </row>
    <row r="862" spans="11:12" ht="15" customHeight="1" x14ac:dyDescent="0.25">
      <c r="K862" s="158"/>
      <c r="L862" s="159"/>
    </row>
    <row r="863" spans="11:12" ht="15" customHeight="1" x14ac:dyDescent="0.25">
      <c r="K863" s="158"/>
      <c r="L863" s="159"/>
    </row>
    <row r="864" spans="11:12" ht="15" customHeight="1" x14ac:dyDescent="0.25">
      <c r="K864" s="158"/>
      <c r="L864" s="159"/>
    </row>
    <row r="865" spans="11:12" ht="15" customHeight="1" x14ac:dyDescent="0.25">
      <c r="K865" s="158"/>
      <c r="L865" s="159"/>
    </row>
    <row r="866" spans="11:12" ht="15" customHeight="1" x14ac:dyDescent="0.25">
      <c r="K866" s="158"/>
      <c r="L866" s="159"/>
    </row>
    <row r="867" spans="11:12" ht="15" customHeight="1" x14ac:dyDescent="0.25">
      <c r="K867" s="158"/>
      <c r="L867" s="159"/>
    </row>
    <row r="868" spans="11:12" ht="15" customHeight="1" x14ac:dyDescent="0.25">
      <c r="K868" s="158"/>
      <c r="L868" s="159"/>
    </row>
    <row r="869" spans="11:12" ht="15" customHeight="1" x14ac:dyDescent="0.25">
      <c r="K869" s="158"/>
      <c r="L869" s="159"/>
    </row>
    <row r="870" spans="11:12" ht="15" customHeight="1" x14ac:dyDescent="0.25">
      <c r="K870" s="158"/>
      <c r="L870" s="159"/>
    </row>
    <row r="871" spans="11:12" ht="15" customHeight="1" x14ac:dyDescent="0.25">
      <c r="K871" s="158"/>
      <c r="L871" s="159"/>
    </row>
    <row r="872" spans="11:12" ht="15" customHeight="1" x14ac:dyDescent="0.25">
      <c r="K872" s="158"/>
      <c r="L872" s="159"/>
    </row>
    <row r="873" spans="11:12" ht="15" customHeight="1" x14ac:dyDescent="0.25">
      <c r="K873" s="158"/>
      <c r="L873" s="159"/>
    </row>
    <row r="874" spans="11:12" ht="15" customHeight="1" x14ac:dyDescent="0.25">
      <c r="K874" s="158"/>
      <c r="L874" s="159"/>
    </row>
    <row r="875" spans="11:12" ht="15" customHeight="1" x14ac:dyDescent="0.25">
      <c r="K875" s="158"/>
      <c r="L875" s="159"/>
    </row>
    <row r="876" spans="11:12" ht="15" customHeight="1" x14ac:dyDescent="0.25">
      <c r="K876" s="158"/>
      <c r="L876" s="159"/>
    </row>
    <row r="877" spans="11:12" ht="15" customHeight="1" x14ac:dyDescent="0.25">
      <c r="K877" s="158"/>
      <c r="L877" s="159"/>
    </row>
    <row r="878" spans="11:12" ht="15" customHeight="1" x14ac:dyDescent="0.25">
      <c r="K878" s="158"/>
      <c r="L878" s="159"/>
    </row>
    <row r="879" spans="11:12" ht="15" customHeight="1" x14ac:dyDescent="0.25">
      <c r="K879" s="158"/>
      <c r="L879" s="159"/>
    </row>
    <row r="880" spans="11:12" ht="15" customHeight="1" x14ac:dyDescent="0.25">
      <c r="K880" s="158"/>
      <c r="L880" s="159"/>
    </row>
    <row r="881" spans="11:12" ht="15" customHeight="1" x14ac:dyDescent="0.25">
      <c r="K881" s="158"/>
      <c r="L881" s="159"/>
    </row>
    <row r="882" spans="11:12" ht="15" customHeight="1" x14ac:dyDescent="0.25">
      <c r="K882" s="158"/>
      <c r="L882" s="159"/>
    </row>
    <row r="883" spans="11:12" ht="15" customHeight="1" x14ac:dyDescent="0.25">
      <c r="K883" s="158"/>
      <c r="L883" s="159"/>
    </row>
    <row r="884" spans="11:12" ht="15" customHeight="1" x14ac:dyDescent="0.25">
      <c r="K884" s="158"/>
      <c r="L884" s="159"/>
    </row>
    <row r="885" spans="11:12" ht="15" customHeight="1" x14ac:dyDescent="0.25">
      <c r="K885" s="158"/>
      <c r="L885" s="159"/>
    </row>
    <row r="886" spans="11:12" ht="15" customHeight="1" x14ac:dyDescent="0.25">
      <c r="K886" s="158"/>
      <c r="L886" s="159"/>
    </row>
    <row r="887" spans="11:12" ht="15" customHeight="1" x14ac:dyDescent="0.25">
      <c r="K887" s="158"/>
      <c r="L887" s="159"/>
    </row>
    <row r="888" spans="11:12" ht="15" customHeight="1" x14ac:dyDescent="0.25">
      <c r="K888" s="158"/>
      <c r="L888" s="159"/>
    </row>
    <row r="889" spans="11:12" ht="15" customHeight="1" x14ac:dyDescent="0.25">
      <c r="K889" s="158"/>
      <c r="L889" s="159"/>
    </row>
    <row r="890" spans="11:12" ht="15" customHeight="1" x14ac:dyDescent="0.25">
      <c r="K890" s="158"/>
      <c r="L890" s="159"/>
    </row>
    <row r="891" spans="11:12" ht="15" customHeight="1" x14ac:dyDescent="0.25">
      <c r="K891" s="158"/>
      <c r="L891" s="159"/>
    </row>
    <row r="892" spans="11:12" ht="15" customHeight="1" x14ac:dyDescent="0.25">
      <c r="K892" s="158"/>
      <c r="L892" s="159"/>
    </row>
    <row r="893" spans="11:12" ht="15" customHeight="1" x14ac:dyDescent="0.25">
      <c r="K893" s="158"/>
      <c r="L893" s="159"/>
    </row>
    <row r="894" spans="11:12" ht="15" customHeight="1" x14ac:dyDescent="0.25">
      <c r="K894" s="158"/>
      <c r="L894" s="159"/>
    </row>
    <row r="895" spans="11:12" ht="15" customHeight="1" x14ac:dyDescent="0.25">
      <c r="K895" s="158"/>
      <c r="L895" s="159"/>
    </row>
    <row r="896" spans="11:12" ht="15" customHeight="1" x14ac:dyDescent="0.25">
      <c r="K896" s="158"/>
      <c r="L896" s="159"/>
    </row>
    <row r="897" spans="11:12" ht="15" customHeight="1" x14ac:dyDescent="0.25">
      <c r="K897" s="158"/>
      <c r="L897" s="159"/>
    </row>
    <row r="898" spans="11:12" ht="15" customHeight="1" x14ac:dyDescent="0.25">
      <c r="K898" s="158"/>
      <c r="L898" s="159"/>
    </row>
    <row r="899" spans="11:12" ht="15" customHeight="1" x14ac:dyDescent="0.25">
      <c r="K899" s="158"/>
      <c r="L899" s="159"/>
    </row>
    <row r="900" spans="11:12" ht="15" customHeight="1" x14ac:dyDescent="0.25">
      <c r="K900" s="158"/>
      <c r="L900" s="159"/>
    </row>
    <row r="901" spans="11:12" ht="15" customHeight="1" x14ac:dyDescent="0.25">
      <c r="K901" s="158"/>
      <c r="L901" s="159"/>
    </row>
    <row r="902" spans="11:12" ht="15" customHeight="1" x14ac:dyDescent="0.25">
      <c r="K902" s="158"/>
      <c r="L902" s="159"/>
    </row>
    <row r="903" spans="11:12" ht="15" customHeight="1" x14ac:dyDescent="0.25">
      <c r="K903" s="158"/>
      <c r="L903" s="159"/>
    </row>
    <row r="904" spans="11:12" ht="15" customHeight="1" x14ac:dyDescent="0.25">
      <c r="K904" s="158"/>
      <c r="L904" s="159"/>
    </row>
    <row r="905" spans="11:12" ht="15" customHeight="1" x14ac:dyDescent="0.25">
      <c r="K905" s="158"/>
      <c r="L905" s="159"/>
    </row>
    <row r="906" spans="11:12" ht="15" customHeight="1" x14ac:dyDescent="0.25">
      <c r="K906" s="158"/>
      <c r="L906" s="159"/>
    </row>
    <row r="907" spans="11:12" ht="15" customHeight="1" x14ac:dyDescent="0.25">
      <c r="K907" s="158"/>
      <c r="L907" s="159"/>
    </row>
    <row r="908" spans="11:12" ht="15" customHeight="1" x14ac:dyDescent="0.25">
      <c r="K908" s="158"/>
      <c r="L908" s="159"/>
    </row>
    <row r="909" spans="11:12" ht="15" customHeight="1" x14ac:dyDescent="0.25">
      <c r="K909" s="158"/>
      <c r="L909" s="159"/>
    </row>
    <row r="910" spans="11:12" ht="15" customHeight="1" x14ac:dyDescent="0.25">
      <c r="K910" s="158"/>
      <c r="L910" s="159"/>
    </row>
    <row r="911" spans="11:12" ht="15" customHeight="1" x14ac:dyDescent="0.25">
      <c r="K911" s="158"/>
      <c r="L911" s="159"/>
    </row>
    <row r="912" spans="11:12" ht="15" customHeight="1" x14ac:dyDescent="0.25">
      <c r="K912" s="158"/>
      <c r="L912" s="159"/>
    </row>
    <row r="913" spans="11:12" ht="15" customHeight="1" x14ac:dyDescent="0.25">
      <c r="K913" s="158"/>
      <c r="L913" s="159"/>
    </row>
    <row r="914" spans="11:12" ht="15" customHeight="1" x14ac:dyDescent="0.25">
      <c r="K914" s="158"/>
      <c r="L914" s="159"/>
    </row>
    <row r="915" spans="11:12" ht="15" customHeight="1" x14ac:dyDescent="0.25">
      <c r="K915" s="158"/>
      <c r="L915" s="159"/>
    </row>
    <row r="916" spans="11:12" ht="15" customHeight="1" x14ac:dyDescent="0.25">
      <c r="K916" s="158"/>
      <c r="L916" s="159"/>
    </row>
    <row r="917" spans="11:12" ht="15" customHeight="1" x14ac:dyDescent="0.25">
      <c r="K917" s="158"/>
      <c r="L917" s="159"/>
    </row>
    <row r="918" spans="11:12" ht="15" customHeight="1" x14ac:dyDescent="0.25">
      <c r="K918" s="158"/>
      <c r="L918" s="159"/>
    </row>
    <row r="919" spans="11:12" ht="15" customHeight="1" x14ac:dyDescent="0.25">
      <c r="K919" s="158"/>
      <c r="L919" s="159"/>
    </row>
    <row r="920" spans="11:12" ht="15" customHeight="1" x14ac:dyDescent="0.25">
      <c r="K920" s="158"/>
      <c r="L920" s="159"/>
    </row>
    <row r="921" spans="11:12" ht="15" customHeight="1" x14ac:dyDescent="0.25">
      <c r="K921" s="158"/>
      <c r="L921" s="159"/>
    </row>
    <row r="922" spans="11:12" ht="15" customHeight="1" x14ac:dyDescent="0.25">
      <c r="K922" s="158"/>
      <c r="L922" s="159"/>
    </row>
    <row r="923" spans="11:12" ht="15" customHeight="1" x14ac:dyDescent="0.25">
      <c r="K923" s="158"/>
      <c r="L923" s="159"/>
    </row>
    <row r="924" spans="11:12" ht="15" customHeight="1" x14ac:dyDescent="0.25">
      <c r="K924" s="158"/>
      <c r="L924" s="159"/>
    </row>
    <row r="925" spans="11:12" ht="15" customHeight="1" x14ac:dyDescent="0.25">
      <c r="K925" s="158"/>
      <c r="L925" s="159"/>
    </row>
    <row r="926" spans="11:12" ht="15" customHeight="1" x14ac:dyDescent="0.25">
      <c r="K926" s="158"/>
      <c r="L926" s="159"/>
    </row>
    <row r="927" spans="11:12" ht="15" customHeight="1" x14ac:dyDescent="0.25">
      <c r="K927" s="158"/>
      <c r="L927" s="159"/>
    </row>
    <row r="928" spans="11:12" ht="15" customHeight="1" x14ac:dyDescent="0.25">
      <c r="K928" s="158"/>
      <c r="L928" s="159"/>
    </row>
    <row r="929" spans="11:12" ht="15" customHeight="1" x14ac:dyDescent="0.25">
      <c r="K929" s="158"/>
      <c r="L929" s="159"/>
    </row>
    <row r="930" spans="11:12" ht="15" customHeight="1" x14ac:dyDescent="0.25">
      <c r="K930" s="158"/>
      <c r="L930" s="159"/>
    </row>
    <row r="931" spans="11:12" ht="15" customHeight="1" x14ac:dyDescent="0.25">
      <c r="K931" s="158"/>
      <c r="L931" s="159"/>
    </row>
    <row r="932" spans="11:12" ht="15" customHeight="1" x14ac:dyDescent="0.25">
      <c r="K932" s="158"/>
      <c r="L932" s="159"/>
    </row>
    <row r="933" spans="11:12" ht="15" customHeight="1" x14ac:dyDescent="0.25">
      <c r="K933" s="158"/>
      <c r="L933" s="159"/>
    </row>
    <row r="934" spans="11:12" ht="15" customHeight="1" x14ac:dyDescent="0.25">
      <c r="K934" s="158"/>
      <c r="L934" s="159"/>
    </row>
    <row r="935" spans="11:12" ht="15" customHeight="1" x14ac:dyDescent="0.25">
      <c r="K935" s="158"/>
      <c r="L935" s="159"/>
    </row>
    <row r="936" spans="11:12" ht="15" customHeight="1" x14ac:dyDescent="0.25">
      <c r="K936" s="158"/>
      <c r="L936" s="159"/>
    </row>
    <row r="937" spans="11:12" ht="15" customHeight="1" x14ac:dyDescent="0.25">
      <c r="K937" s="158"/>
      <c r="L937" s="159"/>
    </row>
    <row r="938" spans="11:12" ht="15" customHeight="1" x14ac:dyDescent="0.25">
      <c r="K938" s="158"/>
      <c r="L938" s="159"/>
    </row>
    <row r="939" spans="11:12" ht="15" customHeight="1" x14ac:dyDescent="0.25">
      <c r="K939" s="158"/>
      <c r="L939" s="159"/>
    </row>
    <row r="940" spans="11:12" ht="15" customHeight="1" x14ac:dyDescent="0.25">
      <c r="K940" s="158"/>
      <c r="L940" s="159"/>
    </row>
    <row r="941" spans="11:12" ht="15" customHeight="1" x14ac:dyDescent="0.25">
      <c r="K941" s="158"/>
      <c r="L941" s="159"/>
    </row>
    <row r="942" spans="11:12" ht="15" customHeight="1" x14ac:dyDescent="0.25">
      <c r="K942" s="158"/>
      <c r="L942" s="159"/>
    </row>
    <row r="943" spans="11:12" ht="15" customHeight="1" x14ac:dyDescent="0.25">
      <c r="K943" s="158"/>
      <c r="L943" s="159"/>
    </row>
    <row r="944" spans="11:12" ht="15" customHeight="1" x14ac:dyDescent="0.25">
      <c r="K944" s="158"/>
      <c r="L944" s="159"/>
    </row>
    <row r="945" spans="11:12" ht="15" customHeight="1" x14ac:dyDescent="0.25">
      <c r="K945" s="158"/>
      <c r="L945" s="159"/>
    </row>
    <row r="946" spans="11:12" ht="15" customHeight="1" x14ac:dyDescent="0.25">
      <c r="K946" s="158"/>
      <c r="L946" s="159"/>
    </row>
    <row r="947" spans="11:12" ht="15" customHeight="1" x14ac:dyDescent="0.25">
      <c r="K947" s="158"/>
      <c r="L947" s="159"/>
    </row>
    <row r="948" spans="11:12" ht="15" customHeight="1" x14ac:dyDescent="0.25">
      <c r="K948" s="158"/>
      <c r="L948" s="159"/>
    </row>
    <row r="949" spans="11:12" ht="15" customHeight="1" x14ac:dyDescent="0.25">
      <c r="K949" s="158"/>
      <c r="L949" s="159"/>
    </row>
    <row r="950" spans="11:12" ht="15" customHeight="1" x14ac:dyDescent="0.25">
      <c r="K950" s="158"/>
      <c r="L950" s="159"/>
    </row>
    <row r="951" spans="11:12" ht="15" customHeight="1" x14ac:dyDescent="0.25">
      <c r="K951" s="158"/>
      <c r="L951" s="159"/>
    </row>
    <row r="952" spans="11:12" ht="15" customHeight="1" x14ac:dyDescent="0.25">
      <c r="K952" s="158"/>
      <c r="L952" s="159"/>
    </row>
    <row r="953" spans="11:12" ht="15" customHeight="1" x14ac:dyDescent="0.25">
      <c r="K953" s="158"/>
      <c r="L953" s="159"/>
    </row>
    <row r="954" spans="11:12" ht="15" customHeight="1" x14ac:dyDescent="0.25">
      <c r="K954" s="158"/>
      <c r="L954" s="159"/>
    </row>
    <row r="955" spans="11:12" ht="15" customHeight="1" x14ac:dyDescent="0.25">
      <c r="K955" s="158"/>
      <c r="L955" s="159"/>
    </row>
    <row r="956" spans="11:12" ht="15" customHeight="1" x14ac:dyDescent="0.25">
      <c r="K956" s="158"/>
      <c r="L956" s="159"/>
    </row>
    <row r="957" spans="11:12" ht="15" customHeight="1" x14ac:dyDescent="0.25">
      <c r="K957" s="158"/>
      <c r="L957" s="159"/>
    </row>
    <row r="958" spans="11:12" ht="15" customHeight="1" x14ac:dyDescent="0.25">
      <c r="K958" s="158"/>
      <c r="L958" s="159"/>
    </row>
    <row r="959" spans="11:12" ht="15" customHeight="1" x14ac:dyDescent="0.25">
      <c r="K959" s="158"/>
      <c r="L959" s="159"/>
    </row>
    <row r="960" spans="11:12" ht="15" customHeight="1" x14ac:dyDescent="0.25">
      <c r="K960" s="158"/>
      <c r="L960" s="159"/>
    </row>
    <row r="961" spans="11:12" ht="15" customHeight="1" x14ac:dyDescent="0.25">
      <c r="K961" s="158"/>
      <c r="L961" s="159"/>
    </row>
    <row r="962" spans="11:12" ht="15" customHeight="1" x14ac:dyDescent="0.25">
      <c r="K962" s="158"/>
      <c r="L962" s="159"/>
    </row>
    <row r="963" spans="11:12" ht="15" customHeight="1" x14ac:dyDescent="0.25">
      <c r="K963" s="158"/>
      <c r="L963" s="159"/>
    </row>
    <row r="964" spans="11:12" ht="15" customHeight="1" x14ac:dyDescent="0.25">
      <c r="K964" s="158"/>
      <c r="L964" s="159"/>
    </row>
    <row r="965" spans="11:12" ht="15" customHeight="1" x14ac:dyDescent="0.25">
      <c r="K965" s="158"/>
      <c r="L965" s="159"/>
    </row>
    <row r="966" spans="11:12" ht="15" customHeight="1" x14ac:dyDescent="0.25">
      <c r="K966" s="158"/>
      <c r="L966" s="159"/>
    </row>
    <row r="967" spans="11:12" ht="15" customHeight="1" x14ac:dyDescent="0.25">
      <c r="K967" s="158"/>
      <c r="L967" s="159"/>
    </row>
    <row r="968" spans="11:12" ht="15" customHeight="1" x14ac:dyDescent="0.25">
      <c r="K968" s="158"/>
      <c r="L968" s="159"/>
    </row>
    <row r="969" spans="11:12" ht="15" customHeight="1" x14ac:dyDescent="0.25">
      <c r="K969" s="158"/>
      <c r="L969" s="159"/>
    </row>
    <row r="970" spans="11:12" ht="15" customHeight="1" x14ac:dyDescent="0.25">
      <c r="K970" s="158"/>
      <c r="L970" s="159"/>
    </row>
    <row r="971" spans="11:12" ht="15" customHeight="1" x14ac:dyDescent="0.25">
      <c r="K971" s="158"/>
      <c r="L971" s="159"/>
    </row>
    <row r="972" spans="11:12" ht="15" customHeight="1" x14ac:dyDescent="0.25">
      <c r="K972" s="158"/>
      <c r="L972" s="159"/>
    </row>
    <row r="973" spans="11:12" ht="15" customHeight="1" x14ac:dyDescent="0.25">
      <c r="K973" s="158"/>
      <c r="L973" s="159"/>
    </row>
    <row r="974" spans="11:12" ht="15" customHeight="1" x14ac:dyDescent="0.25">
      <c r="K974" s="158"/>
      <c r="L974" s="159"/>
    </row>
    <row r="975" spans="11:12" ht="15" customHeight="1" x14ac:dyDescent="0.25">
      <c r="K975" s="158"/>
      <c r="L975" s="159"/>
    </row>
    <row r="976" spans="11:12" ht="15" customHeight="1" x14ac:dyDescent="0.25">
      <c r="K976" s="158"/>
      <c r="L976" s="159"/>
    </row>
    <row r="977" spans="11:12" ht="15" customHeight="1" x14ac:dyDescent="0.25">
      <c r="K977" s="158"/>
      <c r="L977" s="159"/>
    </row>
    <row r="978" spans="11:12" ht="15" customHeight="1" x14ac:dyDescent="0.25">
      <c r="K978" s="158"/>
      <c r="L978" s="159"/>
    </row>
    <row r="979" spans="11:12" ht="15" customHeight="1" x14ac:dyDescent="0.25">
      <c r="K979" s="158"/>
      <c r="L979" s="159"/>
    </row>
    <row r="980" spans="11:12" ht="15" customHeight="1" x14ac:dyDescent="0.25">
      <c r="K980" s="158"/>
      <c r="L980" s="159"/>
    </row>
    <row r="981" spans="11:12" ht="15" customHeight="1" x14ac:dyDescent="0.25">
      <c r="K981" s="158"/>
      <c r="L981" s="159"/>
    </row>
    <row r="982" spans="11:12" ht="15" customHeight="1" x14ac:dyDescent="0.25">
      <c r="K982" s="158"/>
      <c r="L982" s="159"/>
    </row>
    <row r="983" spans="11:12" ht="15" customHeight="1" x14ac:dyDescent="0.25">
      <c r="K983" s="158"/>
      <c r="L983" s="159"/>
    </row>
    <row r="984" spans="11:12" ht="15" customHeight="1" x14ac:dyDescent="0.25">
      <c r="K984" s="158"/>
      <c r="L984" s="159"/>
    </row>
    <row r="985" spans="11:12" ht="15" customHeight="1" x14ac:dyDescent="0.25">
      <c r="K985" s="158"/>
      <c r="L985" s="159"/>
    </row>
    <row r="986" spans="11:12" ht="15" customHeight="1" x14ac:dyDescent="0.25">
      <c r="K986" s="158"/>
      <c r="L986" s="159"/>
    </row>
    <row r="987" spans="11:12" ht="15" customHeight="1" x14ac:dyDescent="0.25">
      <c r="K987" s="158"/>
      <c r="L987" s="159"/>
    </row>
    <row r="988" spans="11:12" ht="15" customHeight="1" x14ac:dyDescent="0.25">
      <c r="K988" s="158"/>
      <c r="L988" s="159"/>
    </row>
    <row r="989" spans="11:12" ht="15" customHeight="1" x14ac:dyDescent="0.25">
      <c r="K989" s="158"/>
      <c r="L989" s="159"/>
    </row>
    <row r="990" spans="11:12" ht="15" customHeight="1" x14ac:dyDescent="0.25">
      <c r="K990" s="158"/>
      <c r="L990" s="159"/>
    </row>
    <row r="991" spans="11:12" ht="15" customHeight="1" x14ac:dyDescent="0.25">
      <c r="K991" s="158"/>
      <c r="L991" s="159"/>
    </row>
    <row r="992" spans="11:12" ht="15" customHeight="1" x14ac:dyDescent="0.25">
      <c r="K992" s="158"/>
      <c r="L992" s="159"/>
    </row>
    <row r="993" spans="11:12" ht="15" customHeight="1" x14ac:dyDescent="0.25">
      <c r="K993" s="158"/>
      <c r="L993" s="159"/>
    </row>
    <row r="994" spans="11:12" ht="15" customHeight="1" x14ac:dyDescent="0.25">
      <c r="K994" s="158"/>
      <c r="L994" s="159"/>
    </row>
    <row r="995" spans="11:12" ht="15" customHeight="1" x14ac:dyDescent="0.25">
      <c r="K995" s="158"/>
      <c r="L995" s="159"/>
    </row>
    <row r="996" spans="11:12" ht="15" customHeight="1" x14ac:dyDescent="0.25">
      <c r="K996" s="158"/>
      <c r="L996" s="159"/>
    </row>
    <row r="997" spans="11:12" ht="15" customHeight="1" x14ac:dyDescent="0.25">
      <c r="K997" s="158"/>
      <c r="L997" s="159"/>
    </row>
    <row r="998" spans="11:12" ht="15" customHeight="1" x14ac:dyDescent="0.25">
      <c r="K998" s="158"/>
      <c r="L998" s="159"/>
    </row>
    <row r="999" spans="11:12" ht="15" customHeight="1" x14ac:dyDescent="0.25">
      <c r="K999" s="158"/>
      <c r="L999" s="159"/>
    </row>
    <row r="1000" spans="11:12" ht="15" customHeight="1" x14ac:dyDescent="0.25">
      <c r="K1000" s="158"/>
      <c r="L1000" s="159"/>
    </row>
    <row r="1001" spans="11:12" ht="15" customHeight="1" x14ac:dyDescent="0.25">
      <c r="K1001" s="158"/>
      <c r="L1001" s="159"/>
    </row>
    <row r="1002" spans="11:12" ht="15" customHeight="1" x14ac:dyDescent="0.25">
      <c r="K1002" s="158"/>
      <c r="L1002" s="159"/>
    </row>
    <row r="1003" spans="11:12" ht="15" customHeight="1" x14ac:dyDescent="0.25">
      <c r="K1003" s="158"/>
      <c r="L1003" s="159"/>
    </row>
  </sheetData>
  <dataValidations count="3">
    <dataValidation allowBlank="1" showInputMessage="1" showErrorMessage="1" prompt="Number of all event" sqref="G2" xr:uid="{8A1CF685-8346-4F38-A98E-EB91B92CEDBC}"/>
    <dataValidation allowBlank="1" showInputMessage="1" showErrorMessage="1" prompt="Number of event longer than 1 day" sqref="H2" xr:uid="{CCCE5A72-69B1-4209-8585-0D15510DF922}"/>
    <dataValidation allowBlank="1" showInputMessage="1" showErrorMessage="1" prompt="Chosen color theme" sqref="AO14" xr:uid="{921F260C-0746-45A9-AE29-3CC2DF05B12B}"/>
  </dataValidation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810CA-6ED0-48B5-81C0-093417A0C1FE}">
  <sheetPr codeName="Sheet4"/>
  <dimension ref="A1"/>
  <sheetViews>
    <sheetView showGridLines="0" showRowColHeaders="0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34</vt:i4>
      </vt:variant>
    </vt:vector>
  </HeadingPairs>
  <TitlesOfParts>
    <vt:vector size="40" baseType="lpstr">
      <vt:lpstr>Dashboard</vt:lpstr>
      <vt:lpstr>Timeline</vt:lpstr>
      <vt:lpstr>Icons</vt:lpstr>
      <vt:lpstr>Terms of Use</vt:lpstr>
      <vt:lpstr>Calculations</vt:lpstr>
      <vt:lpstr>Picture</vt:lpstr>
      <vt:lpstr>boxDistance</vt:lpstr>
      <vt:lpstr>clearArea</vt:lpstr>
      <vt:lpstr>countall</vt:lpstr>
      <vt:lpstr>countDates</vt:lpstr>
      <vt:lpstr>countEvents</vt:lpstr>
      <vt:lpstr>dateDistance</vt:lpstr>
      <vt:lpstr>dateFont</vt:lpstr>
      <vt:lpstr>direction</vt:lpstr>
      <vt:lpstr>eventFont</vt:lpstr>
      <vt:lpstr>icons</vt:lpstr>
      <vt:lpstr>iconsPos</vt:lpstr>
      <vt:lpstr>iconsTable</vt:lpstr>
      <vt:lpstr>Dashboard!Print_Area</vt:lpstr>
      <vt:lpstr>Icons!Print_Area</vt:lpstr>
      <vt:lpstr>'Terms of Use'!Print_Area</vt:lpstr>
      <vt:lpstr>Timeline!Print_Area</vt:lpstr>
      <vt:lpstr>printCol</vt:lpstr>
      <vt:lpstr>printRow</vt:lpstr>
      <vt:lpstr>rangeColor</vt:lpstr>
      <vt:lpstr>rangeColor2</vt:lpstr>
      <vt:lpstr>size</vt:lpstr>
      <vt:lpstr>sizeD</vt:lpstr>
      <vt:lpstr>sizeR</vt:lpstr>
      <vt:lpstr>sizeW</vt:lpstr>
      <vt:lpstr>start</vt:lpstr>
      <vt:lpstr>Tail1</vt:lpstr>
      <vt:lpstr>Tail2</vt:lpstr>
      <vt:lpstr>timelineStartColumn</vt:lpstr>
      <vt:lpstr>timelineStartRow</vt:lpstr>
      <vt:lpstr>tlColor</vt:lpstr>
      <vt:lpstr>tlColor2</vt:lpstr>
      <vt:lpstr>trialCount</vt:lpstr>
      <vt:lpstr>txtColor</vt:lpstr>
      <vt:lpstr>txtColor2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2021-08-16T09:49:08Z</cp:lastPrinted>
  <dcterms:created xsi:type="dcterms:W3CDTF">2021-01-27T14:20:33Z</dcterms:created>
  <dcterms:modified xsi:type="dcterms:W3CDTF">2021-09-15T11:40:42Z</dcterms:modified>
  <dc:title>Timeline Maker V2F Template</dc:title>
  <dc:subject>Timeline Maker V2F</dc:subject>
  <dc:description>Timeline Maker V2F template by Master Productivity Kit — masterproductivitykit.com</dc:description>
  <cp:keywords>Master Productivity Kit, Excel template, Google Sheets template</cp:keywords>
  <cp:category>Business Template</cp:category>
</cp:coreProperties>
</file>