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LBO Template\"/>
    </mc:Choice>
  </mc:AlternateContent>
  <xr:revisionPtr revIDLastSave="0" documentId="13_ncr:1_{55F2B3A0-69D5-4BC3-AEE5-92C80363AD30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LBO" sheetId="11" r:id="rId1"/>
    <sheet name="Calc" sheetId="9" state="hidden" r:id="rId2"/>
  </sheets>
  <definedNames>
    <definedName name="DebtChartValues">OFFSET(Calc!$Y$8,0,0,MAX(Calc!$I$16,1),1)</definedName>
    <definedName name="DebtEbitdaMultiple">OFFSET(Calc!$Z$8,0,0,MAX(Calc!$I$16,1),1)</definedName>
    <definedName name="FreeCash">OFFSET(Calc!$AA$8,0,0,MAX(Calc!$I$16,1),1)</definedName>
    <definedName name="InterestPayment">OFFSET(Calc!$AC$8,0,0,MAX(Calc!$I$16,1),1)</definedName>
    <definedName name="PrincipalPayment">OFFSET(Calc!$AB$8,0,0,MAX(Calc!$I$16,1),1)</definedName>
    <definedName name="_xlnm.Print_Area" localSheetId="0">LBO!$B$2:$O$73</definedName>
    <definedName name="TotalPayment">OFFSET(Calc!$AD$8,0,0,MAX(Calc!$I$16,1),1)</definedName>
    <definedName name="Years">OFFSET(Calc!$X$8,0,0,MAX(Calc!$I$16,1),1)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7" i="9" l="1"/>
  <c r="E70" i="11" s="1"/>
  <c r="I12" i="9"/>
  <c r="D22" i="11" s="1"/>
  <c r="D53" i="11"/>
  <c r="E53" i="11" s="1"/>
  <c r="I8" i="9"/>
  <c r="D72" i="11" s="1"/>
  <c r="E69" i="11" s="1"/>
  <c r="E57" i="11" s="1"/>
  <c r="I13" i="9"/>
  <c r="E55" i="11" l="1"/>
  <c r="E54" i="11"/>
  <c r="F53" i="11"/>
  <c r="G53" i="11" s="1"/>
  <c r="E63" i="11"/>
  <c r="E61" i="11"/>
  <c r="E62" i="11"/>
  <c r="D54" i="11"/>
  <c r="I14" i="9"/>
  <c r="I10" i="9" s="1"/>
  <c r="I9" i="9" s="1"/>
  <c r="D24" i="11" s="1"/>
  <c r="F54" i="11" l="1"/>
  <c r="E56" i="11"/>
  <c r="E58" i="11" s="1"/>
  <c r="E59" i="11" s="1"/>
  <c r="E60" i="11" s="1"/>
  <c r="E64" i="11" s="1"/>
  <c r="F62" i="11"/>
  <c r="F63" i="11"/>
  <c r="F55" i="11"/>
  <c r="F61" i="11"/>
  <c r="G61" i="11"/>
  <c r="H53" i="11"/>
  <c r="G63" i="11"/>
  <c r="G55" i="11"/>
  <c r="G62" i="11"/>
  <c r="G54" i="11"/>
  <c r="I16" i="9"/>
  <c r="M8" i="9"/>
  <c r="N8" i="9"/>
  <c r="O8" i="9"/>
  <c r="P8" i="9"/>
  <c r="Q8" i="9"/>
  <c r="R8" i="9"/>
  <c r="S8" i="9"/>
  <c r="T8" i="9"/>
  <c r="U8" i="9"/>
  <c r="L8" i="9"/>
  <c r="Z14" i="9" l="1"/>
  <c r="Z13" i="9"/>
  <c r="Z16" i="9"/>
  <c r="Z15" i="9"/>
  <c r="Z17" i="9"/>
  <c r="AC8" i="9"/>
  <c r="AA8" i="9"/>
  <c r="F56" i="11"/>
  <c r="E71" i="11"/>
  <c r="E72" i="11" s="1"/>
  <c r="F69" i="11" s="1"/>
  <c r="F70" i="11" s="1"/>
  <c r="G56" i="11"/>
  <c r="H55" i="11"/>
  <c r="H62" i="11"/>
  <c r="H54" i="11"/>
  <c r="I53" i="11"/>
  <c r="H63" i="11"/>
  <c r="H61" i="11"/>
  <c r="L9" i="9"/>
  <c r="E17" i="9"/>
  <c r="E16" i="9"/>
  <c r="E15" i="9"/>
  <c r="E14" i="9"/>
  <c r="X14" i="9" s="1"/>
  <c r="E13" i="9"/>
  <c r="X13" i="9" s="1"/>
  <c r="E12" i="9"/>
  <c r="X12" i="9" s="1"/>
  <c r="E11" i="9"/>
  <c r="X11" i="9" s="1"/>
  <c r="E10" i="9"/>
  <c r="X10" i="9" s="1"/>
  <c r="E9" i="9"/>
  <c r="X9" i="9" s="1"/>
  <c r="E8" i="9"/>
  <c r="X8" i="9" s="1"/>
  <c r="E7" i="9"/>
  <c r="F7" i="9" s="1"/>
  <c r="D68" i="11" s="1"/>
  <c r="D17" i="9"/>
  <c r="D16" i="9"/>
  <c r="D15" i="9"/>
  <c r="D14" i="9"/>
  <c r="D13" i="9"/>
  <c r="D12" i="9"/>
  <c r="D11" i="9"/>
  <c r="D10" i="9"/>
  <c r="D9" i="9"/>
  <c r="D8" i="9"/>
  <c r="D7" i="9"/>
  <c r="AB8" i="9" l="1"/>
  <c r="AD8" i="9" s="1"/>
  <c r="F57" i="11"/>
  <c r="H56" i="11"/>
  <c r="D52" i="11"/>
  <c r="I63" i="11"/>
  <c r="I55" i="11"/>
  <c r="I54" i="11"/>
  <c r="J53" i="11"/>
  <c r="I61" i="11"/>
  <c r="I62" i="11"/>
  <c r="F16" i="9"/>
  <c r="M68" i="11" s="1"/>
  <c r="X16" i="9"/>
  <c r="F17" i="9"/>
  <c r="N68" i="11" s="1"/>
  <c r="X17" i="9"/>
  <c r="F15" i="9"/>
  <c r="L68" i="11" s="1"/>
  <c r="X15" i="9"/>
  <c r="F9" i="9"/>
  <c r="F68" i="11" s="1"/>
  <c r="F11" i="9"/>
  <c r="H68" i="11" s="1"/>
  <c r="F12" i="9"/>
  <c r="I68" i="11" s="1"/>
  <c r="F13" i="9"/>
  <c r="J68" i="11" s="1"/>
  <c r="F14" i="9"/>
  <c r="K68" i="11" s="1"/>
  <c r="F10" i="9"/>
  <c r="G68" i="11" s="1"/>
  <c r="F8" i="9"/>
  <c r="E68" i="11" s="1"/>
  <c r="L10" i="9"/>
  <c r="L12" i="9" s="1"/>
  <c r="M9" i="9"/>
  <c r="F58" i="11" l="1"/>
  <c r="F59" i="11" s="1"/>
  <c r="F60" i="11" s="1"/>
  <c r="F64" i="11" s="1"/>
  <c r="AA9" i="9" s="1"/>
  <c r="AC9" i="9"/>
  <c r="I56" i="11"/>
  <c r="M52" i="11"/>
  <c r="F52" i="11"/>
  <c r="H52" i="11"/>
  <c r="E52" i="11"/>
  <c r="L52" i="11"/>
  <c r="I52" i="11"/>
  <c r="G52" i="11"/>
  <c r="K52" i="11"/>
  <c r="N52" i="11"/>
  <c r="J52" i="11"/>
  <c r="J63" i="11"/>
  <c r="J55" i="11"/>
  <c r="J62" i="11"/>
  <c r="J54" i="11"/>
  <c r="K53" i="11"/>
  <c r="J61" i="11"/>
  <c r="N9" i="9"/>
  <c r="M10" i="9"/>
  <c r="M12" i="9" s="1"/>
  <c r="F71" i="11" l="1"/>
  <c r="F72" i="11" s="1"/>
  <c r="G69" i="11" s="1"/>
  <c r="G70" i="11" s="1"/>
  <c r="J56" i="11"/>
  <c r="K63" i="11"/>
  <c r="K55" i="11"/>
  <c r="K62" i="11"/>
  <c r="K54" i="11"/>
  <c r="L53" i="11"/>
  <c r="K61" i="11"/>
  <c r="O9" i="9"/>
  <c r="N10" i="9"/>
  <c r="N12" i="9" s="1"/>
  <c r="AB9" i="9" l="1"/>
  <c r="AD9" i="9" s="1"/>
  <c r="K56" i="11"/>
  <c r="L62" i="11"/>
  <c r="L54" i="11"/>
  <c r="M53" i="11"/>
  <c r="L63" i="11"/>
  <c r="L55" i="11"/>
  <c r="L61" i="11"/>
  <c r="P9" i="9"/>
  <c r="O10" i="9"/>
  <c r="O12" i="9" s="1"/>
  <c r="L56" i="11" l="1"/>
  <c r="M63" i="11"/>
  <c r="M55" i="11"/>
  <c r="M61" i="11"/>
  <c r="M62" i="11"/>
  <c r="M54" i="11"/>
  <c r="N53" i="11"/>
  <c r="Q9" i="9"/>
  <c r="P10" i="9"/>
  <c r="P12" i="9" s="1"/>
  <c r="M56" i="11" l="1"/>
  <c r="N62" i="11"/>
  <c r="N54" i="11"/>
  <c r="N61" i="11"/>
  <c r="N63" i="11"/>
  <c r="N55" i="11"/>
  <c r="R9" i="9"/>
  <c r="Q10" i="9"/>
  <c r="Q12" i="9" s="1"/>
  <c r="N56" i="11" l="1"/>
  <c r="S9" i="9"/>
  <c r="R10" i="9"/>
  <c r="R12" i="9" s="1"/>
  <c r="T9" i="9" l="1"/>
  <c r="S10" i="9"/>
  <c r="S12" i="9" s="1"/>
  <c r="U9" i="9" l="1"/>
  <c r="T10" i="9"/>
  <c r="T12" i="9" s="1"/>
  <c r="U10" i="9" l="1"/>
  <c r="U12" i="9" s="1"/>
  <c r="L18" i="9" l="1"/>
  <c r="D26" i="11" s="1"/>
  <c r="L11" i="9" l="1"/>
  <c r="Y8" i="9"/>
  <c r="L13" i="9" l="1"/>
  <c r="L14" i="9" s="1"/>
  <c r="L15" i="9" s="1"/>
  <c r="Z8" i="9"/>
  <c r="Y9" i="9"/>
  <c r="M11" i="9" l="1"/>
  <c r="M13" i="9" l="1"/>
  <c r="M14" i="9" s="1"/>
  <c r="M15" i="9" s="1"/>
  <c r="Z9" i="9"/>
  <c r="G57" i="11"/>
  <c r="G58" i="11" l="1"/>
  <c r="G59" i="11" s="1"/>
  <c r="G60" i="11" s="1"/>
  <c r="G64" i="11" s="1"/>
  <c r="AC10" i="9"/>
  <c r="AA10" i="9" l="1"/>
  <c r="G71" i="11"/>
  <c r="G72" i="11" l="1"/>
  <c r="H69" i="11" s="1"/>
  <c r="H70" i="11" s="1"/>
  <c r="AB10" i="9"/>
  <c r="AD10" i="9" s="1"/>
  <c r="H57" i="11" l="1"/>
  <c r="N11" i="9"/>
  <c r="Y10" i="9"/>
  <c r="N13" i="9" l="1"/>
  <c r="N14" i="9" s="1"/>
  <c r="N15" i="9" s="1"/>
  <c r="Z10" i="9"/>
  <c r="H58" i="11"/>
  <c r="H59" i="11" s="1"/>
  <c r="H60" i="11" s="1"/>
  <c r="H64" i="11" s="1"/>
  <c r="H71" i="11" s="1"/>
  <c r="AC11" i="9"/>
  <c r="AA11" i="9" l="1"/>
  <c r="H72" i="11"/>
  <c r="I69" i="11" s="1"/>
  <c r="I70" i="11" s="1"/>
  <c r="AB11" i="9"/>
  <c r="AD11" i="9" s="1"/>
  <c r="I57" i="11" l="1"/>
  <c r="O11" i="9"/>
  <c r="Z11" i="9" s="1"/>
  <c r="Y11" i="9"/>
  <c r="I58" i="11" l="1"/>
  <c r="I59" i="11" s="1"/>
  <c r="I60" i="11" s="1"/>
  <c r="I64" i="11" s="1"/>
  <c r="AA12" i="9" s="1"/>
  <c r="AC12" i="9"/>
  <c r="O13" i="9"/>
  <c r="O14" i="9" s="1"/>
  <c r="O15" i="9" s="1"/>
  <c r="I71" i="11" l="1"/>
  <c r="I72" i="11" s="1"/>
  <c r="AB12" i="9" l="1"/>
  <c r="AD12" i="9" s="1"/>
  <c r="J69" i="11"/>
  <c r="J70" i="11" s="1"/>
  <c r="Y12" i="9"/>
  <c r="P11" i="9"/>
  <c r="Z12" i="9" s="1"/>
  <c r="P13" i="9" l="1"/>
  <c r="P14" i="9" s="1"/>
  <c r="P15" i="9" s="1"/>
  <c r="J57" i="11"/>
  <c r="J58" i="11" l="1"/>
  <c r="J59" i="11" s="1"/>
  <c r="J60" i="11" s="1"/>
  <c r="J64" i="11" s="1"/>
  <c r="AA13" i="9" s="1"/>
  <c r="AC13" i="9"/>
  <c r="J71" i="11" l="1"/>
  <c r="J72" i="11" l="1"/>
  <c r="AB13" i="9"/>
  <c r="AD13" i="9" s="1"/>
  <c r="K69" i="11" l="1"/>
  <c r="K70" i="11" s="1"/>
  <c r="Y13" i="9"/>
  <c r="Q11" i="9"/>
  <c r="Q13" i="9" l="1"/>
  <c r="Q14" i="9" s="1"/>
  <c r="Q15" i="9" s="1"/>
  <c r="K57" i="11"/>
  <c r="K58" i="11" l="1"/>
  <c r="K59" i="11" s="1"/>
  <c r="K60" i="11" s="1"/>
  <c r="K64" i="11" s="1"/>
  <c r="AC14" i="9"/>
  <c r="AA14" i="9" l="1"/>
  <c r="K71" i="11"/>
  <c r="K72" i="11" l="1"/>
  <c r="AB14" i="9"/>
  <c r="AD14" i="9" s="1"/>
  <c r="L69" i="11" l="1"/>
  <c r="L70" i="11" s="1"/>
  <c r="Y14" i="9"/>
  <c r="R11" i="9"/>
  <c r="R13" i="9" l="1"/>
  <c r="R14" i="9" s="1"/>
  <c r="R15" i="9" s="1"/>
  <c r="L57" i="11"/>
  <c r="L58" i="11" l="1"/>
  <c r="L59" i="11" s="1"/>
  <c r="L60" i="11" s="1"/>
  <c r="L64" i="11" s="1"/>
  <c r="AC15" i="9"/>
  <c r="AA15" i="9" l="1"/>
  <c r="L71" i="11"/>
  <c r="L72" i="11" l="1"/>
  <c r="AB15" i="9"/>
  <c r="AD15" i="9" s="1"/>
  <c r="M69" i="11" l="1"/>
  <c r="M70" i="11" s="1"/>
  <c r="Y15" i="9"/>
  <c r="S11" i="9"/>
  <c r="S13" i="9" l="1"/>
  <c r="S14" i="9" s="1"/>
  <c r="S15" i="9" s="1"/>
  <c r="M57" i="11"/>
  <c r="M58" i="11" l="1"/>
  <c r="M59" i="11" s="1"/>
  <c r="M60" i="11" s="1"/>
  <c r="M64" i="11" s="1"/>
  <c r="AC16" i="9"/>
  <c r="AA16" i="9" l="1"/>
  <c r="M71" i="11"/>
  <c r="M72" i="11" l="1"/>
  <c r="AB16" i="9"/>
  <c r="AD16" i="9" s="1"/>
  <c r="N69" i="11" l="1"/>
  <c r="N70" i="11" s="1"/>
  <c r="Y16" i="9"/>
  <c r="T11" i="9"/>
  <c r="T13" i="9" l="1"/>
  <c r="T14" i="9" s="1"/>
  <c r="T15" i="9" s="1"/>
  <c r="N57" i="11"/>
  <c r="N58" i="11" l="1"/>
  <c r="N59" i="11" s="1"/>
  <c r="N60" i="11" s="1"/>
  <c r="N64" i="11" s="1"/>
  <c r="AC17" i="9"/>
  <c r="AA17" i="9" l="1"/>
  <c r="N71" i="11"/>
  <c r="N72" i="11" l="1"/>
  <c r="AB17" i="9"/>
  <c r="AD17" i="9" s="1"/>
  <c r="U11" i="9" l="1"/>
  <c r="Y17" i="9"/>
  <c r="U13" i="9" l="1"/>
  <c r="U14" i="9" l="1"/>
  <c r="L19" i="9"/>
  <c r="D28" i="11" s="1"/>
  <c r="U15" i="9" l="1"/>
  <c r="L21" i="9" s="1"/>
  <c r="C34" i="11" s="1"/>
  <c r="L20" i="9"/>
  <c r="C31" i="11" s="1"/>
</calcChain>
</file>

<file path=xl/sharedStrings.xml><?xml version="1.0" encoding="utf-8"?>
<sst xmlns="http://schemas.openxmlformats.org/spreadsheetml/2006/main" count="121" uniqueCount="111">
  <si>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</si>
  <si>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</si>
  <si>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</si>
  <si>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</si>
  <si>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</si>
  <si>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</si>
  <si>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</si>
  <si>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</si>
  <si>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</si>
  <si>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Investment Period</t>
  </si>
  <si>
    <t>EBIDTA Margin</t>
  </si>
  <si>
    <t>Tax rate</t>
  </si>
  <si>
    <t>D&amp;A</t>
  </si>
  <si>
    <t>EBT</t>
  </si>
  <si>
    <t>EBIT</t>
  </si>
  <si>
    <t>IRR</t>
  </si>
  <si>
    <t>TRANSACTION ASSUMPTIONS</t>
  </si>
  <si>
    <t>LBO Target Name</t>
  </si>
  <si>
    <t>Daffy Duck Co.</t>
  </si>
  <si>
    <t>OPERATIONAL ASSUMPTIONS</t>
  </si>
  <si>
    <t>Transaction Year</t>
  </si>
  <si>
    <t>D&amp;A % of Revenue</t>
  </si>
  <si>
    <t>CAPEX % of Revenue</t>
  </si>
  <si>
    <t>Change in NWC % of Revenue</t>
  </si>
  <si>
    <t>Transaction Fees</t>
  </si>
  <si>
    <t>DEBT ASSUMPTIONS</t>
  </si>
  <si>
    <t>5 Years</t>
  </si>
  <si>
    <t>1 Year</t>
  </si>
  <si>
    <t>2 Years</t>
  </si>
  <si>
    <t>3 Years</t>
  </si>
  <si>
    <t>4 Years</t>
  </si>
  <si>
    <t>6 Years</t>
  </si>
  <si>
    <t>7 Years</t>
  </si>
  <si>
    <t>8 Years</t>
  </si>
  <si>
    <t>9 Years</t>
  </si>
  <si>
    <t>10 Years</t>
  </si>
  <si>
    <t>Sources</t>
  </si>
  <si>
    <t>Uses</t>
  </si>
  <si>
    <t>Purchase Enterprice Value</t>
  </si>
  <si>
    <t>Total Sources</t>
  </si>
  <si>
    <t>Total Uses</t>
  </si>
  <si>
    <t>FREE CASH FLOW PROJECTIONS</t>
  </si>
  <si>
    <t>REVENUE</t>
  </si>
  <si>
    <t>EBITDA</t>
  </si>
  <si>
    <t>(D&amp;A)</t>
  </si>
  <si>
    <t>(Interest)</t>
  </si>
  <si>
    <t>(Taxes)</t>
  </si>
  <si>
    <t>NET INCOME</t>
  </si>
  <si>
    <t>(CAPEX)</t>
  </si>
  <si>
    <t>(Change in NWC)</t>
  </si>
  <si>
    <t xml:space="preserve">FREE CASH FLOW </t>
  </si>
  <si>
    <t>PAYMENT SCHEDULE</t>
  </si>
  <si>
    <t>Begining Balance</t>
  </si>
  <si>
    <t>(Prepayment)</t>
  </si>
  <si>
    <t>Ending Balance</t>
  </si>
  <si>
    <t>Exit Transaction Value</t>
  </si>
  <si>
    <t>Sponsor Equity Value</t>
  </si>
  <si>
    <t>MoIC</t>
  </si>
  <si>
    <t>Returns for Selected Period</t>
  </si>
  <si>
    <t>Order</t>
  </si>
  <si>
    <t>Year</t>
  </si>
  <si>
    <t>Yes</t>
  </si>
  <si>
    <t>Debt/Ebidta</t>
  </si>
  <si>
    <t>Revenue</t>
  </si>
  <si>
    <t>Debt Ending Balance</t>
  </si>
  <si>
    <t>Sources &amp; Uses Table</t>
  </si>
  <si>
    <t>Years &amp; Periods</t>
  </si>
  <si>
    <t>Charts</t>
  </si>
  <si>
    <t>Entry Equity</t>
  </si>
  <si>
    <t>Exit Equity</t>
  </si>
  <si>
    <t>ASSUMPTIONS</t>
  </si>
  <si>
    <t>LBO REPORT</t>
  </si>
  <si>
    <t>Purchase Value</t>
  </si>
  <si>
    <t>Interest Rate</t>
  </si>
  <si>
    <t>CASH FLOW &amp; PAYMENT SCHEDULE DETAILS</t>
  </si>
  <si>
    <t>Sale Value</t>
  </si>
  <si>
    <t>Targeted Exit Multiple (x)</t>
  </si>
  <si>
    <t>ENDING BALANCE</t>
  </si>
  <si>
    <t>Debt</t>
  </si>
  <si>
    <t>Equity</t>
  </si>
  <si>
    <t>Entry Multiple (x)</t>
  </si>
  <si>
    <t>Main Returns</t>
  </si>
  <si>
    <t>LEVERAGED BUYOUT MODEL</t>
  </si>
  <si>
    <t>Annual Revenue Growth</t>
  </si>
  <si>
    <t>11 Years</t>
  </si>
  <si>
    <t>12 Years</t>
  </si>
  <si>
    <t>13 Years</t>
  </si>
  <si>
    <t>14 Years</t>
  </si>
  <si>
    <t>15 Years</t>
  </si>
  <si>
    <t>16 Years</t>
  </si>
  <si>
    <t>17 Years</t>
  </si>
  <si>
    <t>18 Years</t>
  </si>
  <si>
    <t>19 Years</t>
  </si>
  <si>
    <t>20 Years</t>
  </si>
  <si>
    <t>Selected Investment Term</t>
  </si>
  <si>
    <t>Selected Debt Term</t>
  </si>
  <si>
    <t>Transaction Fees*</t>
  </si>
  <si>
    <t>Revenue LTM*</t>
  </si>
  <si>
    <t>Debt Amount*</t>
  </si>
  <si>
    <t>(Debt Amortization)</t>
  </si>
  <si>
    <t>Free Cash</t>
  </si>
  <si>
    <t>Interest Payment</t>
  </si>
  <si>
    <t>Total Payment</t>
  </si>
  <si>
    <t>Principal Payment</t>
  </si>
  <si>
    <t>USD (000's)</t>
  </si>
  <si>
    <t>* Currency</t>
  </si>
  <si>
    <t>-</t>
  </si>
  <si>
    <t>If Yes, Amortization Term</t>
  </si>
  <si>
    <t>Mandatory Annual Payment?</t>
  </si>
  <si>
    <t>Prepayment Allowed?</t>
  </si>
  <si>
    <t>LBO MODEL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</si>
</sst>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3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b/>
      <sz val="11"/>
      <color rgb="FF2E86AB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8"/>
      <name val="Arial"/>
      <family val="2"/>
      <scheme val="minor"/>
    </font>
    <font>
      <i/>
      <sz val="9"/>
      <color rgb="FF1F4E78"/>
      <name val="Arial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281A4"/>
      </left>
      <right/>
      <top/>
      <bottom/>
      <diagonal/>
    </border>
    <border>
      <left/>
      <right/>
      <top/>
      <bottom style="thin">
        <color rgb="FF4281A4"/>
      </bottom>
      <diagonal/>
    </border>
    <border>
      <left/>
      <right/>
      <top style="medium">
        <color rgb="FF4281A4"/>
      </top>
      <bottom/>
      <diagonal/>
    </border>
    <border>
      <left style="thin">
        <color rgb="FF274656"/>
      </left>
      <right style="thin">
        <color rgb="FF274656"/>
      </right>
      <top style="thin">
        <color rgb="FF274656"/>
      </top>
      <bottom style="thin">
        <color rgb="FF274656"/>
      </bottom>
      <diagonal/>
    </border>
    <border>
      <left style="medium">
        <color rgb="FF274656"/>
      </left>
      <right/>
      <top style="medium">
        <color rgb="FF274656"/>
      </top>
      <bottom/>
      <diagonal/>
    </border>
    <border>
      <left/>
      <right/>
      <top style="medium">
        <color rgb="FF274656"/>
      </top>
      <bottom/>
      <diagonal/>
    </border>
    <border>
      <left/>
      <right style="medium">
        <color rgb="FF274656"/>
      </right>
      <top style="medium">
        <color rgb="FF274656"/>
      </top>
      <bottom/>
      <diagonal/>
    </border>
    <border>
      <left style="medium">
        <color rgb="FF274656"/>
      </left>
      <right/>
      <top/>
      <bottom/>
      <diagonal/>
    </border>
    <border>
      <left/>
      <right style="medium">
        <color rgb="FF274656"/>
      </right>
      <top/>
      <bottom/>
      <diagonal/>
    </border>
    <border>
      <left style="medium">
        <color rgb="FF274656"/>
      </left>
      <right/>
      <top/>
      <bottom style="medium">
        <color rgb="FF274656"/>
      </bottom>
      <diagonal/>
    </border>
    <border>
      <left/>
      <right/>
      <top/>
      <bottom style="medium">
        <color rgb="FF274656"/>
      </bottom>
      <diagonal/>
    </border>
    <border>
      <left/>
      <right style="medium">
        <color rgb="FF274656"/>
      </right>
      <top/>
      <bottom style="medium">
        <color rgb="FF274656"/>
      </bottom>
      <diagonal/>
    </border>
    <border>
      <left style="thin">
        <color rgb="FF274656"/>
      </left>
      <right/>
      <top style="thin">
        <color rgb="FF274656"/>
      </top>
      <bottom style="thin">
        <color rgb="FF274656"/>
      </bottom>
      <diagonal/>
    </border>
    <border>
      <left/>
      <right style="thin">
        <color rgb="FF274656"/>
      </right>
      <top style="thin">
        <color rgb="FF274656"/>
      </top>
      <bottom style="thin">
        <color rgb="FF274656"/>
      </bottom>
      <diagonal/>
    </border>
    <border>
      <left/>
      <right/>
      <top style="thin">
        <color rgb="FF4281A4"/>
      </top>
      <bottom style="thin">
        <color rgb="FF4281A4"/>
      </bottom>
      <diagonal/>
    </border>
    <border>
      <left style="hair">
        <color rgb="FF4281A4"/>
      </left>
      <right/>
      <top/>
      <bottom/>
      <diagonal/>
    </border>
    <border>
      <left style="hair">
        <color rgb="FF4281A4"/>
      </left>
      <right/>
      <top/>
      <bottom style="thin">
        <color rgb="FF4281A4"/>
      </bottom>
      <diagonal/>
    </border>
    <border>
      <left style="hair">
        <color rgb="FF4281A4"/>
      </left>
      <right/>
      <top style="thin">
        <color rgb="FF4281A4"/>
      </top>
      <bottom style="thin">
        <color rgb="FF4281A4"/>
      </bottom>
      <diagonal/>
    </border>
    <border>
      <left style="hair">
        <color rgb="FF4281A4"/>
      </left>
      <right/>
      <top style="medium">
        <color rgb="FF4281A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0" fontId="5" fillId="0" borderId="0"/>
    <xf numFmtId="0" fontId="4" fillId="0" borderId="0"/>
    <xf numFmtId="0" fontId="11" fillId="0" borderId="0"/>
    <xf numFmtId="0" fontId="3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2" fillId="2" borderId="0" xfId="3" applyFont="1" applyFill="1" applyAlignment="1" applyProtection="1">
      <alignment vertical="center"/>
      <protection locked="0"/>
    </xf>
    <xf numFmtId="0" fontId="13" fillId="2" borderId="0" xfId="3" applyFont="1" applyFill="1" applyAlignment="1" applyProtection="1">
      <alignment vertical="center"/>
      <protection locked="0"/>
    </xf>
    <xf numFmtId="0" fontId="14" fillId="2" borderId="0" xfId="3" applyFont="1" applyFill="1" applyAlignment="1" applyProtection="1">
      <alignment vertical="center"/>
      <protection locked="0"/>
    </xf>
    <xf numFmtId="0" fontId="20" fillId="2" borderId="0" xfId="0" applyFont="1" applyFill="1" applyAlignment="1">
      <alignment vertical="center"/>
    </xf>
    <xf numFmtId="0" fontId="20" fillId="3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8" fillId="2" borderId="0" xfId="0" applyFont="1" applyFill="1" applyBorder="1" applyAlignment="1">
      <alignment horizontal="right" vertical="center"/>
    </xf>
    <xf numFmtId="0" fontId="19" fillId="2" borderId="0" xfId="0" applyFont="1" applyFill="1" applyBorder="1" applyAlignment="1">
      <alignment horizontal="right" vertical="center"/>
    </xf>
    <xf numFmtId="49" fontId="9" fillId="3" borderId="0" xfId="0" applyNumberFormat="1" applyFont="1" applyFill="1" applyAlignment="1">
      <alignment horizontal="left" vertical="center" indent="2"/>
    </xf>
    <xf numFmtId="49" fontId="8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3" fillId="0" borderId="1" xfId="4" applyFill="1" applyBorder="1" applyAlignment="1">
      <alignment horizontal="left" wrapText="1" indent="1"/>
    </xf>
    <xf numFmtId="0" fontId="3" fillId="2" borderId="0" xfId="4" applyFill="1"/>
    <xf numFmtId="0" fontId="3" fillId="0" borderId="2" xfId="4" applyFill="1" applyBorder="1" applyAlignment="1">
      <alignment horizontal="left" indent="1"/>
    </xf>
    <xf numFmtId="0" fontId="3" fillId="0" borderId="2" xfId="4" applyFill="1" applyBorder="1" applyAlignment="1">
      <alignment horizontal="left" vertical="center" wrapText="1" indent="1"/>
    </xf>
    <xf numFmtId="0" fontId="3" fillId="0" borderId="2" xfId="4" applyFill="1" applyBorder="1" applyAlignment="1">
      <alignment horizontal="left" vertical="top" wrapText="1" indent="2"/>
    </xf>
    <xf numFmtId="0" fontId="10" fillId="0" borderId="2" xfId="4" applyFont="1" applyFill="1" applyBorder="1" applyAlignment="1">
      <alignment horizontal="left" indent="1"/>
    </xf>
    <xf numFmtId="0" fontId="3" fillId="0" borderId="3" xfId="4" applyFill="1" applyBorder="1" applyAlignment="1">
      <alignment horizontal="left" indent="1"/>
    </xf>
    <xf numFmtId="0" fontId="2" fillId="0" borderId="2" xfId="4" applyFont="1" applyFill="1" applyBorder="1" applyAlignment="1">
      <alignment horizontal="left" indent="1"/>
    </xf>
    <xf numFmtId="0" fontId="7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3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/>
    </xf>
    <xf numFmtId="49" fontId="9" fillId="3" borderId="0" xfId="0" applyNumberFormat="1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18" fillId="4" borderId="0" xfId="0" applyFont="1" applyFill="1" applyBorder="1" applyAlignment="1">
      <alignment horizontal="center"/>
    </xf>
    <xf numFmtId="49" fontId="8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19" fillId="6" borderId="0" xfId="0" applyFont="1" applyFill="1" applyBorder="1" applyAlignment="1">
      <alignment horizontal="center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5" fillId="0" borderId="0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indent="3"/>
    </xf>
    <xf numFmtId="0" fontId="6" fillId="0" borderId="0" xfId="0" applyFont="1" applyFill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8" fillId="9" borderId="0" xfId="1" applyFont="1" applyFill="1" applyBorder="1" applyAlignment="1">
      <alignment horizontal="left" vertical="center"/>
    </xf>
    <xf numFmtId="0" fontId="8" fillId="9" borderId="0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left" vertical="center"/>
    </xf>
    <xf numFmtId="0" fontId="5" fillId="0" borderId="13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22" fillId="0" borderId="16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/>
    </xf>
    <xf numFmtId="0" fontId="8" fillId="9" borderId="8" xfId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 vertical="center"/>
    </xf>
    <xf numFmtId="0" fontId="23" fillId="7" borderId="0" xfId="0" applyFont="1" applyFill="1" applyBorder="1" applyAlignment="1">
      <alignment horizontal="left" vertical="center"/>
    </xf>
    <xf numFmtId="0" fontId="23" fillId="7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/>
    </xf>
    <xf numFmtId="0" fontId="21" fillId="7" borderId="11" xfId="1" applyFont="1" applyFill="1" applyBorder="1" applyAlignment="1"/>
    <xf numFmtId="0" fontId="21" fillId="7" borderId="11" xfId="1" applyFont="1" applyFill="1" applyBorder="1" applyAlignment="1">
      <alignment vertical="center"/>
    </xf>
    <xf numFmtId="0" fontId="21" fillId="7" borderId="20" xfId="1" applyFont="1" applyFill="1" applyBorder="1" applyAlignment="1"/>
    <xf numFmtId="0" fontId="21" fillId="7" borderId="21" xfId="1" applyFont="1" applyFill="1" applyBorder="1" applyAlignment="1"/>
    <xf numFmtId="0" fontId="6" fillId="0" borderId="9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left" vertical="center" indent="2"/>
    </xf>
    <xf numFmtId="0" fontId="6" fillId="0" borderId="0" xfId="0" applyFont="1" applyFill="1" applyBorder="1" applyAlignment="1">
      <alignment horizontal="left" vertical="center" indent="2"/>
    </xf>
    <xf numFmtId="0" fontId="25" fillId="0" borderId="10" xfId="0" applyFont="1" applyFill="1" applyBorder="1" applyAlignment="1">
      <alignment horizontal="left" vertical="center"/>
    </xf>
    <xf numFmtId="0" fontId="27" fillId="10" borderId="0" xfId="5" applyFont="1" applyFill="1" applyBorder="1" applyAlignment="1" applyProtection="1">
      <alignment vertical="center"/>
    </xf>
    <xf numFmtId="0" fontId="0" fillId="0" borderId="4" xfId="0" applyFill="1" applyBorder="1" applyAlignment="1">
      <alignment horizontal="center" vertical="center"/>
    </xf>
    <xf numFmtId="0" fontId="0" fillId="11" borderId="4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10" fillId="11" borderId="5" xfId="0" applyFont="1" applyFill="1" applyBorder="1" applyAlignment="1">
      <alignment vertical="center"/>
    </xf>
    <xf numFmtId="0" fontId="10" fillId="11" borderId="6" xfId="0" applyFont="1" applyFill="1" applyBorder="1" applyAlignment="1">
      <alignment vertical="center"/>
    </xf>
    <xf numFmtId="0" fontId="10" fillId="11" borderId="7" xfId="0" applyFont="1" applyFill="1" applyBorder="1" applyAlignment="1">
      <alignment vertical="center"/>
    </xf>
    <xf numFmtId="0" fontId="10" fillId="11" borderId="5" xfId="0" applyFont="1" applyFill="1" applyBorder="1" applyAlignment="1">
      <alignment horizontal="left" vertical="center"/>
    </xf>
    <xf numFmtId="0" fontId="0" fillId="12" borderId="5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28" fillId="11" borderId="5" xfId="0" applyFont="1" applyFill="1" applyBorder="1" applyAlignment="1">
      <alignment vertical="center"/>
    </xf>
    <xf numFmtId="0" fontId="28" fillId="11" borderId="7" xfId="0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3" fontId="6" fillId="0" borderId="4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0" fontId="28" fillId="11" borderId="5" xfId="0" applyFont="1" applyFill="1" applyBorder="1" applyAlignment="1">
      <alignment horizontal="left" vertical="center"/>
    </xf>
    <xf numFmtId="0" fontId="28" fillId="11" borderId="7" xfId="0" applyFont="1" applyFill="1" applyBorder="1" applyAlignment="1">
      <alignment horizontal="left" vertical="center"/>
    </xf>
    <xf numFmtId="0" fontId="28" fillId="11" borderId="6" xfId="0" applyFont="1" applyFill="1" applyBorder="1" applyAlignment="1">
      <alignment vertical="center"/>
    </xf>
    <xf numFmtId="165" fontId="0" fillId="0" borderId="4" xfId="0" applyNumberFormat="1" applyFill="1" applyBorder="1" applyAlignment="1">
      <alignment horizontal="center" vertical="center"/>
    </xf>
    <xf numFmtId="49" fontId="9" fillId="3" borderId="0" xfId="0" applyNumberFormat="1" applyFont="1" applyFill="1" applyAlignment="1">
      <alignment horizontal="left" vertical="center" indent="5"/>
    </xf>
    <xf numFmtId="49" fontId="8" fillId="5" borderId="0" xfId="0" applyNumberFormat="1" applyFont="1" applyFill="1" applyAlignment="1">
      <alignment horizontal="left" vertical="center" indent="5"/>
    </xf>
    <xf numFmtId="0" fontId="0" fillId="8" borderId="11" xfId="0" applyFont="1" applyFill="1" applyBorder="1" applyAlignment="1">
      <alignment horizontal="left" vertical="center"/>
    </xf>
    <xf numFmtId="0" fontId="0" fillId="8" borderId="20" xfId="0" applyFont="1" applyFill="1" applyBorder="1" applyAlignment="1">
      <alignment horizontal="left" vertical="center"/>
    </xf>
    <xf numFmtId="0" fontId="0" fillId="8" borderId="21" xfId="0" applyFont="1" applyFill="1" applyBorder="1" applyAlignment="1">
      <alignment horizontal="left" vertical="center"/>
    </xf>
    <xf numFmtId="0" fontId="29" fillId="8" borderId="20" xfId="0" applyFont="1" applyFill="1" applyBorder="1" applyAlignment="1">
      <alignment horizontal="left" vertical="center"/>
    </xf>
    <xf numFmtId="0" fontId="29" fillId="8" borderId="21" xfId="0" applyFont="1" applyFill="1" applyBorder="1" applyAlignment="1">
      <alignment horizontal="left" vertical="center"/>
    </xf>
    <xf numFmtId="0" fontId="23" fillId="7" borderId="0" xfId="0" applyFont="1" applyFill="1" applyBorder="1" applyAlignment="1">
      <alignment horizontal="left" vertical="center" indent="3"/>
    </xf>
    <xf numFmtId="0" fontId="0" fillId="2" borderId="27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31" xfId="0" applyFill="1" applyBorder="1" applyAlignment="1">
      <alignment vertical="center"/>
    </xf>
    <xf numFmtId="0" fontId="0" fillId="2" borderId="32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0" fontId="0" fillId="2" borderId="34" xfId="0" applyFill="1" applyBorder="1" applyAlignment="1">
      <alignment vertical="center"/>
    </xf>
    <xf numFmtId="0" fontId="0" fillId="2" borderId="35" xfId="0" applyFill="1" applyBorder="1" applyAlignment="1">
      <alignment vertical="center"/>
    </xf>
    <xf numFmtId="0" fontId="0" fillId="0" borderId="11" xfId="0" applyFont="1" applyFill="1" applyBorder="1" applyAlignment="1" applyProtection="1">
      <alignment horizontal="left" vertical="center" indent="1" shrinkToFit="1"/>
      <protection locked="0"/>
    </xf>
    <xf numFmtId="165" fontId="0" fillId="0" borderId="11" xfId="0" applyNumberFormat="1" applyFont="1" applyFill="1" applyBorder="1" applyAlignment="1" applyProtection="1">
      <alignment horizontal="left" vertical="center" indent="1" shrinkToFit="1"/>
      <protection locked="0"/>
    </xf>
    <xf numFmtId="164" fontId="0" fillId="0" borderId="11" xfId="0" applyNumberFormat="1" applyFont="1" applyFill="1" applyBorder="1" applyAlignment="1" applyProtection="1">
      <alignment horizontal="left" vertical="center" indent="1" shrinkToFit="1"/>
      <protection locked="0"/>
    </xf>
    <xf numFmtId="9" fontId="0" fillId="0" borderId="11" xfId="0" applyNumberFormat="1" applyFont="1" applyFill="1" applyBorder="1" applyAlignment="1" applyProtection="1">
      <alignment horizontal="left" vertical="center" indent="1" shrinkToFit="1"/>
      <protection locked="0"/>
    </xf>
    <xf numFmtId="0" fontId="0" fillId="0" borderId="22" xfId="0" applyFont="1" applyFill="1" applyBorder="1" applyAlignment="1">
      <alignment horizontal="left" vertical="center" indent="2"/>
    </xf>
    <xf numFmtId="164" fontId="24" fillId="0" borderId="0" xfId="0" applyNumberFormat="1" applyFont="1" applyFill="1" applyBorder="1" applyAlignment="1" applyProtection="1">
      <alignment horizontal="center" vertical="center"/>
      <protection hidden="1"/>
    </xf>
    <xf numFmtId="3" fontId="0" fillId="0" borderId="11" xfId="0" applyNumberFormat="1" applyFont="1" applyFill="1" applyBorder="1" applyAlignment="1" applyProtection="1">
      <alignment horizontal="left" vertical="center" indent="1" shrinkToFit="1"/>
      <protection locked="0"/>
    </xf>
    <xf numFmtId="3" fontId="0" fillId="0" borderId="4" xfId="0" applyNumberFormat="1" applyFill="1" applyBorder="1" applyAlignment="1" applyProtection="1">
      <alignment horizontal="center" vertical="center"/>
    </xf>
    <xf numFmtId="0" fontId="24" fillId="7" borderId="0" xfId="0" applyFont="1" applyFill="1" applyBorder="1" applyAlignment="1">
      <alignment horizontal="centerContinuous" vertical="center"/>
    </xf>
    <xf numFmtId="0" fontId="1" fillId="0" borderId="11" xfId="0" applyFont="1" applyFill="1" applyBorder="1" applyAlignment="1" applyProtection="1">
      <alignment horizontal="left" vertical="center" indent="1" shrinkToFit="1"/>
      <protection locked="0"/>
    </xf>
    <xf numFmtId="0" fontId="23" fillId="9" borderId="0" xfId="0" applyFont="1" applyFill="1" applyBorder="1" applyAlignment="1">
      <alignment horizontal="left" vertical="center" indent="3"/>
    </xf>
    <xf numFmtId="0" fontId="21" fillId="7" borderId="20" xfId="0" applyFont="1" applyFill="1" applyBorder="1" applyAlignment="1">
      <alignment horizontal="left" vertical="center"/>
    </xf>
    <xf numFmtId="0" fontId="21" fillId="7" borderId="21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 shrinkToFit="1"/>
    </xf>
    <xf numFmtId="3" fontId="23" fillId="7" borderId="0" xfId="1" applyNumberFormat="1" applyFont="1" applyFill="1" applyBorder="1" applyAlignment="1" applyProtection="1">
      <alignment horizontal="center" vertical="center" shrinkToFit="1"/>
      <protection hidden="1"/>
    </xf>
    <xf numFmtId="3" fontId="23" fillId="7" borderId="0" xfId="0" applyNumberFormat="1" applyFont="1" applyFill="1" applyBorder="1" applyAlignment="1" applyProtection="1">
      <alignment horizontal="center" vertical="center" shrinkToFit="1"/>
      <protection hidden="1"/>
    </xf>
    <xf numFmtId="3" fontId="23" fillId="9" borderId="0" xfId="0" applyNumberFormat="1" applyFont="1" applyFill="1" applyBorder="1" applyAlignment="1" applyProtection="1">
      <alignment horizontal="center" vertical="center" shrinkToFit="1"/>
      <protection hidden="1"/>
    </xf>
    <xf numFmtId="4" fontId="24" fillId="7" borderId="0" xfId="0" applyNumberFormat="1" applyFont="1" applyFill="1" applyBorder="1" applyAlignment="1" applyProtection="1">
      <alignment horizontal="centerContinuous" vertical="center" shrinkToFit="1"/>
      <protection hidden="1"/>
    </xf>
    <xf numFmtId="164" fontId="24" fillId="7" borderId="0" xfId="0" applyNumberFormat="1" applyFont="1" applyFill="1" applyBorder="1" applyAlignment="1" applyProtection="1">
      <alignment horizontal="centerContinuous" vertical="center" shrinkToFit="1"/>
      <protection hidden="1"/>
    </xf>
    <xf numFmtId="0" fontId="10" fillId="8" borderId="0" xfId="0" applyFont="1" applyFill="1" applyBorder="1" applyAlignment="1" applyProtection="1">
      <alignment horizontal="center" shrinkToFit="1"/>
      <protection hidden="1"/>
    </xf>
    <xf numFmtId="0" fontId="10" fillId="8" borderId="23" xfId="0" applyFont="1" applyFill="1" applyBorder="1" applyAlignment="1" applyProtection="1">
      <alignment horizontal="center" shrinkToFit="1"/>
      <protection hidden="1"/>
    </xf>
    <xf numFmtId="165" fontId="6" fillId="0" borderId="9" xfId="0" applyNumberFormat="1" applyFont="1" applyFill="1" applyBorder="1" applyAlignment="1" applyProtection="1">
      <alignment horizontal="center" shrinkToFit="1"/>
      <protection hidden="1"/>
    </xf>
    <xf numFmtId="165" fontId="6" fillId="0" borderId="24" xfId="0" applyNumberFormat="1" applyFont="1" applyFill="1" applyBorder="1" applyAlignment="1" applyProtection="1">
      <alignment horizontal="center" shrinkToFit="1"/>
      <protection hidden="1"/>
    </xf>
    <xf numFmtId="165" fontId="6" fillId="0" borderId="22" xfId="0" applyNumberFormat="1" applyFont="1" applyFill="1" applyBorder="1" applyAlignment="1" applyProtection="1">
      <alignment horizontal="center" shrinkToFit="1"/>
      <protection hidden="1"/>
    </xf>
    <xf numFmtId="165" fontId="6" fillId="0" borderId="25" xfId="0" applyNumberFormat="1" applyFont="1" applyFill="1" applyBorder="1" applyAlignment="1" applyProtection="1">
      <alignment horizontal="center" shrinkToFit="1"/>
      <protection hidden="1"/>
    </xf>
    <xf numFmtId="165" fontId="6" fillId="0" borderId="0" xfId="0" applyNumberFormat="1" applyFont="1" applyFill="1" applyBorder="1" applyAlignment="1" applyProtection="1">
      <alignment horizontal="center" shrinkToFit="1"/>
      <protection hidden="1"/>
    </xf>
    <xf numFmtId="165" fontId="6" fillId="0" borderId="23" xfId="0" applyNumberFormat="1" applyFont="1" applyFill="1" applyBorder="1" applyAlignment="1" applyProtection="1">
      <alignment horizontal="center" shrinkToFit="1"/>
      <protection hidden="1"/>
    </xf>
    <xf numFmtId="165" fontId="25" fillId="0" borderId="10" xfId="0" applyNumberFormat="1" applyFont="1" applyFill="1" applyBorder="1" applyAlignment="1" applyProtection="1">
      <alignment horizontal="center" shrinkToFit="1"/>
      <protection hidden="1"/>
    </xf>
    <xf numFmtId="165" fontId="25" fillId="0" borderId="26" xfId="0" applyNumberFormat="1" applyFont="1" applyFill="1" applyBorder="1" applyAlignment="1" applyProtection="1">
      <alignment horizontal="center" shrinkToFit="1"/>
      <protection hidden="1"/>
    </xf>
    <xf numFmtId="0" fontId="6" fillId="0" borderId="0" xfId="0" applyFont="1" applyFill="1" applyBorder="1" applyAlignment="1">
      <alignment horizontal="center" shrinkToFit="1"/>
    </xf>
    <xf numFmtId="0" fontId="31" fillId="0" borderId="0" xfId="0" applyFont="1" applyFill="1" applyBorder="1" applyAlignment="1" applyProtection="1">
      <alignment horizontal="center" shrinkToFit="1"/>
    </xf>
    <xf numFmtId="0" fontId="23" fillId="7" borderId="0" xfId="0" applyFont="1" applyFill="1" applyBorder="1" applyAlignment="1">
      <alignment horizontal="center" shrinkToFit="1"/>
    </xf>
    <xf numFmtId="0" fontId="23" fillId="0" borderId="0" xfId="0" applyFont="1" applyFill="1" applyBorder="1" applyAlignment="1">
      <alignment horizontal="center" shrinkToFit="1"/>
    </xf>
  </cellXfs>
  <cellStyles count="6">
    <cellStyle name="Hyperlink" xfId="5" builtinId="8"/>
    <cellStyle name="Normal" xfId="0" builtinId="0"/>
    <cellStyle name="Normal 2" xfId="1" xr:uid="{3954E752-B4A6-4129-A4B7-AFC294856010}"/>
    <cellStyle name="Normal 2 2" xfId="3" xr:uid="{536D19DF-F8AB-4192-80B1-9D84BD191CDA}"/>
    <cellStyle name="Normal 3" xfId="2" xr:uid="{6CDF8B16-5B16-4C1E-8190-16EFBDFCEFB4}"/>
    <cellStyle name="Normal 3 2" xfId="4" xr:uid="{EBE6B589-17BD-473F-A3A7-5779EC871246}"/>
  </cellStyles>
  <dxfs count="2"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rgb="FFC00000"/>
      </font>
    </dxf>
  </dxfs>
  <tableStyles count="1" defaultTableStyle="TableStyleMedium2" defaultPivotStyle="PivotStyleLight16">
    <tableStyle name="Invisible" pivot="0" table="0" count="0" xr9:uid="{CC0C6C0C-1534-4EFC-98F1-192511FDB467}"/>
  </tableStyles>
  <colors>
    <mruColors>
      <color rgb="FF595959"/>
      <color rgb="FFF6AE2D"/>
      <color rgb="FF274656"/>
      <color rgb="FF9CAFB7"/>
      <color rgb="FF4281A4"/>
      <color rgb="FFEAD2AC"/>
      <color rgb="FFE2E8EA"/>
      <color rgb="FF8D9F87"/>
      <color rgb="FF035E7B"/>
      <color rgb="FF844F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r>
              <a:rPr lang="tr-TR">
                <a:solidFill>
                  <a:srgbClr val="595959"/>
                </a:solidFill>
              </a:rPr>
              <a:t>Estimated Debt Structure</a:t>
            </a:r>
            <a:endParaRPr lang="en-US">
              <a:solidFill>
                <a:srgbClr val="595959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Debt Balance</c:v>
          </c:tx>
          <c:spPr>
            <a:solidFill>
              <a:srgbClr val="274656"/>
            </a:solidFill>
            <a:ln>
              <a:noFill/>
            </a:ln>
            <a:effectLst/>
          </c:spPr>
          <c:invertIfNegative val="0"/>
          <c:cat>
            <c:numRef>
              <c:f>[0]!Years</c:f>
              <c:numCache>
                <c:formatCode>General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[0]!DebtChartValues</c:f>
              <c:numCache>
                <c:formatCode>#,##0</c:formatCode>
                <c:ptCount val="5"/>
                <c:pt idx="0">
                  <c:v>35750</c:v>
                </c:pt>
                <c:pt idx="1">
                  <c:v>30612.999999999996</c:v>
                </c:pt>
                <c:pt idx="2">
                  <c:v>24474.427999999993</c:v>
                </c:pt>
                <c:pt idx="3">
                  <c:v>17206.805967999986</c:v>
                </c:pt>
                <c:pt idx="4">
                  <c:v>8668.3781022079802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CF-4745-81CC-2A3E8E996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16"/>
        <c:axId val="1697239023"/>
        <c:axId val="842845711"/>
      </c:barChart>
      <c:lineChart>
        <c:grouping val="standard"/>
        <c:varyColors val="0"/>
        <c:ser>
          <c:idx val="1"/>
          <c:order val="1"/>
          <c:tx>
            <c:v>Debt/EBITDA Multiple</c:v>
          </c:tx>
          <c:spPr>
            <a:ln w="28575" cap="rnd">
              <a:solidFill>
                <a:srgbClr val="F6AE2D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6AE2D"/>
              </a:solidFill>
              <a:ln w="9525">
                <a:solidFill>
                  <a:srgbClr val="FFC000"/>
                </a:solidFill>
              </a:ln>
              <a:effectLst/>
            </c:spPr>
          </c:marker>
          <c:val>
            <c:numRef>
              <c:f>[0]!DebtEbitdaMultiple</c:f>
              <c:numCache>
                <c:formatCode>#,##0.0</c:formatCode>
                <c:ptCount val="5"/>
                <c:pt idx="0">
                  <c:v>3.2499999999999996</c:v>
                </c:pt>
                <c:pt idx="1">
                  <c:v>2.5299999999999989</c:v>
                </c:pt>
                <c:pt idx="2">
                  <c:v>1.8387999999999989</c:v>
                </c:pt>
                <c:pt idx="3">
                  <c:v>1.1752479999999985</c:v>
                </c:pt>
                <c:pt idx="4">
                  <c:v>0.53823807999999851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3CF-4745-81CC-2A3E8E996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40063"/>
        <c:axId val="12945055"/>
      </c:lineChart>
      <c:catAx>
        <c:axId val="1697239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842845711"/>
        <c:crosses val="autoZero"/>
        <c:auto val="1"/>
        <c:lblAlgn val="ctr"/>
        <c:lblOffset val="100"/>
        <c:noMultiLvlLbl val="0"/>
      </c:catAx>
      <c:valAx>
        <c:axId val="842845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697239023"/>
        <c:crosses val="autoZero"/>
        <c:crossBetween val="between"/>
      </c:valAx>
      <c:valAx>
        <c:axId val="12945055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2940063"/>
        <c:crosses val="max"/>
        <c:crossBetween val="between"/>
      </c:valAx>
      <c:catAx>
        <c:axId val="12940063"/>
        <c:scaling>
          <c:orientation val="minMax"/>
        </c:scaling>
        <c:delete val="1"/>
        <c:axPos val="b"/>
        <c:majorTickMark val="out"/>
        <c:minorTickMark val="none"/>
        <c:tickLblPos val="nextTo"/>
        <c:crossAx val="129450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Funding Structure</a:t>
            </a:r>
          </a:p>
        </c:rich>
      </c:tx>
      <c:layout>
        <c:manualLayout>
          <c:xMode val="edge"/>
          <c:yMode val="edge"/>
          <c:x val="0.30322915129174083"/>
          <c:y val="3.45680316334903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27465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3B1-4483-ADE2-443E3EBD8F95}"/>
              </c:ext>
            </c:extLst>
          </c:dPt>
          <c:dPt>
            <c:idx val="1"/>
            <c:bubble3D val="0"/>
            <c:spPr>
              <a:solidFill>
                <a:srgbClr val="4281A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3B1-4483-ADE2-443E3EBD8F95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Calc!$H$8:$H$9</c:f>
              <c:strCache>
                <c:ptCount val="2"/>
                <c:pt idx="0">
                  <c:v>Debt</c:v>
                </c:pt>
                <c:pt idx="1">
                  <c:v>Equity</c:v>
                </c:pt>
              </c:strCache>
            </c:strRef>
          </c:cat>
          <c:val>
            <c:numRef>
              <c:f>Calc!$I$8:$I$9</c:f>
              <c:numCache>
                <c:formatCode>#,##0</c:formatCode>
                <c:ptCount val="2"/>
                <c:pt idx="0">
                  <c:v>40000</c:v>
                </c:pt>
                <c:pt idx="1">
                  <c:v>64000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4F-4360-B772-3DE0C16E88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Estimated </a:t>
            </a:r>
            <a:r>
              <a:rPr lang="en-US"/>
              <a:t>Free Cash Flows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Free Cash Flows</c:v>
          </c:tx>
          <c:spPr>
            <a:solidFill>
              <a:srgbClr val="274656"/>
            </a:solidFill>
            <a:ln>
              <a:solidFill>
                <a:srgbClr val="274656"/>
              </a:solidFill>
            </a:ln>
            <a:effectLst/>
          </c:spPr>
          <c:invertIfNegative val="1"/>
          <c:dLbls>
            <c:numFmt formatCode="#,##0;[Red]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[0]!Years</c:f>
              <c:numCache>
                <c:formatCode>General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[0]!FreeCash</c:f>
              <c:numCache>
                <c:formatCode>#,##0</c:formatCode>
                <c:ptCount val="5"/>
                <c:pt idx="0">
                  <c:v>4250.0000000000018</c:v>
                </c:pt>
                <c:pt idx="1">
                  <c:v>5137.0000000000036</c:v>
                </c:pt>
                <c:pt idx="2">
                  <c:v>6138.5720000000038</c:v>
                </c:pt>
                <c:pt idx="3">
                  <c:v>7267.6220320000057</c:v>
                </c:pt>
                <c:pt idx="4">
                  <c:v>8538.4278657920058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74656"/>
                    </a:solidFill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C859-4377-875B-05A4CC371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3221472"/>
        <c:axId val="1723231872"/>
      </c:barChart>
      <c:catAx>
        <c:axId val="1723221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723231872"/>
        <c:crosses val="autoZero"/>
        <c:auto val="1"/>
        <c:lblAlgn val="ctr"/>
        <c:lblOffset val="100"/>
        <c:noMultiLvlLbl val="0"/>
      </c:catAx>
      <c:valAx>
        <c:axId val="172323187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172322147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Debt Repayment Analytics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Principal Payment</c:v>
          </c:tx>
          <c:spPr>
            <a:solidFill>
              <a:srgbClr val="F6AE2D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[0]!Years</c:f>
              <c:numCache>
                <c:formatCode>General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[0]!PrincipalPayment</c:f>
              <c:numCache>
                <c:formatCode>#,##0</c:formatCode>
                <c:ptCount val="5"/>
                <c:pt idx="0">
                  <c:v>4250.0000000000018</c:v>
                </c:pt>
                <c:pt idx="1">
                  <c:v>5137.0000000000036</c:v>
                </c:pt>
                <c:pt idx="2">
                  <c:v>6138.5720000000038</c:v>
                </c:pt>
                <c:pt idx="3">
                  <c:v>7267.6220320000057</c:v>
                </c:pt>
                <c:pt idx="4">
                  <c:v>8538.4278657920058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74-48B8-B2E8-80F5ADAE52D3}"/>
            </c:ext>
          </c:extLst>
        </c:ser>
        <c:ser>
          <c:idx val="0"/>
          <c:order val="1"/>
          <c:tx>
            <c:v>Interest Payment</c:v>
          </c:tx>
          <c:spPr>
            <a:solidFill>
              <a:srgbClr val="9CAFB7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[0]!Years</c:f>
              <c:numCache>
                <c:formatCode>General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[0]!InterestPayment</c:f>
              <c:numCache>
                <c:formatCode>#,##0</c:formatCode>
                <c:ptCount val="5"/>
                <c:pt idx="0">
                  <c:v>2800.0000000000005</c:v>
                </c:pt>
                <c:pt idx="1">
                  <c:v>2502.5000000000005</c:v>
                </c:pt>
                <c:pt idx="2">
                  <c:v>2142.91</c:v>
                </c:pt>
                <c:pt idx="3">
                  <c:v>1713.2099599999997</c:v>
                </c:pt>
                <c:pt idx="4">
                  <c:v>1204.4764177599991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74-48B8-B2E8-80F5ADAE52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723202336"/>
        <c:axId val="1723202752"/>
      </c:barChart>
      <c:lineChart>
        <c:grouping val="standard"/>
        <c:varyColors val="0"/>
        <c:ser>
          <c:idx val="2"/>
          <c:order val="2"/>
          <c:tx>
            <c:v>Total Payment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74656"/>
              </a:solidFill>
              <a:ln w="9525">
                <a:noFill/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[0]!TotalPayment</c:f>
              <c:numCache>
                <c:formatCode>#,##0</c:formatCode>
                <c:ptCount val="5"/>
                <c:pt idx="0">
                  <c:v>7050.0000000000018</c:v>
                </c:pt>
                <c:pt idx="1">
                  <c:v>7639.5000000000036</c:v>
                </c:pt>
                <c:pt idx="2">
                  <c:v>8281.4820000000036</c:v>
                </c:pt>
                <c:pt idx="3">
                  <c:v>8980.8319920000049</c:v>
                </c:pt>
                <c:pt idx="4">
                  <c:v>9742.9042835520049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D74-48B8-B2E8-80F5ADAE5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6075408"/>
        <c:axId val="1546074992"/>
      </c:lineChart>
      <c:catAx>
        <c:axId val="1723202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723202752"/>
        <c:crosses val="autoZero"/>
        <c:auto val="1"/>
        <c:lblAlgn val="ctr"/>
        <c:lblOffset val="100"/>
        <c:noMultiLvlLbl val="0"/>
      </c:catAx>
      <c:valAx>
        <c:axId val="172320275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723202336"/>
        <c:crosses val="autoZero"/>
        <c:crossBetween val="between"/>
      </c:valAx>
      <c:valAx>
        <c:axId val="1546074992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1546075408"/>
        <c:crosses val="max"/>
        <c:crossBetween val="between"/>
      </c:valAx>
      <c:catAx>
        <c:axId val="1546075408"/>
        <c:scaling>
          <c:orientation val="minMax"/>
        </c:scaling>
        <c:delete val="1"/>
        <c:axPos val="b"/>
        <c:majorTickMark val="out"/>
        <c:minorTickMark val="none"/>
        <c:tickLblPos val="nextTo"/>
        <c:crossAx val="15460749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.png"/><Relationship Id="rId7" Type="http://schemas.microsoft.com/office/2007/relationships/hdphoto" Target="../media/hdphoto1.wdp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png"/><Relationship Id="rId11" Type="http://schemas.openxmlformats.org/officeDocument/2006/relationships/chart" Target="../charts/chart4.xml"/><Relationship Id="rId10" Type="http://schemas.openxmlformats.org/officeDocument/2006/relationships/chart" Target="../charts/chart3.xml"/><Relationship Id="rId4" Type="http://schemas.openxmlformats.org/officeDocument/2006/relationships/image" Target="../media/image1.png"/><Relationship Id="rId9" Type="http://schemas.openxmlformats.org/officeDocument/2006/relationships/image" Target="../media/image3.png"/><Relationship Id="rId14" Type="http://schemas.openxmlformats.org/officeDocument/2006/relationships/image" Target="../media/image6.png"/><Relationship Id="rId15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LBO!A5"/><Relationship Id="rId2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21</xdr:row>
      <xdr:rowOff>0</xdr:rowOff>
    </xdr:from>
    <xdr:to>
      <xdr:col>14</xdr:col>
      <xdr:colOff>3312</xdr:colOff>
      <xdr:row>34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3EB8960-5EE5-4414-AB78-15ECF3C529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219076</xdr:colOff>
      <xdr:row>21</xdr:row>
      <xdr:rowOff>0</xdr:rowOff>
    </xdr:from>
    <xdr:to>
      <xdr:col>7</xdr:col>
      <xdr:colOff>219075</xdr:colOff>
      <xdr:row>34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EBEB048-DC45-4F71-8FD9-32B053EA96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59530</xdr:colOff>
      <xdr:row>23</xdr:row>
      <xdr:rowOff>127000</xdr:rowOff>
    </xdr:from>
    <xdr:to>
      <xdr:col>2</xdr:col>
      <xdr:colOff>192880</xdr:colOff>
      <xdr:row>23</xdr:row>
      <xdr:rowOff>241300</xdr:rowOff>
    </xdr:to>
    <xdr:sp macro="" textlink="">
      <xdr:nvSpPr>
        <xdr:cNvPr id="11" name="Arrow: Right 10">
          <a:extLst>
            <a:ext uri="{FF2B5EF4-FFF2-40B4-BE49-F238E27FC236}">
              <a16:creationId xmlns:a16="http://schemas.microsoft.com/office/drawing/2014/main" id="{737C5165-8048-4840-9F6D-491267B2A4B0}"/>
            </a:ext>
          </a:extLst>
        </xdr:cNvPr>
        <xdr:cNvSpPr/>
      </xdr:nvSpPr>
      <xdr:spPr>
        <a:xfrm>
          <a:off x="554830" y="4117975"/>
          <a:ext cx="133350" cy="114300"/>
        </a:xfrm>
        <a:prstGeom prst="right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211690</xdr:colOff>
      <xdr:row>8</xdr:row>
      <xdr:rowOff>72757</xdr:rowOff>
    </xdr:from>
    <xdr:to>
      <xdr:col>4</xdr:col>
      <xdr:colOff>571690</xdr:colOff>
      <xdr:row>10</xdr:row>
      <xdr:rowOff>51757</xdr:rowOff>
    </xdr:to>
    <xdr:sp macro="" textlink="">
      <xdr:nvSpPr>
        <xdr:cNvPr id="18" name="Half Frame 17">
          <a:extLst>
            <a:ext uri="{FF2B5EF4-FFF2-40B4-BE49-F238E27FC236}">
              <a16:creationId xmlns:a16="http://schemas.microsoft.com/office/drawing/2014/main" id="{DB2CD724-6BBA-4D7E-87F9-CC600FFAF05F}"/>
            </a:ext>
          </a:extLst>
        </xdr:cNvPr>
        <xdr:cNvSpPr/>
      </xdr:nvSpPr>
      <xdr:spPr>
        <a:xfrm rot="8100000">
          <a:off x="3269215" y="1358632"/>
          <a:ext cx="360000" cy="360000"/>
        </a:xfrm>
        <a:prstGeom prst="halfFrame">
          <a:avLst/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219074</xdr:colOff>
      <xdr:row>8</xdr:row>
      <xdr:rowOff>72757</xdr:rowOff>
    </xdr:from>
    <xdr:to>
      <xdr:col>8</xdr:col>
      <xdr:colOff>579074</xdr:colOff>
      <xdr:row>10</xdr:row>
      <xdr:rowOff>51757</xdr:rowOff>
    </xdr:to>
    <xdr:sp macro="" textlink="">
      <xdr:nvSpPr>
        <xdr:cNvPr id="19" name="Half Frame 18">
          <a:extLst>
            <a:ext uri="{FF2B5EF4-FFF2-40B4-BE49-F238E27FC236}">
              <a16:creationId xmlns:a16="http://schemas.microsoft.com/office/drawing/2014/main" id="{46DDEE22-66D2-45B6-B885-E684B0C14EB3}"/>
            </a:ext>
          </a:extLst>
        </xdr:cNvPr>
        <xdr:cNvSpPr/>
      </xdr:nvSpPr>
      <xdr:spPr>
        <a:xfrm rot="8100000">
          <a:off x="6934199" y="1320532"/>
          <a:ext cx="360000" cy="360000"/>
        </a:xfrm>
        <a:prstGeom prst="halfFrame">
          <a:avLst/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142875</xdr:colOff>
      <xdr:row>1</xdr:row>
      <xdr:rowOff>57150</xdr:rowOff>
    </xdr:from>
    <xdr:to>
      <xdr:col>2</xdr:col>
      <xdr:colOff>327225</xdr:colOff>
      <xdr:row>2</xdr:row>
      <xdr:rowOff>241500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FBBE9716-3904-4B63-B015-1A1E4B3B4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90525" y="1428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7</xdr:col>
      <xdr:colOff>400050</xdr:colOff>
      <xdr:row>34</xdr:row>
      <xdr:rowOff>152400</xdr:rowOff>
    </xdr:from>
    <xdr:to>
      <xdr:col>14</xdr:col>
      <xdr:colOff>0</xdr:colOff>
      <xdr:row>43</xdr:row>
      <xdr:rowOff>238125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B7A8B8DB-C8C3-4C59-8105-B1995E7728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2</xdr:col>
      <xdr:colOff>0</xdr:colOff>
      <xdr:row>34</xdr:row>
      <xdr:rowOff>152400</xdr:rowOff>
    </xdr:from>
    <xdr:to>
      <xdr:col>7</xdr:col>
      <xdr:colOff>219075</xdr:colOff>
      <xdr:row>43</xdr:row>
      <xdr:rowOff>238125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9624123A-7E46-4B1C-9C1E-D243F0D300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2</xdr:col>
      <xdr:colOff>59531</xdr:colOff>
      <xdr:row>27</xdr:row>
      <xdr:rowOff>114300</xdr:rowOff>
    </xdr:from>
    <xdr:to>
      <xdr:col>2</xdr:col>
      <xdr:colOff>192881</xdr:colOff>
      <xdr:row>27</xdr:row>
      <xdr:rowOff>228600</xdr:rowOff>
    </xdr:to>
    <xdr:sp macro="" textlink="">
      <xdr:nvSpPr>
        <xdr:cNvPr id="28" name="Arrow: Right 27">
          <a:extLst>
            <a:ext uri="{FF2B5EF4-FFF2-40B4-BE49-F238E27FC236}">
              <a16:creationId xmlns:a16="http://schemas.microsoft.com/office/drawing/2014/main" id="{95FB37F7-6DBF-4299-BC86-821E5D5FF1B1}"/>
            </a:ext>
          </a:extLst>
        </xdr:cNvPr>
        <xdr:cNvSpPr/>
      </xdr:nvSpPr>
      <xdr:spPr>
        <a:xfrm rot="10800000">
          <a:off x="554831" y="4924425"/>
          <a:ext cx="133350" cy="114300"/>
        </a:xfrm>
        <a:prstGeom prst="right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12</xdr:col>
      <xdr:colOff>637054</xdr:colOff>
      <xdr:row>1</xdr:row>
      <xdr:rowOff>47831</xdr:rowOff>
    </xdr:from>
    <xdr:ext cx="1325166" cy="381000"/>
    <xdr:pic>
      <xdr:nvPicPr>
        <xdr:cNvPr id="1028" name="mpkLogo">
          <a:hlinkClick xmlns:a="http://schemas.openxmlformats.org/drawingml/2006/main" xmlns:r="http://schemas.openxmlformats.org/officeDocument/2006/relationships" r:id="rId1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6441-AB1E-4A97-8B92-8F1905FDAC84}">
  <sheetPr>
    <pageSetUpPr autoPageBreaks="0" fitToPage="1"/>
  </sheetPr>
  <dimension ref="A1:U75"/>
  <sheetViews>
    <sheetView showGridLines="0" showRowColHeaders="0" tabSelected="1" zoomScaleNormal="100" zoomScaleSheetLayoutView="85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2" width="3.7109375" style="29" customWidth="1"/>
    <col min="3" max="3" width="24.7109375" style="35" customWidth="1"/>
    <col min="4" max="14" width="13.7109375" style="45" customWidth="1"/>
    <col min="15" max="16" width="3.7109375" style="29" customWidth="1"/>
    <col min="17" max="16384" width="8.85546875" style="29"/>
  </cols>
  <sheetData>
    <row r="1" spans="1:16" s="3" customFormat="1" ht="6.75" customHeight="1" x14ac:dyDescent="0.25">
      <c r="C1" s="30"/>
      <c r="D1" s="4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6" s="12" customFormat="1" ht="20.100000000000001" customHeight="1" x14ac:dyDescent="0.3">
      <c r="B2" s="31"/>
      <c r="C2" s="112" t="s">
        <v>110</v>
      </c>
      <c r="D2" s="37"/>
      <c r="E2" s="37"/>
      <c r="F2" s="38"/>
      <c r="G2" s="38"/>
      <c r="H2" s="38"/>
      <c r="I2" s="38"/>
      <c r="J2" s="38"/>
      <c r="K2" s="38"/>
      <c r="L2" s="38"/>
      <c r="M2" s="38"/>
      <c r="N2" s="39"/>
      <c r="O2" s="11"/>
    </row>
    <row r="3" spans="1:16" s="26" customFormat="1" ht="24" customHeight="1" x14ac:dyDescent="0.35">
      <c r="B3" s="32"/>
      <c r="C3" s="113" t="s">
        <v>82</v>
      </c>
      <c r="D3" s="40"/>
      <c r="E3" s="40"/>
      <c r="F3" s="41"/>
      <c r="G3" s="41"/>
      <c r="H3" s="41"/>
      <c r="I3" s="41"/>
      <c r="J3" s="41"/>
      <c r="K3" s="41"/>
      <c r="L3" s="41"/>
      <c r="M3" s="41"/>
      <c r="N3" s="42"/>
      <c r="O3" s="5"/>
      <c r="P3" s="6"/>
    </row>
    <row r="4" spans="1:16" s="3" customFormat="1" ht="4.9000000000000004" customHeight="1" thickBot="1" x14ac:dyDescent="0.3">
      <c r="A4" s="27"/>
      <c r="B4" s="27"/>
      <c r="C4" s="3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27"/>
      <c r="P4" s="27"/>
    </row>
    <row r="5" spans="1:16" s="3" customFormat="1" ht="4.5" customHeight="1" thickBot="1" x14ac:dyDescent="0.3">
      <c r="A5" s="28"/>
      <c r="B5" s="28"/>
      <c r="C5" s="3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28"/>
      <c r="P5" s="28"/>
    </row>
    <row r="6" spans="1:16" s="3" customFormat="1" ht="9.9499999999999993" customHeight="1" x14ac:dyDescent="0.25">
      <c r="A6" s="28"/>
      <c r="B6" s="56"/>
      <c r="C6" s="57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9"/>
      <c r="P6" s="28"/>
    </row>
    <row r="7" spans="1:16" s="3" customFormat="1" ht="20.100000000000001" customHeight="1" x14ac:dyDescent="0.35">
      <c r="A7" s="28"/>
      <c r="B7" s="65"/>
      <c r="C7" s="68" t="s">
        <v>70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66"/>
      <c r="P7" s="28"/>
    </row>
    <row r="8" spans="1:16" s="3" customFormat="1" ht="9.9499999999999993" customHeight="1" x14ac:dyDescent="0.25">
      <c r="A8" s="28"/>
      <c r="B8" s="60"/>
      <c r="C8" s="53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61"/>
      <c r="P8" s="28"/>
    </row>
    <row r="9" spans="1:16" s="3" customFormat="1" ht="15" customHeight="1" x14ac:dyDescent="0.25">
      <c r="A9" s="28"/>
      <c r="B9" s="60"/>
      <c r="C9" s="81" t="s">
        <v>16</v>
      </c>
      <c r="D9" s="81"/>
      <c r="E9" s="50"/>
      <c r="F9" s="80" t="s">
        <v>19</v>
      </c>
      <c r="G9" s="82"/>
      <c r="H9" s="83"/>
      <c r="I9" s="52"/>
      <c r="J9" s="80" t="s">
        <v>25</v>
      </c>
      <c r="K9" s="82"/>
      <c r="L9" s="83"/>
      <c r="M9" s="52"/>
      <c r="N9" s="52"/>
      <c r="O9" s="61"/>
      <c r="P9" s="28"/>
    </row>
    <row r="10" spans="1:16" s="3" customFormat="1" ht="15" customHeight="1" x14ac:dyDescent="0.25">
      <c r="A10" s="28"/>
      <c r="B10" s="60"/>
      <c r="C10" s="114" t="s">
        <v>17</v>
      </c>
      <c r="D10" s="129" t="s">
        <v>18</v>
      </c>
      <c r="E10" s="50"/>
      <c r="F10" s="115" t="s">
        <v>97</v>
      </c>
      <c r="G10" s="116"/>
      <c r="H10" s="135">
        <v>100000</v>
      </c>
      <c r="I10" s="52"/>
      <c r="J10" s="115" t="s">
        <v>98</v>
      </c>
      <c r="K10" s="116"/>
      <c r="L10" s="135">
        <v>40000</v>
      </c>
      <c r="M10" s="52"/>
      <c r="N10" s="52"/>
      <c r="O10" s="61"/>
      <c r="P10" s="28"/>
    </row>
    <row r="11" spans="1:16" s="3" customFormat="1" ht="15" customHeight="1" x14ac:dyDescent="0.25">
      <c r="A11" s="28"/>
      <c r="B11" s="60"/>
      <c r="C11" s="114" t="s">
        <v>20</v>
      </c>
      <c r="D11" s="129">
        <v>2022</v>
      </c>
      <c r="E11" s="50"/>
      <c r="F11" s="115" t="s">
        <v>10</v>
      </c>
      <c r="G11" s="116"/>
      <c r="H11" s="131">
        <v>0.1</v>
      </c>
      <c r="I11" s="52"/>
      <c r="J11" s="115" t="s">
        <v>73</v>
      </c>
      <c r="K11" s="116"/>
      <c r="L11" s="131">
        <v>7.0000000000000007E-2</v>
      </c>
      <c r="M11" s="52"/>
      <c r="N11" s="52"/>
      <c r="O11" s="61"/>
      <c r="P11" s="28"/>
    </row>
    <row r="12" spans="1:16" s="3" customFormat="1" ht="15" customHeight="1" x14ac:dyDescent="0.25">
      <c r="A12" s="28"/>
      <c r="B12" s="60"/>
      <c r="C12" s="114" t="s">
        <v>80</v>
      </c>
      <c r="D12" s="130">
        <v>10</v>
      </c>
      <c r="E12" s="50"/>
      <c r="F12" s="115" t="s">
        <v>83</v>
      </c>
      <c r="G12" s="116"/>
      <c r="H12" s="131">
        <v>0.1</v>
      </c>
      <c r="I12" s="52"/>
      <c r="J12" s="115" t="s">
        <v>108</v>
      </c>
      <c r="K12" s="116"/>
      <c r="L12" s="132" t="s">
        <v>61</v>
      </c>
      <c r="M12" s="52"/>
      <c r="N12" s="52"/>
      <c r="O12" s="61"/>
      <c r="P12" s="28"/>
    </row>
    <row r="13" spans="1:16" s="3" customFormat="1" ht="15" customHeight="1" x14ac:dyDescent="0.25">
      <c r="A13" s="28"/>
      <c r="B13" s="60"/>
      <c r="C13" s="114" t="s">
        <v>96</v>
      </c>
      <c r="D13" s="135">
        <v>4000</v>
      </c>
      <c r="E13" s="50"/>
      <c r="F13" s="115" t="s">
        <v>21</v>
      </c>
      <c r="G13" s="116"/>
      <c r="H13" s="131">
        <v>0.02</v>
      </c>
      <c r="I13" s="52"/>
      <c r="J13" s="115" t="s">
        <v>107</v>
      </c>
      <c r="K13" s="116"/>
      <c r="L13" s="132" t="s">
        <v>35</v>
      </c>
      <c r="M13" s="52"/>
      <c r="N13" s="52"/>
      <c r="O13" s="61"/>
      <c r="P13" s="28"/>
    </row>
    <row r="14" spans="1:16" s="3" customFormat="1" ht="15" customHeight="1" x14ac:dyDescent="0.25">
      <c r="A14" s="28"/>
      <c r="B14" s="60"/>
      <c r="C14" s="114" t="s">
        <v>76</v>
      </c>
      <c r="D14" s="130">
        <v>10</v>
      </c>
      <c r="E14" s="50"/>
      <c r="F14" s="115" t="s">
        <v>22</v>
      </c>
      <c r="G14" s="116"/>
      <c r="H14" s="131">
        <v>0.02</v>
      </c>
      <c r="I14" s="52"/>
      <c r="J14" s="115" t="s">
        <v>109</v>
      </c>
      <c r="K14" s="116"/>
      <c r="L14" s="132" t="s">
        <v>61</v>
      </c>
      <c r="M14" s="50"/>
      <c r="N14" s="50"/>
      <c r="O14" s="61"/>
      <c r="P14" s="28"/>
    </row>
    <row r="15" spans="1:16" s="3" customFormat="1" ht="15" customHeight="1" x14ac:dyDescent="0.25">
      <c r="A15" s="28"/>
      <c r="B15" s="60"/>
      <c r="C15" s="114" t="s">
        <v>9</v>
      </c>
      <c r="D15" s="129" t="s">
        <v>26</v>
      </c>
      <c r="E15" s="50"/>
      <c r="F15" s="117" t="s">
        <v>23</v>
      </c>
      <c r="G15" s="118"/>
      <c r="H15" s="131">
        <v>5.0000000000000001E-3</v>
      </c>
      <c r="I15" s="52"/>
      <c r="J15" s="52"/>
      <c r="K15" s="52"/>
      <c r="L15" s="52"/>
      <c r="M15" s="50"/>
      <c r="N15" s="50"/>
      <c r="O15" s="61"/>
      <c r="P15" s="28"/>
    </row>
    <row r="16" spans="1:16" s="3" customFormat="1" ht="15" customHeight="1" x14ac:dyDescent="0.25">
      <c r="A16" s="28"/>
      <c r="B16" s="60"/>
      <c r="C16" s="47"/>
      <c r="D16" s="47"/>
      <c r="E16" s="50"/>
      <c r="F16" s="115" t="s">
        <v>11</v>
      </c>
      <c r="G16" s="116"/>
      <c r="H16" s="131">
        <v>0.2</v>
      </c>
      <c r="I16" s="52"/>
      <c r="J16" s="140" t="s">
        <v>105</v>
      </c>
      <c r="K16" s="141"/>
      <c r="L16" s="138" t="s">
        <v>104</v>
      </c>
      <c r="M16" s="50"/>
      <c r="N16" s="50"/>
      <c r="O16" s="61"/>
      <c r="P16" s="28"/>
    </row>
    <row r="17" spans="1:21" s="3" customFormat="1" ht="9.9499999999999993" customHeight="1" thickBot="1" x14ac:dyDescent="0.3">
      <c r="A17" s="28"/>
      <c r="B17" s="62"/>
      <c r="C17" s="63"/>
      <c r="D17" s="63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4"/>
      <c r="P17" s="28"/>
    </row>
    <row r="18" spans="1:21" s="3" customFormat="1" ht="15" customHeight="1" thickBot="1" x14ac:dyDescent="0.3">
      <c r="A18" s="28"/>
      <c r="B18" s="28"/>
      <c r="C18" s="3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28"/>
      <c r="P18" s="28"/>
    </row>
    <row r="19" spans="1:21" s="3" customFormat="1" ht="9.9499999999999993" customHeight="1" x14ac:dyDescent="0.25">
      <c r="A19" s="28"/>
      <c r="B19" s="56"/>
      <c r="C19" s="57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9"/>
      <c r="P19" s="28"/>
    </row>
    <row r="20" spans="1:21" s="3" customFormat="1" ht="20.100000000000001" customHeight="1" x14ac:dyDescent="0.35">
      <c r="A20" s="28"/>
      <c r="B20" s="60"/>
      <c r="C20" s="54" t="s">
        <v>71</v>
      </c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61"/>
      <c r="P20" s="28"/>
    </row>
    <row r="21" spans="1:21" s="3" customFormat="1" ht="9.9499999999999993" customHeight="1" x14ac:dyDescent="0.25">
      <c r="A21" s="28"/>
      <c r="B21" s="60"/>
      <c r="C21" s="53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61"/>
      <c r="P21" s="28"/>
    </row>
    <row r="22" spans="1:21" s="3" customFormat="1" ht="24.95" customHeight="1" x14ac:dyDescent="0.25">
      <c r="A22" s="28"/>
      <c r="B22" s="60"/>
      <c r="C22" s="119" t="s">
        <v>72</v>
      </c>
      <c r="D22" s="143">
        <f>IFERROR(Calc!I12,"")</f>
        <v>100000</v>
      </c>
      <c r="E22" s="47"/>
      <c r="F22" s="47"/>
      <c r="G22" s="47"/>
      <c r="H22" s="50"/>
      <c r="I22" s="50"/>
      <c r="J22" s="50"/>
      <c r="K22" s="50"/>
      <c r="L22" s="50"/>
      <c r="M22" s="50"/>
      <c r="N22" s="50"/>
      <c r="O22" s="61"/>
      <c r="P22" s="28"/>
    </row>
    <row r="23" spans="1:21" s="3" customFormat="1" ht="8.1" customHeight="1" x14ac:dyDescent="0.25">
      <c r="A23" s="28"/>
      <c r="B23" s="60"/>
      <c r="C23" s="51"/>
      <c r="D23" s="47"/>
      <c r="E23" s="47"/>
      <c r="F23" s="47"/>
      <c r="G23" s="47"/>
      <c r="H23" s="50"/>
      <c r="I23" s="50"/>
      <c r="J23" s="50"/>
      <c r="K23" s="50"/>
      <c r="L23" s="50"/>
      <c r="M23" s="50"/>
      <c r="N23" s="50"/>
      <c r="O23" s="61"/>
      <c r="P23" s="28"/>
    </row>
    <row r="24" spans="1:21" s="3" customFormat="1" ht="24.95" customHeight="1" x14ac:dyDescent="0.25">
      <c r="A24" s="28"/>
      <c r="B24" s="60"/>
      <c r="C24" s="119" t="s">
        <v>68</v>
      </c>
      <c r="D24" s="144">
        <f>IFERROR(Calc!I9,"")</f>
        <v>64000</v>
      </c>
      <c r="E24" s="47"/>
      <c r="F24" s="47"/>
      <c r="G24" s="47"/>
      <c r="H24" s="50"/>
      <c r="I24" s="50"/>
      <c r="J24" s="50"/>
      <c r="K24" s="50"/>
      <c r="L24" s="50"/>
      <c r="M24" s="50"/>
      <c r="N24" s="50"/>
      <c r="O24" s="61"/>
      <c r="P24" s="28"/>
    </row>
    <row r="25" spans="1:21" s="3" customFormat="1" ht="8.1" customHeight="1" x14ac:dyDescent="0.25">
      <c r="A25" s="28"/>
      <c r="B25" s="60"/>
      <c r="C25" s="51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61"/>
      <c r="P25" s="28"/>
    </row>
    <row r="26" spans="1:21" s="3" customFormat="1" ht="24.95" customHeight="1" x14ac:dyDescent="0.25">
      <c r="A26" s="28"/>
      <c r="B26" s="60"/>
      <c r="C26" s="139" t="s">
        <v>75</v>
      </c>
      <c r="D26" s="145">
        <f>IFERROR(Calc!L18,"")</f>
        <v>161051.00000000009</v>
      </c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61"/>
      <c r="P26" s="28"/>
    </row>
    <row r="27" spans="1:21" s="3" customFormat="1" ht="8.1" customHeight="1" x14ac:dyDescent="0.25">
      <c r="A27" s="28"/>
      <c r="B27" s="60"/>
      <c r="C27" s="51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61"/>
      <c r="P27" s="28"/>
    </row>
    <row r="28" spans="1:21" s="3" customFormat="1" ht="24.95" customHeight="1" x14ac:dyDescent="0.25">
      <c r="A28" s="28"/>
      <c r="B28" s="60"/>
      <c r="C28" s="139" t="s">
        <v>69</v>
      </c>
      <c r="D28" s="145">
        <f>IFERROR(Calc!L19,"")</f>
        <v>152382.62189779209</v>
      </c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61"/>
      <c r="P28" s="28"/>
    </row>
    <row r="29" spans="1:21" s="3" customFormat="1" ht="8.1" customHeight="1" x14ac:dyDescent="0.25">
      <c r="A29" s="28"/>
      <c r="B29" s="60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61"/>
      <c r="P29" s="28"/>
      <c r="S29" s="44"/>
      <c r="T29" s="44"/>
    </row>
    <row r="30" spans="1:21" s="3" customFormat="1" ht="24.95" customHeight="1" x14ac:dyDescent="0.25">
      <c r="A30" s="28"/>
      <c r="B30" s="60"/>
      <c r="C30" s="137" t="s">
        <v>57</v>
      </c>
      <c r="D30" s="13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61"/>
      <c r="P30" s="28"/>
      <c r="S30" s="44"/>
      <c r="T30" s="44"/>
    </row>
    <row r="31" spans="1:21" s="3" customFormat="1" ht="24.95" customHeight="1" x14ac:dyDescent="0.25">
      <c r="A31" s="28"/>
      <c r="B31" s="60"/>
      <c r="C31" s="146">
        <f>IFERROR(Calc!L20,"")</f>
        <v>2.3809784671530014</v>
      </c>
      <c r="D31" s="146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61"/>
      <c r="P31" s="28"/>
      <c r="S31" s="44"/>
      <c r="T31" s="44"/>
    </row>
    <row r="32" spans="1:21" s="3" customFormat="1" ht="8.1" customHeight="1" x14ac:dyDescent="0.25">
      <c r="A32" s="28"/>
      <c r="B32" s="60"/>
      <c r="C32" s="48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61"/>
      <c r="P32" s="28"/>
      <c r="S32" s="44"/>
      <c r="T32" s="44"/>
      <c r="U32" s="44"/>
    </row>
    <row r="33" spans="1:21" s="3" customFormat="1" ht="24.95" customHeight="1" x14ac:dyDescent="0.25">
      <c r="A33" s="28"/>
      <c r="B33" s="60"/>
      <c r="C33" s="137" t="s">
        <v>15</v>
      </c>
      <c r="D33" s="13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61"/>
      <c r="P33" s="28"/>
      <c r="S33" s="44"/>
      <c r="T33" s="44"/>
      <c r="U33" s="44"/>
    </row>
    <row r="34" spans="1:21" s="3" customFormat="1" ht="24.95" customHeight="1" x14ac:dyDescent="0.25">
      <c r="A34" s="28"/>
      <c r="B34" s="60"/>
      <c r="C34" s="147">
        <f>IFERROR(Calc!L21,"")</f>
        <v>0.18946342820582851</v>
      </c>
      <c r="D34" s="1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61"/>
      <c r="P34" s="28"/>
      <c r="S34" s="44"/>
      <c r="T34" s="44"/>
    </row>
    <row r="35" spans="1:21" s="3" customFormat="1" ht="24.95" customHeight="1" x14ac:dyDescent="0.25">
      <c r="A35" s="28"/>
      <c r="B35" s="60"/>
      <c r="C35" s="134"/>
      <c r="D35" s="134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61"/>
      <c r="P35" s="28"/>
      <c r="S35" s="44"/>
      <c r="T35" s="44"/>
    </row>
    <row r="36" spans="1:21" s="3" customFormat="1" ht="24.95" customHeight="1" x14ac:dyDescent="0.25">
      <c r="A36" s="28"/>
      <c r="B36" s="60"/>
      <c r="C36" s="134"/>
      <c r="D36" s="134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61"/>
      <c r="P36" s="28"/>
      <c r="S36" s="44"/>
      <c r="T36" s="44"/>
    </row>
    <row r="37" spans="1:21" s="3" customFormat="1" ht="24.95" customHeight="1" x14ac:dyDescent="0.25">
      <c r="A37" s="28"/>
      <c r="B37" s="60"/>
      <c r="C37" s="134"/>
      <c r="D37" s="134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61"/>
      <c r="P37" s="28"/>
      <c r="S37" s="44"/>
      <c r="T37" s="44"/>
    </row>
    <row r="38" spans="1:21" s="3" customFormat="1" ht="24.95" customHeight="1" x14ac:dyDescent="0.25">
      <c r="A38" s="28"/>
      <c r="B38" s="60"/>
      <c r="C38" s="134"/>
      <c r="D38" s="134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61"/>
      <c r="P38" s="28"/>
      <c r="S38" s="44"/>
      <c r="T38" s="44"/>
    </row>
    <row r="39" spans="1:21" s="3" customFormat="1" ht="24.95" customHeight="1" x14ac:dyDescent="0.25">
      <c r="A39" s="28"/>
      <c r="B39" s="60"/>
      <c r="C39" s="134"/>
      <c r="D39" s="134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61"/>
      <c r="P39" s="28"/>
      <c r="S39" s="44"/>
      <c r="T39" s="44"/>
    </row>
    <row r="40" spans="1:21" s="3" customFormat="1" ht="24.95" customHeight="1" x14ac:dyDescent="0.25">
      <c r="A40" s="28"/>
      <c r="B40" s="60"/>
      <c r="C40" s="134"/>
      <c r="D40" s="134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61"/>
      <c r="P40" s="28"/>
      <c r="S40" s="44"/>
      <c r="T40" s="44"/>
    </row>
    <row r="41" spans="1:21" s="3" customFormat="1" ht="24.95" customHeight="1" x14ac:dyDescent="0.25">
      <c r="A41" s="28"/>
      <c r="B41" s="60"/>
      <c r="C41" s="134"/>
      <c r="D41" s="134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61"/>
      <c r="P41" s="28"/>
      <c r="S41" s="44"/>
      <c r="T41" s="44"/>
    </row>
    <row r="42" spans="1:21" s="3" customFormat="1" ht="24.95" customHeight="1" x14ac:dyDescent="0.25">
      <c r="A42" s="28"/>
      <c r="B42" s="60"/>
      <c r="C42" s="134"/>
      <c r="D42" s="134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61"/>
      <c r="P42" s="28"/>
      <c r="S42" s="44"/>
      <c r="T42" s="44"/>
    </row>
    <row r="43" spans="1:21" s="3" customFormat="1" ht="24.95" customHeight="1" x14ac:dyDescent="0.25">
      <c r="A43" s="28"/>
      <c r="B43" s="60"/>
      <c r="C43" s="134"/>
      <c r="D43" s="134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61"/>
      <c r="P43" s="28"/>
      <c r="S43" s="44"/>
      <c r="T43" s="44"/>
    </row>
    <row r="44" spans="1:21" s="3" customFormat="1" ht="24.95" customHeight="1" x14ac:dyDescent="0.25">
      <c r="A44" s="28"/>
      <c r="B44" s="60"/>
      <c r="C44" s="134"/>
      <c r="D44" s="134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61"/>
      <c r="P44" s="28"/>
      <c r="S44" s="44"/>
      <c r="T44" s="44"/>
    </row>
    <row r="45" spans="1:21" s="3" customFormat="1" ht="15" customHeight="1" thickBot="1" x14ac:dyDescent="0.3">
      <c r="A45" s="28"/>
      <c r="B45" s="62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4"/>
      <c r="P45" s="28"/>
    </row>
    <row r="46" spans="1:21" s="3" customFormat="1" ht="15" customHeight="1" thickBot="1" x14ac:dyDescent="0.3">
      <c r="A46" s="28"/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8"/>
      <c r="P46" s="28"/>
    </row>
    <row r="47" spans="1:21" s="3" customFormat="1" ht="15" customHeight="1" x14ac:dyDescent="0.25">
      <c r="A47" s="28"/>
      <c r="B47" s="56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59"/>
      <c r="P47" s="28"/>
    </row>
    <row r="48" spans="1:21" s="3" customFormat="1" ht="20.100000000000001" customHeight="1" x14ac:dyDescent="0.35">
      <c r="A48" s="28"/>
      <c r="B48" s="60"/>
      <c r="C48" s="54" t="s">
        <v>74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61"/>
      <c r="P48" s="28"/>
    </row>
    <row r="49" spans="1:16" s="3" customFormat="1" ht="15" customHeight="1" x14ac:dyDescent="0.25">
      <c r="A49" s="28"/>
      <c r="B49" s="60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61"/>
      <c r="P49" s="28"/>
    </row>
    <row r="50" spans="1:16" ht="15.75" x14ac:dyDescent="0.25">
      <c r="B50" s="65"/>
      <c r="C50" s="76" t="s">
        <v>41</v>
      </c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1"/>
    </row>
    <row r="51" spans="1:16" ht="8.1" customHeight="1" x14ac:dyDescent="0.25">
      <c r="B51" s="65"/>
      <c r="C51" s="78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1"/>
    </row>
    <row r="52" spans="1:16" x14ac:dyDescent="0.25">
      <c r="B52" s="65"/>
      <c r="C52" s="69"/>
      <c r="D52" s="148" t="str">
        <f ca="1">IFERROR(INDEX(Calc!$F$7:$F$17,COLUMN()-COLUMN(LBO!$C$52)),"")</f>
        <v>2022A</v>
      </c>
      <c r="E52" s="149" t="str">
        <f ca="1">IFERROR(INDEX(Calc!$F$7:$F$17,COLUMN()-COLUMN(LBO!$C$52)),"")</f>
        <v>2023E</v>
      </c>
      <c r="F52" s="148" t="str">
        <f ca="1">IFERROR(INDEX(Calc!$F$7:$F$17,COLUMN()-COLUMN(LBO!$C$52)),"")</f>
        <v>2024E</v>
      </c>
      <c r="G52" s="148" t="str">
        <f ca="1">IFERROR(INDEX(Calc!$F$7:$F$17,COLUMN()-COLUMN(LBO!$C$52)),"")</f>
        <v>2025E</v>
      </c>
      <c r="H52" s="148" t="str">
        <f ca="1">IFERROR(INDEX(Calc!$F$7:$F$17,COLUMN()-COLUMN(LBO!$C$52)),"")</f>
        <v>2026E</v>
      </c>
      <c r="I52" s="148" t="str">
        <f ca="1">IFERROR(INDEX(Calc!$F$7:$F$17,COLUMN()-COLUMN(LBO!$C$52)),"")</f>
        <v>2027E</v>
      </c>
      <c r="J52" s="148" t="str">
        <f ca="1">IFERROR(INDEX(Calc!$F$7:$F$17,COLUMN()-COLUMN(LBO!$C$52)),"")</f>
        <v>2028E</v>
      </c>
      <c r="K52" s="148" t="str">
        <f ca="1">IFERROR(INDEX(Calc!$F$7:$F$17,COLUMN()-COLUMN(LBO!$C$52)),"")</f>
        <v>2029E</v>
      </c>
      <c r="L52" s="148" t="str">
        <f ca="1">IFERROR(INDEX(Calc!$F$7:$F$17,COLUMN()-COLUMN(LBO!$C$52)),"")</f>
        <v>2030E</v>
      </c>
      <c r="M52" s="148" t="str">
        <f ca="1">IFERROR(INDEX(Calc!$F$7:$F$17,COLUMN()-COLUMN(LBO!$C$52)),"")</f>
        <v>2031E</v>
      </c>
      <c r="N52" s="148" t="str">
        <f ca="1">IFERROR(INDEX(Calc!$F$7:$F$17,COLUMN()-COLUMN(LBO!$C$52)),"")</f>
        <v>2032E</v>
      </c>
      <c r="O52" s="71"/>
    </row>
    <row r="53" spans="1:16" x14ac:dyDescent="0.25">
      <c r="B53" s="65"/>
      <c r="C53" s="84" t="s">
        <v>42</v>
      </c>
      <c r="D53" s="150">
        <f>IFERROR(H10,0)</f>
        <v>100000</v>
      </c>
      <c r="E53" s="151">
        <f>IFERROR(D53*(1+LBO!$H$12),0)</f>
        <v>110000.00000000001</v>
      </c>
      <c r="F53" s="150">
        <f>IFERROR(E53*(1+LBO!$H$12),0)</f>
        <v>121000.00000000003</v>
      </c>
      <c r="G53" s="150">
        <f>IFERROR(F53*(1+LBO!$H$12),0)</f>
        <v>133100.00000000003</v>
      </c>
      <c r="H53" s="150">
        <f>IFERROR(G53*(1+LBO!$H$12),0)</f>
        <v>146410.00000000006</v>
      </c>
      <c r="I53" s="150">
        <f>IFERROR(H53*(1+LBO!$H$12),0)</f>
        <v>161051.00000000009</v>
      </c>
      <c r="J53" s="150">
        <f>IFERROR(I53*(1+LBO!$H$12),0)</f>
        <v>177156.10000000012</v>
      </c>
      <c r="K53" s="150">
        <f>IFERROR(J53*(1+LBO!$H$12),0)</f>
        <v>194871.71000000014</v>
      </c>
      <c r="L53" s="150">
        <f>IFERROR(K53*(1+LBO!$H$12),0)</f>
        <v>214358.88100000017</v>
      </c>
      <c r="M53" s="150">
        <f>IFERROR(L53*(1+LBO!$H$12),0)</f>
        <v>235794.76910000021</v>
      </c>
      <c r="N53" s="150">
        <f>IFERROR(M53*(1+LBO!$H$12),0)</f>
        <v>259374.24601000026</v>
      </c>
      <c r="O53" s="71"/>
    </row>
    <row r="54" spans="1:16" x14ac:dyDescent="0.25">
      <c r="B54" s="65"/>
      <c r="C54" s="85" t="s">
        <v>43</v>
      </c>
      <c r="D54" s="152">
        <f>IFERROR(D53*LBO!$H$11,0)</f>
        <v>10000</v>
      </c>
      <c r="E54" s="153">
        <f>IFERROR(E53*LBO!$H$11,0)</f>
        <v>11000.000000000002</v>
      </c>
      <c r="F54" s="152">
        <f>IFERROR(F53*LBO!$H$11,0)</f>
        <v>12100.000000000004</v>
      </c>
      <c r="G54" s="152">
        <f>IFERROR(G53*LBO!$H$11,0)</f>
        <v>13310.000000000004</v>
      </c>
      <c r="H54" s="152">
        <f>IFERROR(H53*LBO!$H$11,0)</f>
        <v>14641.000000000007</v>
      </c>
      <c r="I54" s="152">
        <f>IFERROR(I53*LBO!$H$11,0)</f>
        <v>16105.100000000009</v>
      </c>
      <c r="J54" s="152">
        <f>IFERROR(J53*LBO!$H$11,0)</f>
        <v>17715.610000000011</v>
      </c>
      <c r="K54" s="152">
        <f>IFERROR(K53*LBO!$H$11,0)</f>
        <v>19487.171000000013</v>
      </c>
      <c r="L54" s="152">
        <f>IFERROR(L53*LBO!$H$11,0)</f>
        <v>21435.888100000018</v>
      </c>
      <c r="M54" s="152">
        <f>IFERROR(M53*LBO!$H$11,0)</f>
        <v>23579.476910000023</v>
      </c>
      <c r="N54" s="152">
        <f>IFERROR(N53*LBO!$H$11,0)</f>
        <v>25937.424601000028</v>
      </c>
      <c r="O54" s="71"/>
    </row>
    <row r="55" spans="1:16" x14ac:dyDescent="0.25">
      <c r="B55" s="65"/>
      <c r="C55" s="86" t="s">
        <v>44</v>
      </c>
      <c r="D55" s="152"/>
      <c r="E55" s="153">
        <f>IFERROR(E53*LBO!$H$13,0)</f>
        <v>2200.0000000000005</v>
      </c>
      <c r="F55" s="152">
        <f>IFERROR(F53*LBO!$H$13,0)</f>
        <v>2420.0000000000005</v>
      </c>
      <c r="G55" s="152">
        <f>IFERROR(G53*LBO!$H$13,0)</f>
        <v>2662.0000000000005</v>
      </c>
      <c r="H55" s="152">
        <f>IFERROR(H53*LBO!$H$13,0)</f>
        <v>2928.2000000000012</v>
      </c>
      <c r="I55" s="152">
        <f>IFERROR(I53*LBO!$H$13,0)</f>
        <v>3221.0200000000018</v>
      </c>
      <c r="J55" s="152">
        <f>IFERROR(J53*LBO!$H$13,0)</f>
        <v>3543.1220000000026</v>
      </c>
      <c r="K55" s="152">
        <f>IFERROR(K53*LBO!$H$13,0)</f>
        <v>3897.4342000000029</v>
      </c>
      <c r="L55" s="152">
        <f>IFERROR(L53*LBO!$H$13,0)</f>
        <v>4287.1776200000031</v>
      </c>
      <c r="M55" s="152">
        <f>IFERROR(M53*LBO!$H$13,0)</f>
        <v>4715.8953820000042</v>
      </c>
      <c r="N55" s="152">
        <f>IFERROR(N53*LBO!$H$13,0)</f>
        <v>5187.484920200005</v>
      </c>
      <c r="O55" s="71"/>
    </row>
    <row r="56" spans="1:16" x14ac:dyDescent="0.25">
      <c r="B56" s="65"/>
      <c r="C56" s="85" t="s">
        <v>14</v>
      </c>
      <c r="D56" s="152"/>
      <c r="E56" s="153">
        <f>IFERROR(E54-E55,0)</f>
        <v>8800.0000000000018</v>
      </c>
      <c r="F56" s="152">
        <f t="shared" ref="F56:N56" si="0">IFERROR(F54-F55,0)</f>
        <v>9680.0000000000036</v>
      </c>
      <c r="G56" s="152">
        <f t="shared" si="0"/>
        <v>10648.000000000004</v>
      </c>
      <c r="H56" s="152">
        <f t="shared" si="0"/>
        <v>11712.800000000007</v>
      </c>
      <c r="I56" s="152">
        <f t="shared" si="0"/>
        <v>12884.080000000007</v>
      </c>
      <c r="J56" s="152">
        <f t="shared" si="0"/>
        <v>14172.488000000008</v>
      </c>
      <c r="K56" s="152">
        <f t="shared" si="0"/>
        <v>15589.73680000001</v>
      </c>
      <c r="L56" s="152">
        <f t="shared" si="0"/>
        <v>17148.710480000016</v>
      </c>
      <c r="M56" s="152">
        <f t="shared" si="0"/>
        <v>18863.581528000017</v>
      </c>
      <c r="N56" s="152">
        <f t="shared" si="0"/>
        <v>20749.939680800024</v>
      </c>
      <c r="O56" s="71"/>
    </row>
    <row r="57" spans="1:16" x14ac:dyDescent="0.25">
      <c r="B57" s="65"/>
      <c r="C57" s="86" t="s">
        <v>45</v>
      </c>
      <c r="D57" s="152"/>
      <c r="E57" s="153">
        <f>IFERROR(E69*LBO!$L$11,0)</f>
        <v>2800.0000000000005</v>
      </c>
      <c r="F57" s="152">
        <f>IFERROR(F69*LBO!$L$11,0)</f>
        <v>2502.5000000000005</v>
      </c>
      <c r="G57" s="152">
        <f>IFERROR(G69*LBO!$L$11,0)</f>
        <v>2142.91</v>
      </c>
      <c r="H57" s="152">
        <f>IFERROR(H69*LBO!$L$11,0)</f>
        <v>1713.2099599999997</v>
      </c>
      <c r="I57" s="152">
        <f>IFERROR(I69*LBO!$L$11,0)</f>
        <v>1204.4764177599991</v>
      </c>
      <c r="J57" s="152">
        <f>IFERROR(J69*LBO!$L$11,0)</f>
        <v>606.78646715455864</v>
      </c>
      <c r="K57" s="152">
        <f>IFERROR(K69*LBO!$L$11,0)</f>
        <v>0</v>
      </c>
      <c r="L57" s="152">
        <f>IFERROR(L69*LBO!$L$11,0)</f>
        <v>0</v>
      </c>
      <c r="M57" s="152">
        <f>IFERROR(M69*LBO!$L$11,0)</f>
        <v>0</v>
      </c>
      <c r="N57" s="152">
        <f>IFERROR(N69*LBO!$L$11,0)</f>
        <v>0</v>
      </c>
      <c r="O57" s="71"/>
    </row>
    <row r="58" spans="1:16" x14ac:dyDescent="0.25">
      <c r="B58" s="65"/>
      <c r="C58" s="85" t="s">
        <v>13</v>
      </c>
      <c r="D58" s="152"/>
      <c r="E58" s="153">
        <f>IFERROR(E56-E57,0)</f>
        <v>6000.0000000000018</v>
      </c>
      <c r="F58" s="152">
        <f t="shared" ref="F58:N58" si="1">IFERROR(F56-F57,0)</f>
        <v>7177.5000000000036</v>
      </c>
      <c r="G58" s="152">
        <f t="shared" si="1"/>
        <v>8505.0900000000038</v>
      </c>
      <c r="H58" s="152">
        <f t="shared" si="1"/>
        <v>9999.5900400000064</v>
      </c>
      <c r="I58" s="152">
        <f t="shared" si="1"/>
        <v>11679.603582240008</v>
      </c>
      <c r="J58" s="152">
        <f t="shared" si="1"/>
        <v>13565.701532845449</v>
      </c>
      <c r="K58" s="152">
        <f t="shared" si="1"/>
        <v>15589.73680000001</v>
      </c>
      <c r="L58" s="152">
        <f t="shared" si="1"/>
        <v>17148.710480000016</v>
      </c>
      <c r="M58" s="152">
        <f t="shared" si="1"/>
        <v>18863.581528000017</v>
      </c>
      <c r="N58" s="152">
        <f t="shared" si="1"/>
        <v>20749.939680800024</v>
      </c>
      <c r="O58" s="71"/>
    </row>
    <row r="59" spans="1:16" x14ac:dyDescent="0.25">
      <c r="B59" s="65"/>
      <c r="C59" s="86" t="s">
        <v>46</v>
      </c>
      <c r="D59" s="152"/>
      <c r="E59" s="153">
        <f>IFERROR(E58*LBO!$H$16,0)</f>
        <v>1200.0000000000005</v>
      </c>
      <c r="F59" s="152">
        <f>IFERROR(F58*LBO!$H$16,0)</f>
        <v>1435.5000000000009</v>
      </c>
      <c r="G59" s="152">
        <f>IFERROR(G58*LBO!$H$16,0)</f>
        <v>1701.0180000000009</v>
      </c>
      <c r="H59" s="152">
        <f>IFERROR(H58*LBO!$H$16,0)</f>
        <v>1999.9180080000015</v>
      </c>
      <c r="I59" s="152">
        <f>IFERROR(I58*LBO!$H$16,0)</f>
        <v>2335.9207164480017</v>
      </c>
      <c r="J59" s="152">
        <f>IFERROR(J58*LBO!$H$16,0)</f>
        <v>2713.1403065690902</v>
      </c>
      <c r="K59" s="152">
        <f>IFERROR(K58*LBO!$H$16,0)</f>
        <v>3117.9473600000019</v>
      </c>
      <c r="L59" s="152">
        <f>IFERROR(L58*LBO!$H$16,0)</f>
        <v>3429.7420960000036</v>
      </c>
      <c r="M59" s="152">
        <f>IFERROR(M58*LBO!$H$16,0)</f>
        <v>3772.7163056000036</v>
      </c>
      <c r="N59" s="152">
        <f>IFERROR(N58*LBO!$H$16,0)</f>
        <v>4149.9879361600051</v>
      </c>
      <c r="O59" s="71"/>
    </row>
    <row r="60" spans="1:16" x14ac:dyDescent="0.25">
      <c r="B60" s="65"/>
      <c r="C60" s="85" t="s">
        <v>47</v>
      </c>
      <c r="D60" s="152"/>
      <c r="E60" s="153">
        <f>IFERROR(E58-E59,0)</f>
        <v>4800.0000000000018</v>
      </c>
      <c r="F60" s="152">
        <f t="shared" ref="F60:N60" si="2">IFERROR(F58-F59,0)</f>
        <v>5742.0000000000027</v>
      </c>
      <c r="G60" s="152">
        <f t="shared" si="2"/>
        <v>6804.0720000000028</v>
      </c>
      <c r="H60" s="152">
        <f t="shared" si="2"/>
        <v>7999.6720320000049</v>
      </c>
      <c r="I60" s="152">
        <f t="shared" si="2"/>
        <v>9343.6828657920069</v>
      </c>
      <c r="J60" s="152">
        <f t="shared" si="2"/>
        <v>10852.561226276359</v>
      </c>
      <c r="K60" s="152">
        <f t="shared" si="2"/>
        <v>12471.789440000008</v>
      </c>
      <c r="L60" s="152">
        <f t="shared" si="2"/>
        <v>13718.968384000013</v>
      </c>
      <c r="M60" s="152">
        <f t="shared" si="2"/>
        <v>15090.865222400014</v>
      </c>
      <c r="N60" s="152">
        <f t="shared" si="2"/>
        <v>16599.95174464002</v>
      </c>
      <c r="O60" s="71"/>
    </row>
    <row r="61" spans="1:16" x14ac:dyDescent="0.25">
      <c r="B61" s="65"/>
      <c r="C61" s="86" t="s">
        <v>12</v>
      </c>
      <c r="D61" s="152"/>
      <c r="E61" s="153">
        <f>IFERROR(E53*LBO!$H$13,0)</f>
        <v>2200.0000000000005</v>
      </c>
      <c r="F61" s="152">
        <f>IFERROR(F53*LBO!$H$13,0)</f>
        <v>2420.0000000000005</v>
      </c>
      <c r="G61" s="152">
        <f>IFERROR(G53*LBO!$H$13,0)</f>
        <v>2662.0000000000005</v>
      </c>
      <c r="H61" s="152">
        <f>IFERROR(H53*LBO!$H$13,0)</f>
        <v>2928.2000000000012</v>
      </c>
      <c r="I61" s="152">
        <f>IFERROR(I53*LBO!$H$13,0)</f>
        <v>3221.0200000000018</v>
      </c>
      <c r="J61" s="152">
        <f>IFERROR(J53*LBO!$H$13,0)</f>
        <v>3543.1220000000026</v>
      </c>
      <c r="K61" s="152">
        <f>IFERROR(K53*LBO!$H$13,0)</f>
        <v>3897.4342000000029</v>
      </c>
      <c r="L61" s="152">
        <f>IFERROR(L53*LBO!$H$13,0)</f>
        <v>4287.1776200000031</v>
      </c>
      <c r="M61" s="152">
        <f>IFERROR(M53*LBO!$H$13,0)</f>
        <v>4715.8953820000042</v>
      </c>
      <c r="N61" s="152">
        <f>IFERROR(N53*LBO!$H$13,0)</f>
        <v>5187.484920200005</v>
      </c>
      <c r="O61" s="71"/>
    </row>
    <row r="62" spans="1:16" x14ac:dyDescent="0.25">
      <c r="B62" s="65"/>
      <c r="C62" s="86" t="s">
        <v>48</v>
      </c>
      <c r="D62" s="152"/>
      <c r="E62" s="153">
        <f>IFERROR(E53*LBO!$H$14,0)</f>
        <v>2200.0000000000005</v>
      </c>
      <c r="F62" s="152">
        <f>IFERROR(F53*LBO!$H$14,0)</f>
        <v>2420.0000000000005</v>
      </c>
      <c r="G62" s="152">
        <f>IFERROR(G53*LBO!$H$14,0)</f>
        <v>2662.0000000000005</v>
      </c>
      <c r="H62" s="152">
        <f>IFERROR(H53*LBO!$H$14,0)</f>
        <v>2928.2000000000012</v>
      </c>
      <c r="I62" s="152">
        <f>IFERROR(I53*LBO!$H$14,0)</f>
        <v>3221.0200000000018</v>
      </c>
      <c r="J62" s="152">
        <f>IFERROR(J53*LBO!$H$14,0)</f>
        <v>3543.1220000000026</v>
      </c>
      <c r="K62" s="152">
        <f>IFERROR(K53*LBO!$H$14,0)</f>
        <v>3897.4342000000029</v>
      </c>
      <c r="L62" s="152">
        <f>IFERROR(L53*LBO!$H$14,0)</f>
        <v>4287.1776200000031</v>
      </c>
      <c r="M62" s="152">
        <f>IFERROR(M53*LBO!$H$14,0)</f>
        <v>4715.8953820000042</v>
      </c>
      <c r="N62" s="152">
        <f>IFERROR(N53*LBO!$H$14,0)</f>
        <v>5187.484920200005</v>
      </c>
      <c r="O62" s="71"/>
    </row>
    <row r="63" spans="1:16" ht="15.75" thickBot="1" x14ac:dyDescent="0.3">
      <c r="B63" s="65"/>
      <c r="C63" s="87" t="s">
        <v>49</v>
      </c>
      <c r="D63" s="154"/>
      <c r="E63" s="155">
        <f>IFERROR(E53*LBO!$H$15,0)</f>
        <v>550.00000000000011</v>
      </c>
      <c r="F63" s="154">
        <f>IFERROR(F53*LBO!$H$15,0)</f>
        <v>605.00000000000011</v>
      </c>
      <c r="G63" s="154">
        <f>IFERROR(G53*LBO!$H$15,0)</f>
        <v>665.50000000000011</v>
      </c>
      <c r="H63" s="154">
        <f>IFERROR(H53*LBO!$H$15,0)</f>
        <v>732.0500000000003</v>
      </c>
      <c r="I63" s="154">
        <f>IFERROR(I53*LBO!$H$15,0)</f>
        <v>805.25500000000045</v>
      </c>
      <c r="J63" s="154">
        <f>IFERROR(J53*LBO!$H$15,0)</f>
        <v>885.78050000000064</v>
      </c>
      <c r="K63" s="154">
        <f>IFERROR(K53*LBO!$H$15,0)</f>
        <v>974.35855000000072</v>
      </c>
      <c r="L63" s="154">
        <f>IFERROR(L53*LBO!$H$15,0)</f>
        <v>1071.7944050000008</v>
      </c>
      <c r="M63" s="154">
        <f>IFERROR(M53*LBO!$H$15,0)</f>
        <v>1178.9738455000011</v>
      </c>
      <c r="N63" s="154">
        <f>IFERROR(N53*LBO!$H$15,0)</f>
        <v>1296.8712300500013</v>
      </c>
      <c r="O63" s="71"/>
    </row>
    <row r="64" spans="1:16" x14ac:dyDescent="0.25">
      <c r="B64" s="65"/>
      <c r="C64" s="88" t="s">
        <v>50</v>
      </c>
      <c r="D64" s="156"/>
      <c r="E64" s="157">
        <f>IFERROR(E60+E61-E62-E63,0)</f>
        <v>4250.0000000000018</v>
      </c>
      <c r="F64" s="156">
        <f t="shared" ref="F64:N64" si="3">IFERROR(F60+F61-F62-F63,0)</f>
        <v>5137.0000000000036</v>
      </c>
      <c r="G64" s="156">
        <f t="shared" si="3"/>
        <v>6138.5720000000038</v>
      </c>
      <c r="H64" s="156">
        <f t="shared" si="3"/>
        <v>7267.6220320000057</v>
      </c>
      <c r="I64" s="156">
        <f t="shared" si="3"/>
        <v>8538.4278657920058</v>
      </c>
      <c r="J64" s="156">
        <f t="shared" si="3"/>
        <v>9966.7807262763581</v>
      </c>
      <c r="K64" s="156">
        <f t="shared" si="3"/>
        <v>11497.430890000007</v>
      </c>
      <c r="L64" s="156">
        <f t="shared" si="3"/>
        <v>12647.173979000014</v>
      </c>
      <c r="M64" s="156">
        <f t="shared" si="3"/>
        <v>13911.891376900016</v>
      </c>
      <c r="N64" s="156">
        <f t="shared" si="3"/>
        <v>15303.080514590019</v>
      </c>
      <c r="O64" s="71"/>
    </row>
    <row r="65" spans="2:15" x14ac:dyDescent="0.25">
      <c r="B65" s="65"/>
      <c r="C65" s="69"/>
      <c r="D65" s="158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71"/>
    </row>
    <row r="66" spans="2:15" ht="15.75" x14ac:dyDescent="0.25">
      <c r="B66" s="65"/>
      <c r="C66" s="76" t="s">
        <v>51</v>
      </c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71"/>
    </row>
    <row r="67" spans="2:15" ht="8.1" customHeight="1" x14ac:dyDescent="0.25">
      <c r="B67" s="65"/>
      <c r="C67" s="78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71"/>
    </row>
    <row r="68" spans="2:15" x14ac:dyDescent="0.25">
      <c r="B68" s="65"/>
      <c r="C68" s="69"/>
      <c r="D68" s="148" t="str">
        <f ca="1">IFERROR(INDEX(Calc!$F$7:$F$17,COLUMN()-COLUMN(LBO!$C$52)),"")</f>
        <v>2022A</v>
      </c>
      <c r="E68" s="149" t="str">
        <f ca="1">IFERROR(INDEX(Calc!$F$7:$F$17,COLUMN()-COLUMN(LBO!$C$52)),"")</f>
        <v>2023E</v>
      </c>
      <c r="F68" s="148" t="str">
        <f ca="1">IFERROR(INDEX(Calc!$F$7:$F$17,COLUMN()-COLUMN(LBO!$C$52)),"")</f>
        <v>2024E</v>
      </c>
      <c r="G68" s="148" t="str">
        <f ca="1">IFERROR(INDEX(Calc!$F$7:$F$17,COLUMN()-COLUMN(LBO!$C$52)),"")</f>
        <v>2025E</v>
      </c>
      <c r="H68" s="148" t="str">
        <f ca="1">IFERROR(INDEX(Calc!$F$7:$F$17,COLUMN()-COLUMN(LBO!$C$52)),"")</f>
        <v>2026E</v>
      </c>
      <c r="I68" s="148" t="str">
        <f ca="1">IFERROR(INDEX(Calc!$F$7:$F$17,COLUMN()-COLUMN(LBO!$C$52)),"")</f>
        <v>2027E</v>
      </c>
      <c r="J68" s="148" t="str">
        <f ca="1">IFERROR(INDEX(Calc!$F$7:$F$17,COLUMN()-COLUMN(LBO!$C$52)),"")</f>
        <v>2028E</v>
      </c>
      <c r="K68" s="148" t="str">
        <f ca="1">IFERROR(INDEX(Calc!$F$7:$F$17,COLUMN()-COLUMN(LBO!$C$52)),"")</f>
        <v>2029E</v>
      </c>
      <c r="L68" s="148" t="str">
        <f ca="1">IFERROR(INDEX(Calc!$F$7:$F$17,COLUMN()-COLUMN(LBO!$C$52)),"")</f>
        <v>2030E</v>
      </c>
      <c r="M68" s="148" t="str">
        <f ca="1">IFERROR(INDEX(Calc!$F$7:$F$17,COLUMN()-COLUMN(LBO!$C$52)),"")</f>
        <v>2031E</v>
      </c>
      <c r="N68" s="148" t="str">
        <f ca="1">IFERROR(INDEX(Calc!$F$7:$F$17,COLUMN()-COLUMN(LBO!$C$52)),"")</f>
        <v>2032E</v>
      </c>
      <c r="O68" s="71"/>
    </row>
    <row r="69" spans="2:15" x14ac:dyDescent="0.25">
      <c r="B69" s="65"/>
      <c r="C69" s="84" t="s">
        <v>52</v>
      </c>
      <c r="D69" s="150"/>
      <c r="E69" s="151">
        <f>IFERROR(D72,0)</f>
        <v>40000</v>
      </c>
      <c r="F69" s="150">
        <f t="shared" ref="F69:N69" si="4">IFERROR(E72,0)</f>
        <v>35750</v>
      </c>
      <c r="G69" s="150">
        <f t="shared" si="4"/>
        <v>30612.999999999996</v>
      </c>
      <c r="H69" s="150">
        <f t="shared" si="4"/>
        <v>24474.427999999993</v>
      </c>
      <c r="I69" s="150">
        <f t="shared" si="4"/>
        <v>17206.805967999986</v>
      </c>
      <c r="J69" s="150">
        <f t="shared" si="4"/>
        <v>8668.3781022079802</v>
      </c>
      <c r="K69" s="150">
        <f t="shared" si="4"/>
        <v>0</v>
      </c>
      <c r="L69" s="150">
        <f t="shared" si="4"/>
        <v>0</v>
      </c>
      <c r="M69" s="150">
        <f t="shared" si="4"/>
        <v>0</v>
      </c>
      <c r="N69" s="150">
        <f t="shared" si="4"/>
        <v>0</v>
      </c>
      <c r="O69" s="71"/>
    </row>
    <row r="70" spans="2:15" x14ac:dyDescent="0.25">
      <c r="B70" s="65"/>
      <c r="C70" s="133" t="s">
        <v>99</v>
      </c>
      <c r="D70" s="152"/>
      <c r="E70" s="153">
        <f>IFERROR(IF(OR($L$12="No",$L$12=""),0,IF(E69=0,0,$L$10/Calc!$I$17)),0)</f>
        <v>4000</v>
      </c>
      <c r="F70" s="152">
        <f>IFERROR(IF(OR($L$12="No",$L$12=""),0,IF(F69=0,0,$L$10/Calc!$I$17)),0)</f>
        <v>4000</v>
      </c>
      <c r="G70" s="152">
        <f>IFERROR(IF(OR($L$12="No",$L$12=""),0,IF(G69=0,0,$L$10/Calc!$I$17)),0)</f>
        <v>4000</v>
      </c>
      <c r="H70" s="152">
        <f>IFERROR(IF(OR($L$12="No",$L$12=""),0,IF(H69=0,0,$L$10/Calc!$I$17)),0)</f>
        <v>4000</v>
      </c>
      <c r="I70" s="152">
        <f>IFERROR(IF(OR($L$12="No",$L$12=""),0,IF(I69=0,0,$L$10/Calc!$I$17)),0)</f>
        <v>4000</v>
      </c>
      <c r="J70" s="152">
        <f>IFERROR(IF(OR($L$12="No",$L$12=""),0,IF(J69=0,0,$L$10/Calc!$I$17)),0)</f>
        <v>4000</v>
      </c>
      <c r="K70" s="152">
        <f>IFERROR(IF(OR($L$12="No",$L$12=""),0,IF(K69=0,0,$L$10/Calc!$I$17)),0)</f>
        <v>0</v>
      </c>
      <c r="L70" s="152">
        <f>IFERROR(IF(OR($L$12="No",$L$12=""),0,IF(L69=0,0,$L$10/Calc!$I$17)),0)</f>
        <v>0</v>
      </c>
      <c r="M70" s="152">
        <f>IFERROR(IF(OR($L$12="No",$L$12=""),0,IF(M69=0,0,$L$10/Calc!$I$17)),0)</f>
        <v>0</v>
      </c>
      <c r="N70" s="152">
        <f>IFERROR(IF(OR($L$12="No",$L$12=""),0,IF(N69=0,0,$L$10/Calc!$I$17)),0)</f>
        <v>0</v>
      </c>
      <c r="O70" s="71"/>
    </row>
    <row r="71" spans="2:15" ht="15.75" thickBot="1" x14ac:dyDescent="0.3">
      <c r="B71" s="65"/>
      <c r="C71" s="87" t="s">
        <v>53</v>
      </c>
      <c r="D71" s="154"/>
      <c r="E71" s="155">
        <f>IFERROR(IF(LBO!$L$14="No",0,MAX(0,MIN(E64-E70,E69-E70))),0)</f>
        <v>250.00000000000182</v>
      </c>
      <c r="F71" s="154">
        <f>IFERROR(IF(LBO!$L$14="No",0,MAX(0,MIN(F64-F70,F69-F70))),0)</f>
        <v>1137.0000000000036</v>
      </c>
      <c r="G71" s="154">
        <f>IFERROR(IF(LBO!$L$14="No",0,MAX(0,MIN(G64-G70,G69-G70))),0)</f>
        <v>2138.5720000000038</v>
      </c>
      <c r="H71" s="154">
        <f>IFERROR(IF(LBO!$L$14="No",0,MAX(0,MIN(H64-H70,H69-H70))),0)</f>
        <v>3267.6220320000057</v>
      </c>
      <c r="I71" s="154">
        <f>IFERROR(IF(LBO!$L$14="No",0,MAX(0,MIN(I64-I70,I69-I70))),0)</f>
        <v>4538.4278657920058</v>
      </c>
      <c r="J71" s="154">
        <f>IFERROR(IF(LBO!$L$14="No",0,MAX(0,MIN(J64-J70,J69-J70))),0)</f>
        <v>4668.3781022079802</v>
      </c>
      <c r="K71" s="154">
        <f>IFERROR(IF(LBO!$L$14="No",0,MAX(0,MIN(K64-K70,K69-K70))),0)</f>
        <v>0</v>
      </c>
      <c r="L71" s="154">
        <f>IFERROR(IF(LBO!$L$14="No",0,MAX(0,MIN(L64-L70,L69-L70))),0)</f>
        <v>0</v>
      </c>
      <c r="M71" s="154">
        <f>IFERROR(IF(LBO!$L$14="No",0,MAX(0,MIN(M64-M70,M69-M70))),0)</f>
        <v>0</v>
      </c>
      <c r="N71" s="154">
        <f>IFERROR(IF(LBO!$L$14="No",0,MAX(0,MIN(N64-N70,N69-N70))),0)</f>
        <v>0</v>
      </c>
      <c r="O71" s="71"/>
    </row>
    <row r="72" spans="2:15" x14ac:dyDescent="0.25">
      <c r="B72" s="65"/>
      <c r="C72" s="88" t="s">
        <v>77</v>
      </c>
      <c r="D72" s="156">
        <f>IFERROR(Calc!I8,0)</f>
        <v>40000</v>
      </c>
      <c r="E72" s="157">
        <f>IFERROR(IF((E69-E70-E71)&lt;0,0,E69-E70-E71),0)</f>
        <v>35750</v>
      </c>
      <c r="F72" s="156">
        <f t="shared" ref="F72:N72" si="5">IFERROR(IF((F69-F70-F71)&lt;0,0,F69-F70-F71),0)</f>
        <v>30612.999999999996</v>
      </c>
      <c r="G72" s="156">
        <f t="shared" si="5"/>
        <v>24474.427999999993</v>
      </c>
      <c r="H72" s="156">
        <f t="shared" si="5"/>
        <v>17206.805967999986</v>
      </c>
      <c r="I72" s="156">
        <f t="shared" si="5"/>
        <v>8668.3781022079802</v>
      </c>
      <c r="J72" s="156">
        <f t="shared" si="5"/>
        <v>0</v>
      </c>
      <c r="K72" s="156">
        <f t="shared" si="5"/>
        <v>0</v>
      </c>
      <c r="L72" s="156">
        <f t="shared" si="5"/>
        <v>0</v>
      </c>
      <c r="M72" s="156">
        <f t="shared" si="5"/>
        <v>0</v>
      </c>
      <c r="N72" s="156">
        <f t="shared" si="5"/>
        <v>0</v>
      </c>
      <c r="O72" s="71"/>
    </row>
    <row r="73" spans="2:15" ht="15.75" thickBot="1" x14ac:dyDescent="0.3">
      <c r="B73" s="72"/>
      <c r="C73" s="73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5"/>
    </row>
    <row r="74" spans="2:15" ht="7.35" customHeight="1" x14ac:dyDescent="0.25"/>
    <row r="75" spans="2:15" ht="23.1" customHeight="1" x14ac:dyDescent="0.25"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</row>
  </sheetData>
  <sheetProtection algorithmName="SHA-512" hashValue="kwo7omC4xsXbJEUmb6ceJee/+I8wdGOe+fgc4DFJ979UKz+V6rivFSYMqtYsdMas/ihDx2yGWmMwuTgWhNjtTw==" saltValue="AmFtA1gnWFP6Zb10XzqRpw==" spinCount="100000" sheet="1" objects="1" scenarios="1"/>
  <conditionalFormatting sqref="E64:N64">
    <cfRule type="expression" dxfId="1" priority="5">
      <formula>E$64&lt;E$70</formula>
    </cfRule>
  </conditionalFormatting>
  <dataValidations count="2">
    <dataValidation type="list" allowBlank="1" showInputMessage="1" showErrorMessage="1" sqref="L14 L12" xr:uid="{56FE6979-641B-4E20-9D85-FE35F4808964}">
      <formula1>"Yes,No"</formula1>
    </dataValidation>
    <dataValidation type="decimal" operator="greaterThan" allowBlank="1" showInputMessage="1" showErrorMessage="1" error="Please input a number greated than zero." sqref="D12 D14 L10 H10" xr:uid="{4A898E18-5E53-48DB-8A7C-3503A3B12786}">
      <formula1>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53" orientation="portrait" r:id="rId1"/>
  <ignoredErrors>
    <ignoredError sqref="E57:N57 E59:N59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38D33D0-5FD0-46A2-8BC8-7DC071687FB4}">
            <xm:f>COLUMN(F24)-COLUMN($D$52)&gt;Calc!$I$16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F50:N72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Please select a time frame from one year to ten years." xr:uid="{D98C39F0-DA35-4387-9D6A-3B5FED0DA28B}">
          <x14:formula1>
            <xm:f>Calc!$B$8:$B$17</xm:f>
          </x14:formula1>
          <xm:sqref>D15</xm:sqref>
        </x14:dataValidation>
        <x14:dataValidation type="list" allowBlank="1" showInputMessage="1" showErrorMessage="1" xr:uid="{6CC7E6D4-FF4F-4463-B07E-602DCA29D749}">
          <x14:formula1>
            <xm:f>Calc!$B$8:$B$27</xm:f>
          </x14:formula1>
          <xm:sqref>L13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F014-20ED-4566-8D75-41FECBF3C3F6}">
  <dimension ref="B6:AD27"/>
  <sheetViews>
    <sheetView showGridLines="0" showRowColHeaders="0" workbookViewId="0">
      <pane ySplit="6" topLeftCell="A7" activePane="bottomLeft" state="frozen"/>
      <selection activeCell="B1" sqref="B1"/>
      <selection pane="bottomLeft" activeCell="A7" sqref="A7"/>
    </sheetView>
  </sheetViews>
  <sheetFormatPr defaultRowHeight="15" x14ac:dyDescent="0.25"/>
  <cols>
    <col min="1" max="1" width="9.140625" style="49"/>
    <col min="2" max="2" width="13.85546875" style="49" customWidth="1"/>
    <col min="3" max="4" width="9.140625" style="49"/>
    <col min="5" max="5" width="12.140625" style="49" customWidth="1"/>
    <col min="6" max="6" width="9.140625" style="49"/>
    <col min="7" max="7" width="5.7109375" style="49" customWidth="1"/>
    <col min="8" max="8" width="35.42578125" style="49" customWidth="1"/>
    <col min="9" max="9" width="9.140625" style="49"/>
    <col min="10" max="10" width="5.7109375" style="49" customWidth="1"/>
    <col min="11" max="11" width="25" style="49" customWidth="1"/>
    <col min="12" max="21" width="12.7109375" style="49" customWidth="1"/>
    <col min="22" max="22" width="5.7109375" style="49" customWidth="1"/>
    <col min="23" max="23" width="13.28515625" style="49" customWidth="1"/>
    <col min="24" max="27" width="15.7109375" style="49" customWidth="1"/>
    <col min="28" max="28" width="19" style="49" customWidth="1"/>
    <col min="29" max="29" width="16.7109375" style="49" customWidth="1"/>
    <col min="30" max="30" width="15.7109375" style="49" customWidth="1"/>
    <col min="31" max="16384" width="9.140625" style="49"/>
  </cols>
  <sheetData>
    <row r="6" spans="2:30" x14ac:dyDescent="0.25">
      <c r="B6" s="93" t="s">
        <v>66</v>
      </c>
      <c r="C6" s="94"/>
      <c r="D6" s="94"/>
      <c r="E6" s="94"/>
      <c r="F6" s="95"/>
      <c r="H6" s="99" t="s">
        <v>65</v>
      </c>
      <c r="I6" s="100"/>
      <c r="K6" s="96" t="s">
        <v>81</v>
      </c>
      <c r="L6" s="94"/>
      <c r="M6" s="94"/>
      <c r="N6" s="94"/>
      <c r="O6" s="94"/>
      <c r="P6" s="94"/>
      <c r="Q6" s="94"/>
      <c r="R6" s="94"/>
      <c r="S6" s="94"/>
      <c r="T6" s="94"/>
      <c r="U6" s="95"/>
      <c r="W6" s="99" t="s">
        <v>67</v>
      </c>
      <c r="X6" s="110"/>
      <c r="Y6" s="110"/>
      <c r="Z6" s="110"/>
      <c r="AA6" s="110"/>
      <c r="AB6" s="110"/>
      <c r="AC6" s="110"/>
      <c r="AD6" s="100"/>
    </row>
    <row r="7" spans="2:30" x14ac:dyDescent="0.25">
      <c r="B7" s="142" t="s">
        <v>106</v>
      </c>
      <c r="C7" s="90">
        <v>0</v>
      </c>
      <c r="D7" s="90" t="str">
        <f>"Year "&amp;C7</f>
        <v>Year 0</v>
      </c>
      <c r="E7" s="90">
        <f ca="1">IFERROR(IF(LEN(LBO!$D$11)=0,YEAR(TODAY())+C7,LBO!$D$11+C7),Calc!D7)</f>
        <v>2022</v>
      </c>
      <c r="F7" s="90" t="str">
        <f ca="1">E7&amp;"A"</f>
        <v>2022A</v>
      </c>
      <c r="H7" s="97" t="s">
        <v>36</v>
      </c>
      <c r="I7" s="98"/>
      <c r="K7" s="92"/>
      <c r="L7" s="102">
        <v>1</v>
      </c>
      <c r="M7" s="102">
        <v>2</v>
      </c>
      <c r="N7" s="102">
        <v>3</v>
      </c>
      <c r="O7" s="102">
        <v>4</v>
      </c>
      <c r="P7" s="102">
        <v>5</v>
      </c>
      <c r="Q7" s="102">
        <v>6</v>
      </c>
      <c r="R7" s="102">
        <v>7</v>
      </c>
      <c r="S7" s="102">
        <v>8</v>
      </c>
      <c r="T7" s="102">
        <v>9</v>
      </c>
      <c r="U7" s="102">
        <v>10</v>
      </c>
      <c r="W7" s="90" t="s">
        <v>59</v>
      </c>
      <c r="X7" s="90" t="s">
        <v>60</v>
      </c>
      <c r="Y7" s="90" t="s">
        <v>54</v>
      </c>
      <c r="Z7" s="90" t="s">
        <v>62</v>
      </c>
      <c r="AA7" s="90" t="s">
        <v>100</v>
      </c>
      <c r="AB7" s="90" t="s">
        <v>103</v>
      </c>
      <c r="AC7" s="90" t="s">
        <v>101</v>
      </c>
      <c r="AD7" s="90" t="s">
        <v>102</v>
      </c>
    </row>
    <row r="8" spans="2:30" x14ac:dyDescent="0.25">
      <c r="B8" s="90" t="s">
        <v>27</v>
      </c>
      <c r="C8" s="90">
        <v>1</v>
      </c>
      <c r="D8" s="90" t="str">
        <f t="shared" ref="D8:D17" si="0">"Year "&amp;C8</f>
        <v>Year 1</v>
      </c>
      <c r="E8" s="90">
        <f ca="1">IFERROR(IF(LEN(LBO!$D$11)=0,YEAR(TODAY())+C8,LBO!$D$11+C8),Calc!D8)</f>
        <v>2023</v>
      </c>
      <c r="F8" s="90" t="str">
        <f t="shared" ref="F8:F17" ca="1" si="1">E8&amp;"E"</f>
        <v>2023E</v>
      </c>
      <c r="H8" s="92" t="s">
        <v>78</v>
      </c>
      <c r="I8" s="101">
        <f>IFERROR(LBO!L10,"")</f>
        <v>40000</v>
      </c>
      <c r="K8" s="92"/>
      <c r="L8" s="90" t="str">
        <f t="shared" ref="L8:U8" si="2">"Year "&amp;L7</f>
        <v>Year 1</v>
      </c>
      <c r="M8" s="90" t="str">
        <f t="shared" si="2"/>
        <v>Year 2</v>
      </c>
      <c r="N8" s="90" t="str">
        <f t="shared" si="2"/>
        <v>Year 3</v>
      </c>
      <c r="O8" s="90" t="str">
        <f t="shared" si="2"/>
        <v>Year 4</v>
      </c>
      <c r="P8" s="90" t="str">
        <f t="shared" si="2"/>
        <v>Year 5</v>
      </c>
      <c r="Q8" s="90" t="str">
        <f t="shared" si="2"/>
        <v>Year 6</v>
      </c>
      <c r="R8" s="90" t="str">
        <f t="shared" si="2"/>
        <v>Year 7</v>
      </c>
      <c r="S8" s="90" t="str">
        <f t="shared" si="2"/>
        <v>Year 8</v>
      </c>
      <c r="T8" s="90" t="str">
        <f t="shared" si="2"/>
        <v>Year 9</v>
      </c>
      <c r="U8" s="90" t="str">
        <f t="shared" si="2"/>
        <v>Year 10</v>
      </c>
      <c r="W8" s="90">
        <v>1</v>
      </c>
      <c r="X8" s="90">
        <f t="shared" ref="X8:X17" ca="1" si="3">IFERROR(IF(W8&gt;$I$16,"",INDEX($E$8:$E$17,W8)),"")</f>
        <v>2023</v>
      </c>
      <c r="Y8" s="103">
        <f>IFERROR(IF(W8&gt;$I$16,"",INDEX(LBO!$E$72:$N$72,W8)),"")</f>
        <v>35750</v>
      </c>
      <c r="Z8" s="111">
        <f>IFERROR(IF(W8&gt;$I$16,"",INDEX($L$11:$U$11,W8)/INDEX($L$10:$U$10,W8)),0)</f>
        <v>3.2499999999999996</v>
      </c>
      <c r="AA8" s="136">
        <f>IFERROR(IF(W8&gt;$I$16,"",INDEX(LBO!$E$64:$N$64,W8)),"")</f>
        <v>4250.0000000000018</v>
      </c>
      <c r="AB8" s="103">
        <f>IFERROR(IF(W8&gt;$I$16,"",INDEX(LBO!$E$70:$N$70,W8)+INDEX(LBO!$E$71:$N$71,W8)),"")</f>
        <v>4250.0000000000018</v>
      </c>
      <c r="AC8" s="103">
        <f>IFERROR(IF(W8&gt;$I$16,"",INDEX(LBO!$E$57:$N$57,W8)),"")</f>
        <v>2800.0000000000005</v>
      </c>
      <c r="AD8" s="103">
        <f>IFERROR(IF(W8&gt;$I$16,"",AB8+AC8),"")</f>
        <v>7050.0000000000018</v>
      </c>
    </row>
    <row r="9" spans="2:30" x14ac:dyDescent="0.25">
      <c r="B9" s="90" t="s">
        <v>28</v>
      </c>
      <c r="C9" s="90">
        <v>2</v>
      </c>
      <c r="D9" s="90" t="str">
        <f t="shared" si="0"/>
        <v>Year 2</v>
      </c>
      <c r="E9" s="90">
        <f ca="1">IFERROR(IF(LEN(LBO!$D$11)=0,YEAR(TODAY())+C9,LBO!$D$11+C9),Calc!D9)</f>
        <v>2024</v>
      </c>
      <c r="F9" s="90" t="str">
        <f t="shared" ca="1" si="1"/>
        <v>2024E</v>
      </c>
      <c r="H9" s="92" t="s">
        <v>79</v>
      </c>
      <c r="I9" s="101">
        <f>IFERROR(I10-I8,"")</f>
        <v>64000</v>
      </c>
      <c r="K9" s="92" t="s">
        <v>63</v>
      </c>
      <c r="L9" s="103">
        <f>IFERROR(LBO!E53,"")</f>
        <v>110000.00000000001</v>
      </c>
      <c r="M9" s="103">
        <f>IFERROR(LBO!F53,"")</f>
        <v>121000.00000000003</v>
      </c>
      <c r="N9" s="103">
        <f>IFERROR(LBO!G53,"")</f>
        <v>133100.00000000003</v>
      </c>
      <c r="O9" s="103">
        <f>IFERROR(LBO!H53,"")</f>
        <v>146410.00000000006</v>
      </c>
      <c r="P9" s="103">
        <f>IFERROR(LBO!I53,"")</f>
        <v>161051.00000000009</v>
      </c>
      <c r="Q9" s="103">
        <f>IFERROR(LBO!J53,"")</f>
        <v>177156.10000000012</v>
      </c>
      <c r="R9" s="103">
        <f>IFERROR(LBO!K53,"")</f>
        <v>194871.71000000014</v>
      </c>
      <c r="S9" s="103">
        <f>IFERROR(LBO!L53,"")</f>
        <v>214358.88100000017</v>
      </c>
      <c r="T9" s="103">
        <f>IFERROR(LBO!M53,"")</f>
        <v>235794.76910000021</v>
      </c>
      <c r="U9" s="103">
        <f>IFERROR(LBO!N53,"")</f>
        <v>259374.24601000026</v>
      </c>
      <c r="W9" s="90">
        <v>2</v>
      </c>
      <c r="X9" s="90">
        <f t="shared" ca="1" si="3"/>
        <v>2024</v>
      </c>
      <c r="Y9" s="103">
        <f>IFERROR(IF(W9&gt;$I$16,"",INDEX(LBO!$E$72:$N$72,W9)),"")</f>
        <v>30612.999999999996</v>
      </c>
      <c r="Z9" s="111">
        <f t="shared" ref="Z9:Z17" si="4">IFERROR(IF(W9&gt;$I$16,"",INDEX($L$11:$U$11,W9)/INDEX($L$10:$U$10,W9)),0)</f>
        <v>2.5299999999999989</v>
      </c>
      <c r="AA9" s="136">
        <f>IFERROR(IF(W9&gt;$I$16,"",INDEX(LBO!$E$64:$N$64,W9)),"")</f>
        <v>5137.0000000000036</v>
      </c>
      <c r="AB9" s="103">
        <f>IFERROR(IF(W9&gt;$I$16,"",INDEX(LBO!$E$70:$N$70,W9)+INDEX(LBO!$E$71:$N$71,W9)),"")</f>
        <v>5137.0000000000036</v>
      </c>
      <c r="AC9" s="103">
        <f>IFERROR(IF(W9&gt;$I$16,"",INDEX(LBO!$E$57:$N$57,W9)),"")</f>
        <v>2502.5000000000005</v>
      </c>
      <c r="AD9" s="103">
        <f t="shared" ref="AD9:AD17" si="5">IFERROR(IF(W9&gt;$I$16,"",AB9+AC9),"")</f>
        <v>7639.5000000000036</v>
      </c>
    </row>
    <row r="10" spans="2:30" x14ac:dyDescent="0.25">
      <c r="B10" s="90" t="s">
        <v>29</v>
      </c>
      <c r="C10" s="90">
        <v>3</v>
      </c>
      <c r="D10" s="90" t="str">
        <f t="shared" si="0"/>
        <v>Year 3</v>
      </c>
      <c r="E10" s="90">
        <f ca="1">IFERROR(IF(LEN(LBO!$D$11)=0,YEAR(TODAY())+C10,LBO!$D$11+C10),Calc!D10)</f>
        <v>2025</v>
      </c>
      <c r="F10" s="90" t="str">
        <f t="shared" ca="1" si="1"/>
        <v>2025E</v>
      </c>
      <c r="H10" s="92" t="s">
        <v>39</v>
      </c>
      <c r="I10" s="101">
        <f>IFERROR(I14,"")</f>
        <v>104000</v>
      </c>
      <c r="K10" s="92" t="s">
        <v>43</v>
      </c>
      <c r="L10" s="103">
        <f>IFERROR(LBO!E54,"")</f>
        <v>11000.000000000002</v>
      </c>
      <c r="M10" s="103">
        <f>IFERROR(LBO!F54,"")</f>
        <v>12100.000000000004</v>
      </c>
      <c r="N10" s="103">
        <f>IFERROR(LBO!G54,"")</f>
        <v>13310.000000000004</v>
      </c>
      <c r="O10" s="103">
        <f>IFERROR(LBO!H54,"")</f>
        <v>14641.000000000007</v>
      </c>
      <c r="P10" s="103">
        <f>IFERROR(LBO!I54,"")</f>
        <v>16105.100000000009</v>
      </c>
      <c r="Q10" s="103">
        <f>IFERROR(LBO!J54,"")</f>
        <v>17715.610000000011</v>
      </c>
      <c r="R10" s="103">
        <f>IFERROR(LBO!K54,"")</f>
        <v>19487.171000000013</v>
      </c>
      <c r="S10" s="103">
        <f>IFERROR(LBO!L54,"")</f>
        <v>21435.888100000018</v>
      </c>
      <c r="T10" s="103">
        <f>IFERROR(LBO!M54,"")</f>
        <v>23579.476910000023</v>
      </c>
      <c r="U10" s="103">
        <f>IFERROR(LBO!N54,"")</f>
        <v>25937.424601000028</v>
      </c>
      <c r="W10" s="90">
        <v>3</v>
      </c>
      <c r="X10" s="90">
        <f t="shared" ca="1" si="3"/>
        <v>2025</v>
      </c>
      <c r="Y10" s="103">
        <f>IFERROR(IF(W10&gt;$I$16,"",INDEX(LBO!$E$72:$N$72,W10)),"")</f>
        <v>24474.427999999993</v>
      </c>
      <c r="Z10" s="111">
        <f t="shared" si="4"/>
        <v>1.8387999999999989</v>
      </c>
      <c r="AA10" s="136">
        <f>IFERROR(IF(W10&gt;$I$16,"",INDEX(LBO!$E$64:$N$64,W10)),"")</f>
        <v>6138.5720000000038</v>
      </c>
      <c r="AB10" s="103">
        <f>IFERROR(IF(W10&gt;$I$16,"",INDEX(LBO!$E$70:$N$70,W10)+INDEX(LBO!$E$71:$N$71,W10)),"")</f>
        <v>6138.5720000000038</v>
      </c>
      <c r="AC10" s="103">
        <f>IFERROR(IF(W10&gt;$I$16,"",INDEX(LBO!$E$57:$N$57,W10)),"")</f>
        <v>2142.91</v>
      </c>
      <c r="AD10" s="103">
        <f t="shared" si="5"/>
        <v>8281.4820000000036</v>
      </c>
    </row>
    <row r="11" spans="2:30" x14ac:dyDescent="0.25">
      <c r="B11" s="90" t="s">
        <v>30</v>
      </c>
      <c r="C11" s="90">
        <v>4</v>
      </c>
      <c r="D11" s="90" t="str">
        <f t="shared" si="0"/>
        <v>Year 4</v>
      </c>
      <c r="E11" s="90">
        <f ca="1">IFERROR(IF(LEN(LBO!$D$11)=0,YEAR(TODAY())+C11,LBO!$D$11+C11),Calc!D11)</f>
        <v>2026</v>
      </c>
      <c r="F11" s="90" t="str">
        <f t="shared" ca="1" si="1"/>
        <v>2026E</v>
      </c>
      <c r="H11" s="97" t="s">
        <v>37</v>
      </c>
      <c r="I11" s="98"/>
      <c r="K11" s="92" t="s">
        <v>64</v>
      </c>
      <c r="L11" s="103">
        <f>IFERROR(LBO!E72,"")</f>
        <v>35750</v>
      </c>
      <c r="M11" s="103">
        <f>IFERROR(LBO!F72,"")</f>
        <v>30612.999999999996</v>
      </c>
      <c r="N11" s="103">
        <f>IFERROR(LBO!G72,"")</f>
        <v>24474.427999999993</v>
      </c>
      <c r="O11" s="103">
        <f>IFERROR(LBO!H72,"")</f>
        <v>17206.805967999986</v>
      </c>
      <c r="P11" s="103">
        <f>IFERROR(LBO!I72,"")</f>
        <v>8668.3781022079802</v>
      </c>
      <c r="Q11" s="103">
        <f>IFERROR(LBO!J72,"")</f>
        <v>0</v>
      </c>
      <c r="R11" s="103">
        <f>IFERROR(LBO!K72,"")</f>
        <v>0</v>
      </c>
      <c r="S11" s="103">
        <f>IFERROR(LBO!L72,"")</f>
        <v>0</v>
      </c>
      <c r="T11" s="103">
        <f>IFERROR(LBO!M72,"")</f>
        <v>0</v>
      </c>
      <c r="U11" s="103">
        <f>IFERROR(LBO!N72,"")</f>
        <v>0</v>
      </c>
      <c r="W11" s="90">
        <v>4</v>
      </c>
      <c r="X11" s="90">
        <f t="shared" ca="1" si="3"/>
        <v>2026</v>
      </c>
      <c r="Y11" s="103">
        <f>IFERROR(IF(W11&gt;$I$16,"",INDEX(LBO!$E$72:$N$72,W11)),"")</f>
        <v>17206.805967999986</v>
      </c>
      <c r="Z11" s="111">
        <f t="shared" si="4"/>
        <v>1.1752479999999985</v>
      </c>
      <c r="AA11" s="136">
        <f>IFERROR(IF(W11&gt;$I$16,"",INDEX(LBO!$E$64:$N$64,W11)),"")</f>
        <v>7267.6220320000057</v>
      </c>
      <c r="AB11" s="103">
        <f>IFERROR(IF(W11&gt;$I$16,"",INDEX(LBO!$E$70:$N$70,W11)+INDEX(LBO!$E$71:$N$71,W11)),"")</f>
        <v>7267.6220320000057</v>
      </c>
      <c r="AC11" s="103">
        <f>IFERROR(IF(W11&gt;$I$16,"",INDEX(LBO!$E$57:$N$57,W11)),"")</f>
        <v>1713.2099599999997</v>
      </c>
      <c r="AD11" s="103">
        <f t="shared" si="5"/>
        <v>8980.8319920000049</v>
      </c>
    </row>
    <row r="12" spans="2:30" x14ac:dyDescent="0.25">
      <c r="B12" s="90" t="s">
        <v>26</v>
      </c>
      <c r="C12" s="90">
        <v>5</v>
      </c>
      <c r="D12" s="90" t="str">
        <f t="shared" si="0"/>
        <v>Year 5</v>
      </c>
      <c r="E12" s="90">
        <f ca="1">IFERROR(IF(LEN(LBO!$D$11)=0,YEAR(TODAY())+C12,LBO!$D$11+C12),Calc!D12)</f>
        <v>2027</v>
      </c>
      <c r="F12" s="90" t="str">
        <f t="shared" ca="1" si="1"/>
        <v>2027E</v>
      </c>
      <c r="H12" s="92" t="s">
        <v>38</v>
      </c>
      <c r="I12" s="101">
        <f>IFERROR(LBO!D12*LBO!H10*LBO!H11,0)</f>
        <v>100000</v>
      </c>
      <c r="K12" s="104" t="s">
        <v>55</v>
      </c>
      <c r="L12" s="105">
        <f>IFERROR(L10*LBO!$D$14,"")</f>
        <v>110000.00000000001</v>
      </c>
      <c r="M12" s="105">
        <f>IFERROR(M10*LBO!$D$14,"")</f>
        <v>121000.00000000003</v>
      </c>
      <c r="N12" s="105">
        <f>IFERROR(N10*LBO!$D$14,"")</f>
        <v>133100.00000000003</v>
      </c>
      <c r="O12" s="105">
        <f>IFERROR(O10*LBO!$D$14,"")</f>
        <v>146410.00000000006</v>
      </c>
      <c r="P12" s="105">
        <f>IFERROR(P10*LBO!$D$14,"")</f>
        <v>161051.00000000009</v>
      </c>
      <c r="Q12" s="105">
        <f>IFERROR(Q10*LBO!$D$14,"")</f>
        <v>177156.10000000012</v>
      </c>
      <c r="R12" s="105">
        <f>IFERROR(R10*LBO!$D$14,"")</f>
        <v>194871.71000000014</v>
      </c>
      <c r="S12" s="105">
        <f>IFERROR(S10*LBO!$D$14,"")</f>
        <v>214358.88100000017</v>
      </c>
      <c r="T12" s="105">
        <f>IFERROR(T10*LBO!$D$14,"")</f>
        <v>235794.76910000024</v>
      </c>
      <c r="U12" s="105">
        <f>IFERROR(U10*LBO!$D$14,"")</f>
        <v>259374.24601000029</v>
      </c>
      <c r="W12" s="90">
        <v>5</v>
      </c>
      <c r="X12" s="90">
        <f t="shared" ca="1" si="3"/>
        <v>2027</v>
      </c>
      <c r="Y12" s="103">
        <f>IFERROR(IF(W12&gt;$I$16,"",INDEX(LBO!$E$72:$N$72,W12)),"")</f>
        <v>8668.3781022079802</v>
      </c>
      <c r="Z12" s="111">
        <f t="shared" si="4"/>
        <v>0.53823807999999851</v>
      </c>
      <c r="AA12" s="136">
        <f>IFERROR(IF(W12&gt;$I$16,"",INDEX(LBO!$E$64:$N$64,W12)),"")</f>
        <v>8538.4278657920058</v>
      </c>
      <c r="AB12" s="103">
        <f>IFERROR(IF(W12&gt;$I$16,"",INDEX(LBO!$E$70:$N$70,W12)+INDEX(LBO!$E$71:$N$71,W12)),"")</f>
        <v>8538.4278657920058</v>
      </c>
      <c r="AC12" s="103">
        <f>IFERROR(IF(W12&gt;$I$16,"",INDEX(LBO!$E$57:$N$57,W12)),"")</f>
        <v>1204.4764177599991</v>
      </c>
      <c r="AD12" s="103">
        <f t="shared" si="5"/>
        <v>9742.9042835520049</v>
      </c>
    </row>
    <row r="13" spans="2:30" x14ac:dyDescent="0.25">
      <c r="B13" s="90" t="s">
        <v>31</v>
      </c>
      <c r="C13" s="90">
        <v>6</v>
      </c>
      <c r="D13" s="90" t="str">
        <f t="shared" si="0"/>
        <v>Year 6</v>
      </c>
      <c r="E13" s="90">
        <f ca="1">IFERROR(IF(LEN(LBO!$D$11)=0,YEAR(TODAY())+C13,LBO!$D$11+C13),Calc!D13)</f>
        <v>2028</v>
      </c>
      <c r="F13" s="90" t="str">
        <f t="shared" ca="1" si="1"/>
        <v>2028E</v>
      </c>
      <c r="H13" s="92" t="s">
        <v>24</v>
      </c>
      <c r="I13" s="101">
        <f>IFERROR(LBO!D13,"")</f>
        <v>4000</v>
      </c>
      <c r="K13" s="104" t="s">
        <v>56</v>
      </c>
      <c r="L13" s="105">
        <f>IFERROR(L12-L11,"")</f>
        <v>74250.000000000015</v>
      </c>
      <c r="M13" s="105">
        <f t="shared" ref="M13:U13" si="6">IFERROR(M12-M11,"")</f>
        <v>90387.000000000029</v>
      </c>
      <c r="N13" s="105">
        <f t="shared" si="6"/>
        <v>108625.57200000004</v>
      </c>
      <c r="O13" s="105">
        <f t="shared" si="6"/>
        <v>129203.19403200007</v>
      </c>
      <c r="P13" s="105">
        <f t="shared" si="6"/>
        <v>152382.62189779209</v>
      </c>
      <c r="Q13" s="105">
        <f t="shared" si="6"/>
        <v>177156.10000000012</v>
      </c>
      <c r="R13" s="105">
        <f t="shared" si="6"/>
        <v>194871.71000000014</v>
      </c>
      <c r="S13" s="105">
        <f t="shared" si="6"/>
        <v>214358.88100000017</v>
      </c>
      <c r="T13" s="105">
        <f t="shared" si="6"/>
        <v>235794.76910000024</v>
      </c>
      <c r="U13" s="105">
        <f t="shared" si="6"/>
        <v>259374.24601000029</v>
      </c>
      <c r="W13" s="90">
        <v>6</v>
      </c>
      <c r="X13" s="90" t="str">
        <f t="shared" si="3"/>
        <v/>
      </c>
      <c r="Y13" s="103" t="str">
        <f>IFERROR(IF(W13&gt;$I$16,"",INDEX(LBO!$E$72:$N$72,W13)),"")</f>
        <v/>
      </c>
      <c r="Z13" s="111" t="str">
        <f t="shared" si="4"/>
        <v/>
      </c>
      <c r="AA13" s="136" t="str">
        <f>IFERROR(IF(W13&gt;$I$16,"",INDEX(LBO!$E$64:$N$64,W13)),"")</f>
        <v/>
      </c>
      <c r="AB13" s="103" t="str">
        <f>IFERROR(IF(W13&gt;$I$16,"",INDEX(LBO!$E$70:$N$70,W13)+INDEX(LBO!$E$71:$N$71,W13)),"")</f>
        <v/>
      </c>
      <c r="AC13" s="103" t="str">
        <f>IFERROR(IF(W13&gt;$I$16,"",INDEX(LBO!$E$57:$N$57,W13)),"")</f>
        <v/>
      </c>
      <c r="AD13" s="103" t="str">
        <f t="shared" si="5"/>
        <v/>
      </c>
    </row>
    <row r="14" spans="2:30" x14ac:dyDescent="0.25">
      <c r="B14" s="90" t="s">
        <v>32</v>
      </c>
      <c r="C14" s="90">
        <v>7</v>
      </c>
      <c r="D14" s="90" t="str">
        <f t="shared" si="0"/>
        <v>Year 7</v>
      </c>
      <c r="E14" s="90">
        <f ca="1">IFERROR(IF(LEN(LBO!$D$11)=0,YEAR(TODAY())+C14,LBO!$D$11+C14),Calc!D14)</f>
        <v>2029</v>
      </c>
      <c r="F14" s="90" t="str">
        <f t="shared" ca="1" si="1"/>
        <v>2029E</v>
      </c>
      <c r="H14" s="92" t="s">
        <v>40</v>
      </c>
      <c r="I14" s="101">
        <f>IFERROR(I12+I13,"")</f>
        <v>104000</v>
      </c>
      <c r="K14" s="104" t="s">
        <v>57</v>
      </c>
      <c r="L14" s="106">
        <f t="shared" ref="L14:U14" si="7">IFERROR(L13/$I$9,"")</f>
        <v>1.1601562500000002</v>
      </c>
      <c r="M14" s="106">
        <f t="shared" si="7"/>
        <v>1.4122968750000005</v>
      </c>
      <c r="N14" s="106">
        <f t="shared" si="7"/>
        <v>1.6972745625000007</v>
      </c>
      <c r="O14" s="106">
        <f t="shared" si="7"/>
        <v>2.0187999067500013</v>
      </c>
      <c r="P14" s="106">
        <f t="shared" si="7"/>
        <v>2.3809784671530014</v>
      </c>
      <c r="Q14" s="106">
        <f t="shared" si="7"/>
        <v>2.7680640625000019</v>
      </c>
      <c r="R14" s="106">
        <f t="shared" si="7"/>
        <v>3.0448704687500023</v>
      </c>
      <c r="S14" s="106">
        <f t="shared" si="7"/>
        <v>3.3493575156250026</v>
      </c>
      <c r="T14" s="106">
        <f t="shared" si="7"/>
        <v>3.6842932671875035</v>
      </c>
      <c r="U14" s="106">
        <f t="shared" si="7"/>
        <v>4.052722593906255</v>
      </c>
      <c r="W14" s="90">
        <v>7</v>
      </c>
      <c r="X14" s="90" t="str">
        <f t="shared" si="3"/>
        <v/>
      </c>
      <c r="Y14" s="103" t="str">
        <f>IFERROR(IF(W14&gt;$I$16,"",INDEX(LBO!$E$72:$N$72,W14)),"")</f>
        <v/>
      </c>
      <c r="Z14" s="111" t="str">
        <f t="shared" si="4"/>
        <v/>
      </c>
      <c r="AA14" s="136" t="str">
        <f>IFERROR(IF(W14&gt;$I$16,"",INDEX(LBO!$E$64:$N$64,W14)),"")</f>
        <v/>
      </c>
      <c r="AB14" s="103" t="str">
        <f>IFERROR(IF(W14&gt;$I$16,"",INDEX(LBO!$E$70:$N$70,W14)+INDEX(LBO!$E$71:$N$71,W14)),"")</f>
        <v/>
      </c>
      <c r="AC14" s="103" t="str">
        <f>IFERROR(IF(W14&gt;$I$16,"",INDEX(LBO!$E$57:$N$57,W14)),"")</f>
        <v/>
      </c>
      <c r="AD14" s="103" t="str">
        <f t="shared" si="5"/>
        <v/>
      </c>
    </row>
    <row r="15" spans="2:30" x14ac:dyDescent="0.25">
      <c r="B15" s="90" t="s">
        <v>33</v>
      </c>
      <c r="C15" s="90">
        <v>8</v>
      </c>
      <c r="D15" s="90" t="str">
        <f t="shared" si="0"/>
        <v>Year 8</v>
      </c>
      <c r="E15" s="90">
        <f ca="1">IFERROR(IF(LEN(LBO!$D$11)=0,YEAR(TODAY())+C15,LBO!$D$11+C15),Calc!D15)</f>
        <v>2030</v>
      </c>
      <c r="F15" s="90" t="str">
        <f t="shared" ca="1" si="1"/>
        <v>2030E</v>
      </c>
      <c r="K15" s="104" t="s">
        <v>15</v>
      </c>
      <c r="L15" s="107">
        <f>IFERROR((L14^(1/L7))-1,"")</f>
        <v>0.16015625000000022</v>
      </c>
      <c r="M15" s="107">
        <f t="shared" ref="M15:U15" si="8">IFERROR(M14^(1/M7)-1,"")</f>
        <v>0.18840097399825462</v>
      </c>
      <c r="N15" s="107">
        <f t="shared" si="8"/>
        <v>0.19284505395239915</v>
      </c>
      <c r="O15" s="107">
        <f t="shared" si="8"/>
        <v>0.19199194053396473</v>
      </c>
      <c r="P15" s="107">
        <f t="shared" si="8"/>
        <v>0.18946342820582851</v>
      </c>
      <c r="Q15" s="107">
        <f t="shared" si="8"/>
        <v>0.18493907951753608</v>
      </c>
      <c r="R15" s="107">
        <f t="shared" si="8"/>
        <v>0.17241471409361298</v>
      </c>
      <c r="S15" s="107">
        <f t="shared" si="8"/>
        <v>0.16310838978462061</v>
      </c>
      <c r="T15" s="107">
        <f t="shared" si="8"/>
        <v>0.15592123908761502</v>
      </c>
      <c r="U15" s="107">
        <f t="shared" si="8"/>
        <v>0.15020350785040071</v>
      </c>
      <c r="W15" s="90">
        <v>8</v>
      </c>
      <c r="X15" s="90" t="str">
        <f t="shared" si="3"/>
        <v/>
      </c>
      <c r="Y15" s="103" t="str">
        <f>IFERROR(IF(W15&gt;$I$16,"",INDEX(LBO!$E$72:$N$72,W15)),"")</f>
        <v/>
      </c>
      <c r="Z15" s="111" t="str">
        <f t="shared" si="4"/>
        <v/>
      </c>
      <c r="AA15" s="136" t="str">
        <f>IFERROR(IF(W15&gt;$I$16,"",INDEX(LBO!$E$64:$N$64,W15)),"")</f>
        <v/>
      </c>
      <c r="AB15" s="103" t="str">
        <f>IFERROR(IF(W15&gt;$I$16,"",INDEX(LBO!$E$70:$N$70,W15)+INDEX(LBO!$E$71:$N$71,W15)),"")</f>
        <v/>
      </c>
      <c r="AC15" s="103" t="str">
        <f>IFERROR(IF(W15&gt;$I$16,"",INDEX(LBO!$E$57:$N$57,W15)),"")</f>
        <v/>
      </c>
      <c r="AD15" s="103" t="str">
        <f t="shared" si="5"/>
        <v/>
      </c>
    </row>
    <row r="16" spans="2:30" x14ac:dyDescent="0.25">
      <c r="B16" s="90" t="s">
        <v>34</v>
      </c>
      <c r="C16" s="90">
        <v>9</v>
      </c>
      <c r="D16" s="90" t="str">
        <f t="shared" si="0"/>
        <v>Year 9</v>
      </c>
      <c r="E16" s="90">
        <f ca="1">IFERROR(IF(LEN(LBO!$D$11)=0,YEAR(TODAY())+C16,LBO!$D$11+C16),Calc!D16)</f>
        <v>2031</v>
      </c>
      <c r="F16" s="90" t="str">
        <f t="shared" ca="1" si="1"/>
        <v>2031E</v>
      </c>
      <c r="H16" s="91" t="s">
        <v>94</v>
      </c>
      <c r="I16" s="92">
        <f>IFERROR(IF(MATCH(LBO!$D$15,Calc!$B$8:$B$17,0)&gt;0,MATCH(LBO!$D$15,Calc!$B$8:$B$17,0),1),1)</f>
        <v>5</v>
      </c>
      <c r="W16" s="90">
        <v>9</v>
      </c>
      <c r="X16" s="90" t="str">
        <f t="shared" si="3"/>
        <v/>
      </c>
      <c r="Y16" s="103" t="str">
        <f>IFERROR(IF(W16&gt;$I$16,"",INDEX(LBO!$E$72:$N$72,W16)),"")</f>
        <v/>
      </c>
      <c r="Z16" s="111" t="str">
        <f t="shared" si="4"/>
        <v/>
      </c>
      <c r="AA16" s="136" t="str">
        <f>IFERROR(IF(W16&gt;$I$16,"",INDEX(LBO!$E$64:$N$64,W16)),"")</f>
        <v/>
      </c>
      <c r="AB16" s="103" t="str">
        <f>IFERROR(IF(W16&gt;$I$16,"",INDEX(LBO!$E$70:$N$70,W16)+INDEX(LBO!$E$71:$N$71,W16)),"")</f>
        <v/>
      </c>
      <c r="AC16" s="103" t="str">
        <f>IFERROR(IF(W16&gt;$I$16,"",INDEX(LBO!$E$57:$N$57,W16)),"")</f>
        <v/>
      </c>
      <c r="AD16" s="103" t="str">
        <f t="shared" si="5"/>
        <v/>
      </c>
    </row>
    <row r="17" spans="2:30" x14ac:dyDescent="0.25">
      <c r="B17" s="90" t="s">
        <v>35</v>
      </c>
      <c r="C17" s="90">
        <v>10</v>
      </c>
      <c r="D17" s="90" t="str">
        <f t="shared" si="0"/>
        <v>Year 10</v>
      </c>
      <c r="E17" s="90">
        <f ca="1">IFERROR(IF(LEN(LBO!$D$11)=0,YEAR(TODAY())+C17,LBO!$D$11+C17),Calc!D17)</f>
        <v>2032</v>
      </c>
      <c r="F17" s="90" t="str">
        <f t="shared" ca="1" si="1"/>
        <v>2032E</v>
      </c>
      <c r="H17" s="91" t="s">
        <v>95</v>
      </c>
      <c r="I17" s="92">
        <f>IFERROR(INDEX($C$8:$C$27,MATCH(LBO!$L$13,Calc!$B$8:$B$27,0)),1)</f>
        <v>10</v>
      </c>
      <c r="K17" s="108" t="s">
        <v>58</v>
      </c>
      <c r="L17" s="109"/>
      <c r="W17" s="90">
        <v>10</v>
      </c>
      <c r="X17" s="90" t="str">
        <f t="shared" si="3"/>
        <v/>
      </c>
      <c r="Y17" s="103" t="str">
        <f>IFERROR(IF(W17&gt;$I$16,"",INDEX(LBO!$E$72:$N$72,W17)),"")</f>
        <v/>
      </c>
      <c r="Z17" s="111" t="str">
        <f t="shared" si="4"/>
        <v/>
      </c>
      <c r="AA17" s="136" t="str">
        <f>IFERROR(IF(W17&gt;$I$16,"",INDEX(LBO!$E$64:$N$64,W17)),"")</f>
        <v/>
      </c>
      <c r="AB17" s="103" t="str">
        <f>IFERROR(IF(W17&gt;$I$16,"",INDEX(LBO!$E$70:$N$70,W17)+INDEX(LBO!$E$71:$N$71,W17)),"")</f>
        <v/>
      </c>
      <c r="AC17" s="103" t="str">
        <f>IFERROR(IF(W17&gt;$I$16,"",INDEX(LBO!$E$57:$N$57,W17)),"")</f>
        <v/>
      </c>
      <c r="AD17" s="103" t="str">
        <f t="shared" si="5"/>
        <v/>
      </c>
    </row>
    <row r="18" spans="2:30" x14ac:dyDescent="0.25">
      <c r="B18" s="90" t="s">
        <v>84</v>
      </c>
      <c r="C18" s="90">
        <v>11</v>
      </c>
      <c r="D18" s="120"/>
      <c r="E18" s="121"/>
      <c r="F18" s="122"/>
      <c r="K18" s="104" t="s">
        <v>55</v>
      </c>
      <c r="L18" s="105">
        <f>IFERROR(INDEX(Calc!$L12:$U12,Calc!$I$16),"")</f>
        <v>161051.00000000009</v>
      </c>
    </row>
    <row r="19" spans="2:30" x14ac:dyDescent="0.25">
      <c r="B19" s="90" t="s">
        <v>85</v>
      </c>
      <c r="C19" s="90">
        <v>12</v>
      </c>
      <c r="D19" s="123"/>
      <c r="E19" s="124"/>
      <c r="F19" s="125"/>
      <c r="K19" s="104" t="s">
        <v>56</v>
      </c>
      <c r="L19" s="105">
        <f>IFERROR(INDEX(Calc!$L13:$U13,Calc!$I$16),"")</f>
        <v>152382.62189779209</v>
      </c>
    </row>
    <row r="20" spans="2:30" x14ac:dyDescent="0.25">
      <c r="B20" s="90" t="s">
        <v>86</v>
      </c>
      <c r="C20" s="90">
        <v>13</v>
      </c>
      <c r="D20" s="123"/>
      <c r="E20" s="124"/>
      <c r="F20" s="125"/>
      <c r="K20" s="104" t="s">
        <v>57</v>
      </c>
      <c r="L20" s="106">
        <f>IFERROR(INDEX(Calc!$L14:$U14,Calc!$I$16),"")</f>
        <v>2.3809784671530014</v>
      </c>
    </row>
    <row r="21" spans="2:30" x14ac:dyDescent="0.25">
      <c r="B21" s="90" t="s">
        <v>87</v>
      </c>
      <c r="C21" s="90">
        <v>14</v>
      </c>
      <c r="D21" s="123"/>
      <c r="E21" s="124"/>
      <c r="F21" s="125"/>
      <c r="K21" s="104" t="s">
        <v>15</v>
      </c>
      <c r="L21" s="107">
        <f>IFERROR(INDEX(Calc!$L15:$U15,Calc!$I$16),"")</f>
        <v>0.18946342820582851</v>
      </c>
    </row>
    <row r="22" spans="2:30" x14ac:dyDescent="0.25">
      <c r="B22" s="90" t="s">
        <v>88</v>
      </c>
      <c r="C22" s="90">
        <v>15</v>
      </c>
      <c r="D22" s="123"/>
      <c r="E22" s="124"/>
      <c r="F22" s="125"/>
    </row>
    <row r="23" spans="2:30" x14ac:dyDescent="0.25">
      <c r="B23" s="90" t="s">
        <v>89</v>
      </c>
      <c r="C23" s="90">
        <v>16</v>
      </c>
      <c r="D23" s="123"/>
      <c r="E23" s="124"/>
      <c r="F23" s="125"/>
      <c r="Z23" s="29"/>
    </row>
    <row r="24" spans="2:30" x14ac:dyDescent="0.25">
      <c r="B24" s="90" t="s">
        <v>90</v>
      </c>
      <c r="C24" s="90">
        <v>17</v>
      </c>
      <c r="D24" s="123"/>
      <c r="E24" s="124"/>
      <c r="F24" s="125"/>
      <c r="Z24" s="29"/>
    </row>
    <row r="25" spans="2:30" x14ac:dyDescent="0.25">
      <c r="B25" s="90" t="s">
        <v>91</v>
      </c>
      <c r="C25" s="90">
        <v>18</v>
      </c>
      <c r="D25" s="123"/>
      <c r="E25" s="124"/>
      <c r="F25" s="125"/>
      <c r="Z25" s="29"/>
    </row>
    <row r="26" spans="2:30" x14ac:dyDescent="0.25">
      <c r="B26" s="90" t="s">
        <v>92</v>
      </c>
      <c r="C26" s="90">
        <v>19</v>
      </c>
      <c r="D26" s="123"/>
      <c r="E26" s="124"/>
      <c r="F26" s="125"/>
      <c r="Z26" s="29"/>
    </row>
    <row r="27" spans="2:30" x14ac:dyDescent="0.25">
      <c r="B27" s="90" t="s">
        <v>93</v>
      </c>
      <c r="C27" s="90">
        <v>20</v>
      </c>
      <c r="D27" s="126"/>
      <c r="E27" s="127"/>
      <c r="F27" s="128"/>
    </row>
  </sheetData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LBO</vt:lpstr>
      <vt:lpstr>Calc</vt:lpstr>
      <vt:lpstr>ToU</vt:lpstr>
      <vt:lpstr>LBO!Print_Area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2022-05-10T13:05:11Z</cp:lastPrinted>
  <dcterms:created xsi:type="dcterms:W3CDTF">2018-11-13T14:01:04Z</dcterms:created>
  <dcterms:modified xsi:type="dcterms:W3CDTF">2022-05-25T07:27:27Z</dcterms:modified>
  <dc:title>LBO Model V1 Template</dc:title>
  <dc:subject>LBO Model V1</dc:subject>
  <dc:description>LBO Model V1 template by Master Productivity Kit — masterproductivitykit.com</dc:description>
  <cp:keywords>Master Productivity Kit, Excel template, Google Sheets template</cp:keywords>
  <cp:category>Business Template</cp:category>
</cp:coreProperties>
</file>