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f\Desktop\RENEWAL DEVELOPMENT\S173 - Expense Analysis Dashboard (V10)\"/>
    </mc:Choice>
  </mc:AlternateContent>
  <xr:revisionPtr revIDLastSave="0" documentId="13_ncr:1_{B49C8280-BC87-4CB2-9F6E-A1054FF1F018}" xr6:coauthVersionLast="47" xr6:coauthVersionMax="47" xr10:uidLastSave="{00000000-0000-0000-0000-000000000000}"/>
  <bookViews>
    <workbookView showSheetTabs="0" xWindow="-120" yWindow="-120" windowWidth="29040" windowHeight="15720" xr2:uid="{CA06D84B-242A-4568-AD90-A51BAFF3812C}"/>
  </bookViews>
  <sheets>
    <sheet name="Dashboard" sheetId="2" r:id="rId1"/>
    <sheet name="Estimated" sheetId="3" r:id="rId2"/>
    <sheet name="Actual" sheetId="4" r:id="rId3"/>
    <sheet name="Calc" sheetId="5" state="hidden" r:id="rId4"/>
  </sheets>
  <definedNames>
    <definedName name="_xlnm._FilterDatabase" localSheetId="0" hidden="1">Dashboard!$C$46:$H$146</definedName>
    <definedName name="Act">IFERROR(OFFSET(Calc!$BH$10,0,0,Calc!$BH$8,1),"")</definedName>
    <definedName name="_xlnm.Print_Area" localSheetId="2">OFFSET(Actual!$B$5,0,0,Calc!$AN$31,14)</definedName>
    <definedName name="_xlnm.Print_Area" localSheetId="0">Dashboard!$B$2:$K$42</definedName>
    <definedName name="_xlnm.Print_Area" localSheetId="1">OFFSET(Estimated!$B$5,0,0,Calc!$AN$31,14)</definedName>
    <definedName name="_xlnm.Print_Titles" localSheetId="2">Actual!$5:$5</definedName>
    <definedName name="_xlnm.Print_Titles" localSheetId="1">Estimated!$5:$5</definedName>
    <definedName name="Types">IFERROR(OFFSET(Calc!$BG$10,0,0,Calc!$BH$8,1),1)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N31" i="5" l="1"/>
  <c r="E22" i="5"/>
  <c r="E20" i="5"/>
  <c r="E18" i="5"/>
  <c r="E14" i="5"/>
  <c r="E12" i="5"/>
  <c r="D16" i="5"/>
  <c r="D24" i="5"/>
  <c r="AY24" i="5" s="1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AE22" i="5"/>
  <c r="AN28" i="5"/>
  <c r="AN27" i="5"/>
  <c r="D9" i="5"/>
  <c r="D8" i="5" s="1"/>
  <c r="AE17" i="5" s="1"/>
  <c r="E9" i="5"/>
  <c r="E8" i="5" s="1"/>
  <c r="E19" i="5" s="1"/>
  <c r="J22" i="2"/>
  <c r="J18" i="2"/>
  <c r="J14" i="2"/>
  <c r="D23" i="5" l="1"/>
  <c r="AY23" i="5" s="1"/>
  <c r="D15" i="5"/>
  <c r="AY15" i="5" s="1"/>
  <c r="E13" i="5"/>
  <c r="BC13" i="5" s="1"/>
  <c r="E21" i="5"/>
  <c r="BC21" i="5" s="1"/>
  <c r="D21" i="5"/>
  <c r="AY21" i="5" s="1"/>
  <c r="D13" i="5"/>
  <c r="AY13" i="5" s="1"/>
  <c r="E15" i="5"/>
  <c r="BC15" i="5" s="1"/>
  <c r="E23" i="5"/>
  <c r="BC23" i="5" s="1"/>
  <c r="D14" i="5"/>
  <c r="AY14" i="5" s="1"/>
  <c r="D20" i="5"/>
  <c r="AY20" i="5" s="1"/>
  <c r="D12" i="5"/>
  <c r="AY12" i="5" s="1"/>
  <c r="E16" i="5"/>
  <c r="BC16" i="5" s="1"/>
  <c r="E24" i="5"/>
  <c r="BC24" i="5" s="1"/>
  <c r="D22" i="5"/>
  <c r="AY22" i="5" s="1"/>
  <c r="D19" i="5"/>
  <c r="AY19" i="5" s="1"/>
  <c r="D11" i="5"/>
  <c r="AY11" i="5" s="1"/>
  <c r="E17" i="5"/>
  <c r="BC17" i="5" s="1"/>
  <c r="E10" i="5"/>
  <c r="BC10" i="5" s="1"/>
  <c r="D18" i="5"/>
  <c r="AY18" i="5" s="1"/>
  <c r="D10" i="5"/>
  <c r="AY10" i="5" s="1"/>
  <c r="D17" i="5"/>
  <c r="AY17" i="5" s="1"/>
  <c r="E11" i="5"/>
  <c r="BC11" i="5" s="1"/>
  <c r="BC19" i="5"/>
  <c r="BC18" i="5"/>
  <c r="AY16" i="5"/>
  <c r="BC14" i="5"/>
  <c r="BC20" i="5"/>
  <c r="BC22" i="5"/>
  <c r="BC12" i="5"/>
  <c r="AQ21" i="5"/>
  <c r="AS21" i="5" s="1"/>
  <c r="AQ19" i="5"/>
  <c r="AS19" i="5" s="1"/>
  <c r="AQ11" i="5"/>
  <c r="AS11" i="5" s="1"/>
  <c r="AQ12" i="5"/>
  <c r="AS12" i="5" s="1"/>
  <c r="AQ16" i="5"/>
  <c r="AS16" i="5" s="1"/>
  <c r="AE16" i="5"/>
  <c r="AE13" i="5"/>
  <c r="AE10" i="5"/>
  <c r="AE21" i="5"/>
  <c r="AE18" i="5"/>
  <c r="AE19" i="5"/>
  <c r="AQ13" i="5"/>
  <c r="AS13" i="5" s="1"/>
  <c r="AQ14" i="5"/>
  <c r="AS14" i="5" s="1"/>
  <c r="AQ18" i="5"/>
  <c r="AQ15" i="5"/>
  <c r="AQ20" i="5"/>
  <c r="AQ17" i="5"/>
  <c r="AQ22" i="5"/>
  <c r="AZ24" i="5" l="1"/>
  <c r="BD7" i="5"/>
  <c r="AZ23" i="5"/>
  <c r="AR11" i="5"/>
  <c r="AT11" i="5" s="1"/>
  <c r="D54" i="2"/>
  <c r="AR19" i="5"/>
  <c r="AT19" i="5" s="1"/>
  <c r="N9" i="5" s="1"/>
  <c r="Z9" i="5" s="1"/>
  <c r="AR21" i="5"/>
  <c r="AT21" i="5" s="1"/>
  <c r="P9" i="5" s="1"/>
  <c r="N5" i="3" s="1"/>
  <c r="D53" i="2"/>
  <c r="AR12" i="5"/>
  <c r="AT12" i="5" s="1"/>
  <c r="G9" i="5" s="1"/>
  <c r="E5" i="3" s="1"/>
  <c r="AR16" i="5"/>
  <c r="AT16" i="5" s="1"/>
  <c r="K9" i="5" s="1"/>
  <c r="W9" i="5" s="1"/>
  <c r="D61" i="2"/>
  <c r="D56" i="2"/>
  <c r="AE24" i="5"/>
  <c r="AE11" i="5"/>
  <c r="D58" i="2"/>
  <c r="D48" i="2"/>
  <c r="D50" i="2"/>
  <c r="D55" i="2"/>
  <c r="D47" i="2"/>
  <c r="D57" i="2"/>
  <c r="AE20" i="5"/>
  <c r="D52" i="2"/>
  <c r="AE15" i="5"/>
  <c r="D49" i="2"/>
  <c r="AE12" i="5"/>
  <c r="D60" i="2"/>
  <c r="AE23" i="5"/>
  <c r="D51" i="2"/>
  <c r="AE14" i="5"/>
  <c r="D59" i="2"/>
  <c r="AR13" i="5"/>
  <c r="AT13" i="5" s="1"/>
  <c r="H9" i="5" s="1"/>
  <c r="T9" i="5" s="1"/>
  <c r="AR14" i="5"/>
  <c r="AT14" i="5" s="1"/>
  <c r="I9" i="5" s="1"/>
  <c r="U9" i="5" s="1"/>
  <c r="C10" i="5"/>
  <c r="C47" i="2" s="1"/>
  <c r="C14" i="5"/>
  <c r="C12" i="5"/>
  <c r="C16" i="5"/>
  <c r="C22" i="5"/>
  <c r="C59" i="2" s="1"/>
  <c r="C11" i="5"/>
  <c r="AS22" i="5"/>
  <c r="AR22" i="5"/>
  <c r="AS17" i="5"/>
  <c r="AR17" i="5"/>
  <c r="C19" i="5"/>
  <c r="C17" i="5"/>
  <c r="AR18" i="5"/>
  <c r="AS18" i="5"/>
  <c r="C20" i="5"/>
  <c r="C18" i="5"/>
  <c r="AS20" i="5"/>
  <c r="AR20" i="5"/>
  <c r="C23" i="5"/>
  <c r="C15" i="5"/>
  <c r="C21" i="5"/>
  <c r="C13" i="5"/>
  <c r="C24" i="5"/>
  <c r="AR15" i="5"/>
  <c r="AS15" i="5"/>
  <c r="L5" i="3" l="1"/>
  <c r="L5" i="4"/>
  <c r="S9" i="5"/>
  <c r="E5" i="4"/>
  <c r="AT17" i="5"/>
  <c r="L9" i="5" s="1"/>
  <c r="J5" i="3" s="1"/>
  <c r="N5" i="4"/>
  <c r="AB9" i="5"/>
  <c r="I5" i="3"/>
  <c r="I5" i="4"/>
  <c r="G5" i="3"/>
  <c r="G5" i="4"/>
  <c r="F9" i="5"/>
  <c r="F5" i="3"/>
  <c r="F5" i="4"/>
  <c r="AF12" i="5"/>
  <c r="C49" i="2"/>
  <c r="AF13" i="5"/>
  <c r="C50" i="2"/>
  <c r="AF16" i="5"/>
  <c r="C53" i="2"/>
  <c r="AF14" i="5"/>
  <c r="C51" i="2"/>
  <c r="AF23" i="5"/>
  <c r="C60" i="2"/>
  <c r="AF17" i="5"/>
  <c r="C54" i="2"/>
  <c r="AF22" i="5"/>
  <c r="AF24" i="5"/>
  <c r="C61" i="2"/>
  <c r="AF15" i="5"/>
  <c r="C52" i="2"/>
  <c r="AF18" i="5"/>
  <c r="C55" i="2"/>
  <c r="AF20" i="5"/>
  <c r="C57" i="2"/>
  <c r="AF19" i="5"/>
  <c r="C56" i="2"/>
  <c r="AF11" i="5"/>
  <c r="C48" i="2"/>
  <c r="AF21" i="5"/>
  <c r="C58" i="2"/>
  <c r="AT15" i="5"/>
  <c r="J9" i="5" s="1"/>
  <c r="V9" i="5" s="1"/>
  <c r="AZ12" i="5"/>
  <c r="AZ13" i="5"/>
  <c r="AZ21" i="5"/>
  <c r="AT18" i="5"/>
  <c r="M9" i="5" s="1"/>
  <c r="AZ22" i="5"/>
  <c r="AZ15" i="5"/>
  <c r="AZ17" i="5"/>
  <c r="AZ16" i="5"/>
  <c r="AZ14" i="5"/>
  <c r="AT20" i="5"/>
  <c r="O9" i="5" s="1"/>
  <c r="AK6" i="5"/>
  <c r="AF10" i="5"/>
  <c r="AZ18" i="5"/>
  <c r="AZ20" i="5"/>
  <c r="AZ19" i="5"/>
  <c r="AT22" i="5"/>
  <c r="Q9" i="5" s="1"/>
  <c r="AZ10" i="5"/>
  <c r="AZ11" i="5"/>
  <c r="BA22" i="5" l="1" a="1"/>
  <c r="BA22" i="5" s="1"/>
  <c r="BA14" i="5" a="1"/>
  <c r="BA14" i="5" s="1"/>
  <c r="BA13" i="5" a="1"/>
  <c r="BA13" i="5" s="1"/>
  <c r="BA20" i="5" a="1"/>
  <c r="BA20" i="5" s="1"/>
  <c r="BA12" i="5" a="1"/>
  <c r="BA12" i="5" s="1"/>
  <c r="BA21" i="5" a="1"/>
  <c r="BA21" i="5" s="1"/>
  <c r="BA17" i="5" a="1"/>
  <c r="BA17" i="5" s="1"/>
  <c r="BA24" i="5" a="1"/>
  <c r="BA24" i="5" s="1"/>
  <c r="BA16" i="5" a="1"/>
  <c r="BA16" i="5" s="1"/>
  <c r="BA23" i="5" a="1"/>
  <c r="BA23" i="5" s="1"/>
  <c r="BA15" i="5" a="1"/>
  <c r="BA15" i="5" s="1"/>
  <c r="BA19" i="5" a="1"/>
  <c r="BA19" i="5" s="1"/>
  <c r="BA11" i="5" a="1"/>
  <c r="BA11" i="5" s="1"/>
  <c r="BA18" i="5" a="1"/>
  <c r="BA18" i="5" s="1"/>
  <c r="BA10" i="5" a="1"/>
  <c r="BA10" i="5" s="1"/>
  <c r="J5" i="4"/>
  <c r="X9" i="5"/>
  <c r="O5" i="3"/>
  <c r="O5" i="4"/>
  <c r="M5" i="4"/>
  <c r="M5" i="3"/>
  <c r="K5" i="4"/>
  <c r="K5" i="3"/>
  <c r="H5" i="3"/>
  <c r="H5" i="4"/>
  <c r="AI6" i="5"/>
  <c r="D5" i="4"/>
  <c r="D5" i="3"/>
  <c r="R9" i="5"/>
  <c r="AC9" i="5"/>
  <c r="AA9" i="5"/>
  <c r="Y9" i="5"/>
  <c r="AZ7" i="5" l="1"/>
  <c r="AH8" i="5"/>
  <c r="AI8" i="5" s="1"/>
  <c r="Y8" i="5"/>
  <c r="AA8" i="5"/>
  <c r="AC8" i="5"/>
  <c r="J8" i="5"/>
  <c r="M8" i="5"/>
  <c r="V8" i="5"/>
  <c r="F8" i="5"/>
  <c r="X8" i="5"/>
  <c r="O8" i="5"/>
  <c r="R8" i="5"/>
  <c r="P8" i="5"/>
  <c r="N8" i="5"/>
  <c r="G8" i="5"/>
  <c r="H8" i="5"/>
  <c r="K8" i="5"/>
  <c r="I8" i="5"/>
  <c r="L8" i="5"/>
  <c r="Z8" i="5"/>
  <c r="T8" i="5"/>
  <c r="AB8" i="5"/>
  <c r="W8" i="5"/>
  <c r="U8" i="5"/>
  <c r="S8" i="5"/>
  <c r="Q8" i="5"/>
  <c r="Q14" i="5" l="1"/>
  <c r="Q22" i="5"/>
  <c r="Q23" i="5"/>
  <c r="Q15" i="5"/>
  <c r="Q16" i="5"/>
  <c r="Q24" i="5"/>
  <c r="Q11" i="5"/>
  <c r="Q21" i="5"/>
  <c r="Q17" i="5"/>
  <c r="Q19" i="5"/>
  <c r="Q13" i="5"/>
  <c r="Q10" i="5"/>
  <c r="Q18" i="5"/>
  <c r="Q12" i="5"/>
  <c r="Q20" i="5"/>
  <c r="V11" i="5"/>
  <c r="V19" i="5"/>
  <c r="V12" i="5"/>
  <c r="V20" i="5"/>
  <c r="V13" i="5"/>
  <c r="V21" i="5"/>
  <c r="V14" i="5"/>
  <c r="V22" i="5"/>
  <c r="V18" i="5"/>
  <c r="V15" i="5"/>
  <c r="V23" i="5"/>
  <c r="V16" i="5"/>
  <c r="V24" i="5"/>
  <c r="V17" i="5"/>
  <c r="V10" i="5"/>
  <c r="W12" i="5"/>
  <c r="W20" i="5"/>
  <c r="W13" i="5"/>
  <c r="W21" i="5"/>
  <c r="W14" i="5"/>
  <c r="W22" i="5"/>
  <c r="W11" i="5"/>
  <c r="W15" i="5"/>
  <c r="W23" i="5"/>
  <c r="W16" i="5"/>
  <c r="W24" i="5"/>
  <c r="W17" i="5"/>
  <c r="W10" i="5"/>
  <c r="W18" i="5"/>
  <c r="W19" i="5"/>
  <c r="G12" i="5"/>
  <c r="G20" i="5"/>
  <c r="G13" i="5"/>
  <c r="G21" i="5"/>
  <c r="G14" i="5"/>
  <c r="G22" i="5"/>
  <c r="G11" i="5"/>
  <c r="G15" i="5"/>
  <c r="G23" i="5"/>
  <c r="G17" i="5"/>
  <c r="G19" i="5"/>
  <c r="G16" i="5"/>
  <c r="G24" i="5"/>
  <c r="G10" i="5"/>
  <c r="G18" i="5"/>
  <c r="M10" i="5"/>
  <c r="M18" i="5"/>
  <c r="M11" i="5"/>
  <c r="M19" i="5"/>
  <c r="M12" i="5"/>
  <c r="M20" i="5"/>
  <c r="M15" i="5"/>
  <c r="M13" i="5"/>
  <c r="M21" i="5"/>
  <c r="M23" i="5"/>
  <c r="M14" i="5"/>
  <c r="M22" i="5"/>
  <c r="M17" i="5"/>
  <c r="M16" i="5"/>
  <c r="M24" i="5"/>
  <c r="Y14" i="5"/>
  <c r="Y22" i="5"/>
  <c r="Y15" i="5"/>
  <c r="Y23" i="5"/>
  <c r="Y16" i="5"/>
  <c r="Y24" i="5"/>
  <c r="Y17" i="5"/>
  <c r="Y21" i="5"/>
  <c r="Y10" i="5"/>
  <c r="Y18" i="5"/>
  <c r="Y11" i="5"/>
  <c r="Y19" i="5"/>
  <c r="Y12" i="5"/>
  <c r="Y20" i="5"/>
  <c r="Y13" i="5"/>
  <c r="N11" i="5"/>
  <c r="N19" i="5"/>
  <c r="N12" i="5"/>
  <c r="N20" i="5"/>
  <c r="N13" i="5"/>
  <c r="N21" i="5"/>
  <c r="N16" i="5"/>
  <c r="N24" i="5"/>
  <c r="N10" i="5"/>
  <c r="N14" i="5"/>
  <c r="N22" i="5"/>
  <c r="N18" i="5"/>
  <c r="N15" i="5"/>
  <c r="N23" i="5"/>
  <c r="N17" i="5"/>
  <c r="J15" i="5"/>
  <c r="J23" i="5"/>
  <c r="J22" i="5"/>
  <c r="J16" i="5"/>
  <c r="J24" i="5"/>
  <c r="J17" i="5"/>
  <c r="J14" i="5"/>
  <c r="J10" i="5"/>
  <c r="J18" i="5"/>
  <c r="J12" i="5"/>
  <c r="J20" i="5"/>
  <c r="J11" i="5"/>
  <c r="J19" i="5"/>
  <c r="J13" i="5"/>
  <c r="J21" i="5"/>
  <c r="O12" i="5"/>
  <c r="O20" i="5"/>
  <c r="O19" i="5"/>
  <c r="O13" i="5"/>
  <c r="O21" i="5"/>
  <c r="O14" i="5"/>
  <c r="O22" i="5"/>
  <c r="O17" i="5"/>
  <c r="O15" i="5"/>
  <c r="O23" i="5"/>
  <c r="O16" i="5"/>
  <c r="O24" i="5"/>
  <c r="O10" i="5"/>
  <c r="O18" i="5"/>
  <c r="O11" i="5"/>
  <c r="U10" i="5"/>
  <c r="U18" i="5"/>
  <c r="U11" i="5"/>
  <c r="U19" i="5"/>
  <c r="U12" i="5"/>
  <c r="U20" i="5"/>
  <c r="U17" i="5"/>
  <c r="U13" i="5"/>
  <c r="U21" i="5"/>
  <c r="U14" i="5"/>
  <c r="U22" i="5"/>
  <c r="U15" i="5"/>
  <c r="U23" i="5"/>
  <c r="U16" i="5"/>
  <c r="U24" i="5"/>
  <c r="AB17" i="5"/>
  <c r="AB10" i="5"/>
  <c r="AB18" i="5"/>
  <c r="AB11" i="5"/>
  <c r="AB19" i="5"/>
  <c r="AB16" i="5"/>
  <c r="AB12" i="5"/>
  <c r="AB20" i="5"/>
  <c r="AB24" i="5"/>
  <c r="AB13" i="5"/>
  <c r="AB21" i="5"/>
  <c r="AB14" i="5"/>
  <c r="AB22" i="5"/>
  <c r="AB15" i="5"/>
  <c r="AB23" i="5"/>
  <c r="T17" i="5"/>
  <c r="T10" i="5"/>
  <c r="T18" i="5"/>
  <c r="T11" i="5"/>
  <c r="T19" i="5"/>
  <c r="T12" i="5"/>
  <c r="T20" i="5"/>
  <c r="T16" i="5"/>
  <c r="T13" i="5"/>
  <c r="T21" i="5"/>
  <c r="T24" i="5"/>
  <c r="T14" i="5"/>
  <c r="T22" i="5"/>
  <c r="T15" i="5"/>
  <c r="T23" i="5"/>
  <c r="P13" i="5"/>
  <c r="P21" i="5"/>
  <c r="P14" i="5"/>
  <c r="P22" i="5"/>
  <c r="P15" i="5"/>
  <c r="P23" i="5"/>
  <c r="P10" i="5"/>
  <c r="P18" i="5"/>
  <c r="P12" i="5"/>
  <c r="P16" i="5"/>
  <c r="P24" i="5"/>
  <c r="P17" i="5"/>
  <c r="P11" i="5"/>
  <c r="P19" i="5"/>
  <c r="P20" i="5"/>
  <c r="AC10" i="5"/>
  <c r="AC18" i="5"/>
  <c r="AC11" i="5"/>
  <c r="AC19" i="5"/>
  <c r="AC12" i="5"/>
  <c r="AC20" i="5"/>
  <c r="AC13" i="5"/>
  <c r="AC21" i="5"/>
  <c r="AC15" i="5"/>
  <c r="AC23" i="5"/>
  <c r="AC14" i="5"/>
  <c r="AC22" i="5"/>
  <c r="AC16" i="5"/>
  <c r="AC24" i="5"/>
  <c r="AC17" i="5"/>
  <c r="I14" i="5"/>
  <c r="I22" i="5"/>
  <c r="I15" i="5"/>
  <c r="I23" i="5"/>
  <c r="I16" i="5"/>
  <c r="I24" i="5"/>
  <c r="I19" i="5"/>
  <c r="I13" i="5"/>
  <c r="I17" i="5"/>
  <c r="I11" i="5"/>
  <c r="I10" i="5"/>
  <c r="I18" i="5"/>
  <c r="I12" i="5"/>
  <c r="I20" i="5"/>
  <c r="I21" i="5"/>
  <c r="H13" i="5"/>
  <c r="H21" i="5"/>
  <c r="H14" i="5"/>
  <c r="H22" i="5"/>
  <c r="H15" i="5"/>
  <c r="H23" i="5"/>
  <c r="H16" i="5"/>
  <c r="H24" i="5"/>
  <c r="H10" i="5"/>
  <c r="H18" i="5"/>
  <c r="H17" i="5"/>
  <c r="H12" i="5"/>
  <c r="H11" i="5"/>
  <c r="H19" i="5"/>
  <c r="H20" i="5"/>
  <c r="Z15" i="5"/>
  <c r="Z23" i="5"/>
  <c r="Z16" i="5"/>
  <c r="Z24" i="5"/>
  <c r="Z17" i="5"/>
  <c r="Z14" i="5"/>
  <c r="Z10" i="5"/>
  <c r="Z18" i="5"/>
  <c r="Z11" i="5"/>
  <c r="Z19" i="5"/>
  <c r="Z12" i="5"/>
  <c r="Z20" i="5"/>
  <c r="Z13" i="5"/>
  <c r="Z21" i="5"/>
  <c r="Z22" i="5"/>
  <c r="R11" i="5"/>
  <c r="R19" i="5"/>
  <c r="R12" i="5"/>
  <c r="R20" i="5"/>
  <c r="R13" i="5"/>
  <c r="R21" i="5"/>
  <c r="R10" i="5"/>
  <c r="R14" i="5"/>
  <c r="R22" i="5"/>
  <c r="R16" i="5"/>
  <c r="R24" i="5"/>
  <c r="R15" i="5"/>
  <c r="R23" i="5"/>
  <c r="R17" i="5"/>
  <c r="R18" i="5"/>
  <c r="AA16" i="5"/>
  <c r="AA24" i="5"/>
  <c r="AA17" i="5"/>
  <c r="AA10" i="5"/>
  <c r="AA18" i="5"/>
  <c r="AA15" i="5"/>
  <c r="AA11" i="5"/>
  <c r="AA19" i="5"/>
  <c r="AA12" i="5"/>
  <c r="AA20" i="5"/>
  <c r="AA13" i="5"/>
  <c r="AA21" i="5"/>
  <c r="AA14" i="5"/>
  <c r="AA22" i="5"/>
  <c r="AA23" i="5"/>
  <c r="L17" i="5"/>
  <c r="L10" i="5"/>
  <c r="L18" i="5"/>
  <c r="L11" i="5"/>
  <c r="L19" i="5"/>
  <c r="L16" i="5"/>
  <c r="L12" i="5"/>
  <c r="L20" i="5"/>
  <c r="L14" i="5"/>
  <c r="L22" i="5"/>
  <c r="L13" i="5"/>
  <c r="L21" i="5"/>
  <c r="L15" i="5"/>
  <c r="L23" i="5"/>
  <c r="L24" i="5"/>
  <c r="X13" i="5"/>
  <c r="X21" i="5"/>
  <c r="X20" i="5"/>
  <c r="X14" i="5"/>
  <c r="X22" i="5"/>
  <c r="X15" i="5"/>
  <c r="X23" i="5"/>
  <c r="X12" i="5"/>
  <c r="X16" i="5"/>
  <c r="X24" i="5"/>
  <c r="X17" i="5"/>
  <c r="X10" i="5"/>
  <c r="X18" i="5"/>
  <c r="X11" i="5"/>
  <c r="X19" i="5"/>
  <c r="S16" i="5"/>
  <c r="S24" i="5"/>
  <c r="S17" i="5"/>
  <c r="S10" i="5"/>
  <c r="S18" i="5"/>
  <c r="S15" i="5"/>
  <c r="S11" i="5"/>
  <c r="S19" i="5"/>
  <c r="S12" i="5"/>
  <c r="S20" i="5"/>
  <c r="S13" i="5"/>
  <c r="S21" i="5"/>
  <c r="S14" i="5"/>
  <c r="S22" i="5"/>
  <c r="S23" i="5"/>
  <c r="K16" i="5"/>
  <c r="K24" i="5"/>
  <c r="K17" i="5"/>
  <c r="K10" i="5"/>
  <c r="K18" i="5"/>
  <c r="K21" i="5"/>
  <c r="K11" i="5"/>
  <c r="K19" i="5"/>
  <c r="K13" i="5"/>
  <c r="K15" i="5"/>
  <c r="K12" i="5"/>
  <c r="K20" i="5"/>
  <c r="K14" i="5"/>
  <c r="K22" i="5"/>
  <c r="K23" i="5"/>
  <c r="F15" i="5"/>
  <c r="F23" i="5"/>
  <c r="F24" i="5"/>
  <c r="F22" i="5"/>
  <c r="F16" i="5"/>
  <c r="F17" i="5"/>
  <c r="F12" i="5"/>
  <c r="F20" i="5"/>
  <c r="F10" i="5"/>
  <c r="F18" i="5"/>
  <c r="F11" i="5"/>
  <c r="F19" i="5"/>
  <c r="F13" i="5"/>
  <c r="F21" i="5"/>
  <c r="F14" i="5"/>
  <c r="AI21" i="5" l="1"/>
  <c r="F58" i="2" s="1"/>
  <c r="AV17" i="5" a="1"/>
  <c r="AV17" i="5" s="1"/>
  <c r="AV14" i="5" a="1"/>
  <c r="AV14" i="5" s="1"/>
  <c r="AV12" i="5" a="1"/>
  <c r="AV12" i="5" s="1"/>
  <c r="AU17" i="5" a="1"/>
  <c r="AU17" i="5" s="1"/>
  <c r="AV19" i="5" a="1"/>
  <c r="AV19" i="5" s="1"/>
  <c r="AV13" i="5" a="1"/>
  <c r="AV13" i="5" s="1"/>
  <c r="AV11" i="5" a="1"/>
  <c r="AV11" i="5" s="1"/>
  <c r="AV15" i="5" a="1"/>
  <c r="AV15" i="5" s="1"/>
  <c r="AU14" i="5" a="1"/>
  <c r="AU14" i="5" s="1"/>
  <c r="AU20" i="5" a="1"/>
  <c r="AU20" i="5" s="1"/>
  <c r="AU18" i="5" a="1"/>
  <c r="AU18" i="5" s="1"/>
  <c r="AU11" i="5" a="1"/>
  <c r="AU11" i="5" s="1"/>
  <c r="AV21" i="5" a="1"/>
  <c r="AV21" i="5" s="1"/>
  <c r="AU16" i="5" a="1"/>
  <c r="AU16" i="5" s="1"/>
  <c r="AV22" i="5" a="1"/>
  <c r="AV22" i="5" s="1"/>
  <c r="AV18" i="5" a="1"/>
  <c r="AV18" i="5" s="1"/>
  <c r="AU22" i="5" a="1"/>
  <c r="AU22" i="5" s="1"/>
  <c r="AU21" i="5" a="1"/>
  <c r="AU21" i="5" s="1"/>
  <c r="AU19" i="5" a="1"/>
  <c r="AU19" i="5" s="1"/>
  <c r="AU12" i="5" a="1"/>
  <c r="AU12" i="5" s="1"/>
  <c r="AV16" i="5" a="1"/>
  <c r="AV16" i="5" s="1"/>
  <c r="AV20" i="5" a="1"/>
  <c r="AV20" i="5" s="1"/>
  <c r="AU13" i="5" a="1"/>
  <c r="AU13" i="5" s="1"/>
  <c r="AU15" i="5" a="1"/>
  <c r="AU15" i="5" s="1"/>
  <c r="AI15" i="5"/>
  <c r="F52" i="2" s="1"/>
  <c r="AH23" i="5"/>
  <c r="E60" i="2" s="1"/>
  <c r="AH10" i="5"/>
  <c r="E47" i="2" s="1"/>
  <c r="AH18" i="5"/>
  <c r="E55" i="2" s="1"/>
  <c r="AI10" i="5"/>
  <c r="F47" i="2" s="1"/>
  <c r="AI18" i="5"/>
  <c r="F55" i="2" s="1"/>
  <c r="AI11" i="5"/>
  <c r="F48" i="2" s="1"/>
  <c r="AI19" i="5"/>
  <c r="F56" i="2" s="1"/>
  <c r="AH11" i="5"/>
  <c r="E48" i="2" s="1"/>
  <c r="AH22" i="5"/>
  <c r="E59" i="2" s="1"/>
  <c r="AH24" i="5"/>
  <c r="E61" i="2" s="1"/>
  <c r="AH20" i="5"/>
  <c r="E57" i="2" s="1"/>
  <c r="AH13" i="5"/>
  <c r="E50" i="2" s="1"/>
  <c r="AI16" i="5"/>
  <c r="BD16" i="5" s="1"/>
  <c r="AI24" i="5"/>
  <c r="AI22" i="5"/>
  <c r="F59" i="2" s="1"/>
  <c r="AH21" i="5"/>
  <c r="E58" i="2" s="1"/>
  <c r="AI23" i="5"/>
  <c r="F60" i="2" s="1"/>
  <c r="AH12" i="5"/>
  <c r="E49" i="2" s="1"/>
  <c r="AH16" i="5"/>
  <c r="E53" i="2" s="1"/>
  <c r="AI12" i="5"/>
  <c r="F49" i="2" s="1"/>
  <c r="AI20" i="5"/>
  <c r="F57" i="2" s="1"/>
  <c r="AI13" i="5"/>
  <c r="F50" i="2" s="1"/>
  <c r="AI14" i="5"/>
  <c r="F51" i="2" s="1"/>
  <c r="AH17" i="5"/>
  <c r="E54" i="2" s="1"/>
  <c r="AH14" i="5"/>
  <c r="E51" i="2" s="1"/>
  <c r="AH19" i="5"/>
  <c r="E56" i="2" s="1"/>
  <c r="AH15" i="5"/>
  <c r="E52" i="2" s="1"/>
  <c r="AI17" i="5"/>
  <c r="F54" i="2" s="1"/>
  <c r="F61" i="2" l="1"/>
  <c r="BD24" i="5"/>
  <c r="AJ23" i="5"/>
  <c r="G60" i="2" s="1"/>
  <c r="BD23" i="5"/>
  <c r="BD21" i="5"/>
  <c r="AW14" i="5"/>
  <c r="AW16" i="5"/>
  <c r="AW21" i="5"/>
  <c r="AW19" i="5"/>
  <c r="AJ10" i="5"/>
  <c r="G47" i="2" s="1"/>
  <c r="AW17" i="5"/>
  <c r="AW18" i="5"/>
  <c r="AW15" i="5"/>
  <c r="AJ15" i="5"/>
  <c r="G52" i="2" s="1"/>
  <c r="AW22" i="5"/>
  <c r="AW20" i="5"/>
  <c r="AW13" i="5"/>
  <c r="AW12" i="5"/>
  <c r="AK23" i="5"/>
  <c r="H60" i="2" s="1"/>
  <c r="BD13" i="5"/>
  <c r="BD11" i="5"/>
  <c r="AK10" i="5"/>
  <c r="H47" i="2" s="1"/>
  <c r="BD10" i="5"/>
  <c r="AK11" i="5"/>
  <c r="H48" i="2" s="1"/>
  <c r="AJ11" i="5"/>
  <c r="G48" i="2" s="1"/>
  <c r="AK15" i="5"/>
  <c r="H52" i="2" s="1"/>
  <c r="AJ21" i="5"/>
  <c r="G58" i="2" s="1"/>
  <c r="BD15" i="5"/>
  <c r="AK24" i="5"/>
  <c r="H61" i="2" s="1"/>
  <c r="AJ22" i="5"/>
  <c r="G59" i="2" s="1"/>
  <c r="AJ18" i="5"/>
  <c r="G55" i="2" s="1"/>
  <c r="AK22" i="5"/>
  <c r="H59" i="2" s="1"/>
  <c r="AK18" i="5"/>
  <c r="H55" i="2" s="1"/>
  <c r="AJ14" i="5"/>
  <c r="G51" i="2" s="1"/>
  <c r="BD19" i="5"/>
  <c r="AJ16" i="5"/>
  <c r="G53" i="2" s="1"/>
  <c r="F53" i="2"/>
  <c r="BD18" i="5"/>
  <c r="AK16" i="5"/>
  <c r="H53" i="2" s="1"/>
  <c r="AJ17" i="5"/>
  <c r="G54" i="2" s="1"/>
  <c r="BD22" i="5"/>
  <c r="BD14" i="5"/>
  <c r="AK14" i="5"/>
  <c r="H51" i="2" s="1"/>
  <c r="AJ24" i="5"/>
  <c r="G61" i="2" s="1"/>
  <c r="AK13" i="5"/>
  <c r="H50" i="2" s="1"/>
  <c r="AJ20" i="5"/>
  <c r="G57" i="2" s="1"/>
  <c r="BD20" i="5"/>
  <c r="AJ13" i="5"/>
  <c r="G50" i="2" s="1"/>
  <c r="AK20" i="5"/>
  <c r="H57" i="2" s="1"/>
  <c r="AR28" i="5" a="1"/>
  <c r="AR28" i="5" s="1"/>
  <c r="J13" i="2" s="1"/>
  <c r="AJ19" i="5"/>
  <c r="G56" i="2" s="1"/>
  <c r="AK19" i="5"/>
  <c r="H56" i="2" s="1"/>
  <c r="AK12" i="5"/>
  <c r="H49" i="2" s="1"/>
  <c r="BD12" i="5"/>
  <c r="AK21" i="5"/>
  <c r="H58" i="2" s="1"/>
  <c r="AJ12" i="5"/>
  <c r="G49" i="2" s="1"/>
  <c r="BD17" i="5"/>
  <c r="AK17" i="5"/>
  <c r="H54" i="2" s="1"/>
  <c r="AW11" i="5"/>
  <c r="AR29" i="5" a="1"/>
  <c r="AR29" i="5" s="1"/>
  <c r="J17" i="2" s="1"/>
  <c r="BF18" i="5" l="1" a="1"/>
  <c r="BF18" i="5" s="1"/>
  <c r="BF17" i="5" a="1"/>
  <c r="BF17" i="5" s="1"/>
  <c r="BF10" i="5" a="1"/>
  <c r="BF10" i="5" s="1"/>
  <c r="BG10" i="5" s="1"/>
  <c r="BF16" i="5" a="1"/>
  <c r="BF16" i="5" s="1"/>
  <c r="BF24" i="5" a="1"/>
  <c r="BF24" i="5" s="1"/>
  <c r="BF23" i="5" a="1"/>
  <c r="BF23" i="5" s="1"/>
  <c r="BF15" i="5" a="1"/>
  <c r="BF15" i="5" s="1"/>
  <c r="BF13" i="5" a="1"/>
  <c r="BF13" i="5" s="1"/>
  <c r="BF20" i="5" a="1"/>
  <c r="BF20" i="5" s="1"/>
  <c r="BF12" i="5" a="1"/>
  <c r="BF12" i="5" s="1"/>
  <c r="BF11" i="5" a="1"/>
  <c r="BF11" i="5" s="1"/>
  <c r="BF22" i="5" a="1"/>
  <c r="BF22" i="5" s="1"/>
  <c r="BF14" i="5" a="1"/>
  <c r="BF14" i="5" s="1"/>
  <c r="BF21" i="5" a="1"/>
  <c r="BF21" i="5" s="1"/>
  <c r="BF19" i="5" a="1"/>
  <c r="BF19" i="5" s="1"/>
  <c r="AR31" i="5"/>
  <c r="J25" i="2" s="1"/>
  <c r="AR30" i="5"/>
  <c r="J21" i="2" s="1"/>
  <c r="BG11" i="5" l="1"/>
  <c r="BH11" i="5" s="1"/>
  <c r="BG12" i="5"/>
  <c r="BH12" i="5" s="1"/>
  <c r="BG17" i="5"/>
  <c r="BH17" i="5" s="1"/>
  <c r="BG13" i="5"/>
  <c r="BH13" i="5" s="1"/>
  <c r="BG19" i="5"/>
  <c r="BH19" i="5" s="1"/>
  <c r="BG15" i="5"/>
  <c r="BH15" i="5" s="1"/>
  <c r="BG21" i="5"/>
  <c r="BH21" i="5" s="1"/>
  <c r="BG23" i="5"/>
  <c r="BH23" i="5" s="1"/>
  <c r="BH10" i="5"/>
  <c r="BG14" i="5"/>
  <c r="BH14" i="5" s="1"/>
  <c r="BG24" i="5"/>
  <c r="BH24" i="5" s="1"/>
  <c r="BG22" i="5"/>
  <c r="BH22" i="5" s="1"/>
  <c r="BG16" i="5"/>
  <c r="BH16" i="5" s="1"/>
  <c r="BG20" i="5"/>
  <c r="BH20" i="5" s="1"/>
  <c r="BG18" i="5"/>
  <c r="BH18" i="5" s="1"/>
  <c r="BH8" i="5" l="1"/>
</calcChain>
</file>

<file path=xl/sharedStrings.xml><?xml version="1.0" encoding="utf-8"?>
<sst xmlns="http://schemas.openxmlformats.org/spreadsheetml/2006/main" count="142" uniqueCount="105">
  <si>
    <t>EXPENSE ANALYSIS DASHBOARD</t>
  </si>
  <si>
    <t>DASHBOARD</t>
  </si>
  <si>
    <t>Expense Category</t>
  </si>
  <si>
    <t>All</t>
  </si>
  <si>
    <t>Analysis Month</t>
  </si>
  <si>
    <t>SETTINGS</t>
  </si>
  <si>
    <t>ESTIMATED EXPENSES</t>
  </si>
  <si>
    <t>Start Year</t>
  </si>
  <si>
    <t>Start Month</t>
  </si>
  <si>
    <t>January</t>
  </si>
  <si>
    <t>Currency</t>
  </si>
  <si>
    <t>USD</t>
  </si>
  <si>
    <t>ACTUAL EXPENSES</t>
  </si>
  <si>
    <t>DIFFERENCE</t>
  </si>
  <si>
    <t>ACT / EST</t>
  </si>
  <si>
    <t>EXPENSE BREAKDOWN</t>
  </si>
  <si>
    <t>Expense Type</t>
  </si>
  <si>
    <t>Estimates</t>
  </si>
  <si>
    <t>Actuals</t>
  </si>
  <si>
    <t>Difference</t>
  </si>
  <si>
    <t>Act / Est %</t>
  </si>
  <si>
    <t>Employee Costs</t>
  </si>
  <si>
    <t>International salaries</t>
  </si>
  <si>
    <t>India process Salaries</t>
  </si>
  <si>
    <t>Other Salaries</t>
  </si>
  <si>
    <t>Employee Benefit Expenses</t>
  </si>
  <si>
    <t>Office Costs</t>
  </si>
  <si>
    <t>Security Charges</t>
  </si>
  <si>
    <t>Office lease</t>
  </si>
  <si>
    <t>Furniture Purchase</t>
  </si>
  <si>
    <t>Vehicle Maintainance</t>
  </si>
  <si>
    <t>Santro Petrol</t>
  </si>
  <si>
    <t>Santro Maintenance</t>
  </si>
  <si>
    <t>Micra Maintainance</t>
  </si>
  <si>
    <t>Food and Beverages</t>
  </si>
  <si>
    <t>Employee Food Expenses</t>
  </si>
  <si>
    <t>Extra Food Expenses</t>
  </si>
  <si>
    <t>DYNAMIC MONTHLY TOTALS</t>
  </si>
  <si>
    <t>Categories</t>
  </si>
  <si>
    <t>Expense Types</t>
  </si>
  <si>
    <t>Expense Chart</t>
  </si>
  <si>
    <t>Analaysis Month</t>
  </si>
  <si>
    <t>Row #</t>
  </si>
  <si>
    <t>Dates and Monthly Chart</t>
  </si>
  <si>
    <t>Main Calculation Table</t>
  </si>
  <si>
    <t>Estimated</t>
  </si>
  <si>
    <t>Actual</t>
  </si>
  <si>
    <t>Estimated Index</t>
  </si>
  <si>
    <t>Actual Index</t>
  </si>
  <si>
    <t>Category Number</t>
  </si>
  <si>
    <t>Expense Type Number</t>
  </si>
  <si>
    <t>Col Index</t>
  </si>
  <si>
    <t>Filters</t>
  </si>
  <si>
    <t>Dates</t>
  </si>
  <si>
    <t>Indexes</t>
  </si>
  <si>
    <t>Values</t>
  </si>
  <si>
    <t>Without Duplicates</t>
  </si>
  <si>
    <t>Without Blanks</t>
  </si>
  <si>
    <t>Row Number</t>
  </si>
  <si>
    <t>Row Index</t>
  </si>
  <si>
    <t>Check</t>
  </si>
  <si>
    <t>Category</t>
  </si>
  <si>
    <t>Total</t>
  </si>
  <si>
    <t>Act / Est</t>
  </si>
  <si>
    <t>Months</t>
  </si>
  <si>
    <t>Date</t>
  </si>
  <si>
    <t>Month Abb.</t>
  </si>
  <si>
    <t>Year</t>
  </si>
  <si>
    <t>Year &amp; Mont</t>
  </si>
  <si>
    <t>Types</t>
  </si>
  <si>
    <t>Act /Est</t>
  </si>
  <si>
    <t>Jan</t>
  </si>
  <si>
    <t>February</t>
  </si>
  <si>
    <t>Feb</t>
  </si>
  <si>
    <t>March</t>
  </si>
  <si>
    <t>Mar</t>
  </si>
  <si>
    <t>April</t>
  </si>
  <si>
    <t>Apr</t>
  </si>
  <si>
    <t>May</t>
  </si>
  <si>
    <t>June</t>
  </si>
  <si>
    <t>Jun</t>
  </si>
  <si>
    <t>July</t>
  </si>
  <si>
    <t>Jul</t>
  </si>
  <si>
    <t>August</t>
  </si>
  <si>
    <t>Aug</t>
  </si>
  <si>
    <t>September</t>
  </si>
  <si>
    <t>Sep</t>
  </si>
  <si>
    <t>October</t>
  </si>
  <si>
    <t>Oct</t>
  </si>
  <si>
    <t>November</t>
  </si>
  <si>
    <t>Nov</t>
  </si>
  <si>
    <t>December</t>
  </si>
  <si>
    <t>Dec</t>
  </si>
  <si>
    <t>Totals</t>
  </si>
  <si>
    <t>Act/Est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</si>
  <si>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</si>
  <si>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</si>
  <si>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</si>
  <si>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</si>
  <si>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</si>
  <si>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</si>
  <si>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</si>
  <si>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</si>
  <si>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</si>
  <si>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Print 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</si>
</sst>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#,##0.0"/>
    <numFmt numFmtId="165" formatCode="[$$-409]#,##0.00"/>
    <numFmt numFmtId="166" formatCode="0.0%"/>
    <numFmt numFmtId="167" formatCode="[$-409]d\-mmm\-yy;@"/>
  </numFmts>
  <fonts count="30" x14ac:knownFonts="1"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b/>
      <sz val="11"/>
      <color theme="0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1"/>
      <color theme="0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b/>
      <sz val="11"/>
      <color rgb="FF1F4E78"/>
      <name val="Arial"/>
      <family val="2"/>
      <charset val="162"/>
      <scheme val="minor"/>
    </font>
    <font>
      <sz val="11"/>
      <color rgb="FF2E86AB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12"/>
      <color theme="0"/>
      <name val="Arial"/>
      <family val="2"/>
      <charset val="162"/>
      <scheme val="minor"/>
    </font>
    <font>
      <b/>
      <sz val="12"/>
      <color rgb="FF1F4E78"/>
      <name val="Arial"/>
      <family val="2"/>
      <charset val="162"/>
      <scheme val="minor"/>
    </font>
    <font>
      <sz val="11"/>
      <name val="Arial"/>
      <family val="2"/>
      <scheme val="minor"/>
    </font>
    <font>
      <sz val="11"/>
      <color rgb="FF1F4E78"/>
      <name val="Arial"/>
      <family val="2"/>
      <charset val="162"/>
      <scheme val="minor"/>
    </font>
    <font>
      <sz val="11"/>
      <color theme="1"/>
      <name val="Arial"/>
      <family val="2"/>
      <charset val="162"/>
    </font>
    <font>
      <b/>
      <sz val="14"/>
      <color theme="0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1"/>
      <color theme="8" tint="-0.499984740745262"/>
      <name val="Arial"/>
      <family val="2"/>
      <charset val="162"/>
      <scheme val="minor"/>
    </font>
    <font>
      <sz val="8"/>
      <name val="Arial"/>
      <family val="2"/>
      <charset val="16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2F2F2"/>
        <bgColor indexed="64"/>
      </patternFill>
    </fill>
  </fills>
  <borders count="32">
    <border>
      <left/>
      <right/>
      <top/>
      <bottom/>
      <diagonal/>
    </border>
    <border>
      <left style="thin">
        <color rgb="FF3D405B"/>
      </left>
      <right/>
      <top style="thin">
        <color rgb="FF3D405B"/>
      </top>
      <bottom/>
      <diagonal/>
    </border>
    <border>
      <left/>
      <right/>
      <top style="thin">
        <color rgb="FF3D405B"/>
      </top>
      <bottom/>
      <diagonal/>
    </border>
    <border>
      <left/>
      <right style="thin">
        <color rgb="FF3D405B"/>
      </right>
      <top style="thin">
        <color rgb="FF3D405B"/>
      </top>
      <bottom/>
      <diagonal/>
    </border>
    <border>
      <left style="thin">
        <color rgb="FF3D405B"/>
      </left>
      <right/>
      <top/>
      <bottom/>
      <diagonal/>
    </border>
    <border>
      <left/>
      <right style="thin">
        <color rgb="FF3D405B"/>
      </right>
      <top/>
      <bottom/>
      <diagonal/>
    </border>
    <border>
      <left style="thin">
        <color rgb="FF3D405B"/>
      </left>
      <right/>
      <top/>
      <bottom style="thin">
        <color rgb="FF3D405B"/>
      </bottom>
      <diagonal/>
    </border>
    <border>
      <left/>
      <right/>
      <top/>
      <bottom style="thin">
        <color rgb="FF3D405B"/>
      </bottom>
      <diagonal/>
    </border>
    <border>
      <left/>
      <right style="thin">
        <color rgb="FF3D405B"/>
      </right>
      <top/>
      <bottom style="thin">
        <color rgb="FF3D405B"/>
      </bottom>
      <diagonal/>
    </border>
    <border>
      <left style="thin">
        <color rgb="FF3D405B"/>
      </left>
      <right/>
      <top style="thin">
        <color rgb="FF3D405B"/>
      </top>
      <bottom style="thin">
        <color rgb="FF3D405B"/>
      </bottom>
      <diagonal/>
    </border>
    <border>
      <left/>
      <right/>
      <top style="thin">
        <color rgb="FF3D405B"/>
      </top>
      <bottom style="thin">
        <color rgb="FF3D405B"/>
      </bottom>
      <diagonal/>
    </border>
    <border>
      <left/>
      <right style="thin">
        <color rgb="FF3D405B"/>
      </right>
      <top style="thin">
        <color rgb="FF3D405B"/>
      </top>
      <bottom style="thin">
        <color rgb="FF3D405B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 tint="-0.14996795556505021"/>
      </top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5">
    <xf numFmtId="0" fontId="0" fillId="0" borderId="0"/>
    <xf numFmtId="0" fontId="5" fillId="0" borderId="0"/>
    <xf numFmtId="0" fontId="1" fillId="0" borderId="0"/>
    <xf numFmtId="0" fontId="21" fillId="0" borderId="0"/>
    <xf numFmtId="0" fontId="1" fillId="0" borderId="0"/>
  </cellStyleXfs>
  <cellXfs count="180">
    <xf numFmtId="0" fontId="0" fillId="0" borderId="0" xfId="0"/>
    <xf numFmtId="0" fontId="5" fillId="2" borderId="0" xfId="1" applyFill="1" applyAlignment="1">
      <alignment vertical="center"/>
    </xf>
    <xf numFmtId="49" fontId="5" fillId="2" borderId="0" xfId="1" applyNumberFormat="1" applyFill="1" applyAlignment="1">
      <alignment horizontal="center" vertical="center"/>
    </xf>
    <xf numFmtId="0" fontId="5" fillId="2" borderId="0" xfId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49" fontId="7" fillId="3" borderId="0" xfId="1" applyNumberFormat="1" applyFont="1" applyFill="1" applyAlignment="1">
      <alignment horizontal="left" vertical="center" indent="1"/>
    </xf>
    <xf numFmtId="0" fontId="6" fillId="3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8" fillId="2" borderId="0" xfId="1" applyFont="1" applyFill="1" applyAlignment="1">
      <alignment vertical="center"/>
    </xf>
    <xf numFmtId="49" fontId="9" fillId="4" borderId="0" xfId="1" applyNumberFormat="1" applyFont="1" applyFill="1" applyAlignment="1">
      <alignment horizontal="left" vertical="center" indent="1"/>
    </xf>
    <xf numFmtId="0" fontId="9" fillId="4" borderId="0" xfId="1" applyFont="1" applyFill="1" applyAlignment="1">
      <alignment horizontal="center" vertical="center"/>
    </xf>
    <xf numFmtId="0" fontId="9" fillId="2" borderId="0" xfId="1" applyFont="1" applyFill="1" applyAlignment="1">
      <alignment horizontal="center" vertical="center"/>
    </xf>
    <xf numFmtId="0" fontId="1" fillId="2" borderId="0" xfId="2" applyFill="1" applyAlignment="1">
      <alignment vertical="center"/>
    </xf>
    <xf numFmtId="0" fontId="5" fillId="2" borderId="0" xfId="1" applyFill="1"/>
    <xf numFmtId="0" fontId="5" fillId="2" borderId="1" xfId="1" applyFill="1" applyBorder="1"/>
    <xf numFmtId="0" fontId="5" fillId="2" borderId="2" xfId="1" applyFill="1" applyBorder="1"/>
    <xf numFmtId="0" fontId="5" fillId="2" borderId="3" xfId="1" applyFill="1" applyBorder="1"/>
    <xf numFmtId="0" fontId="5" fillId="2" borderId="0" xfId="1" applyFill="1" applyAlignment="1">
      <alignment horizontal="centerContinuous"/>
    </xf>
    <xf numFmtId="0" fontId="5" fillId="2" borderId="4" xfId="1" applyFill="1" applyBorder="1"/>
    <xf numFmtId="0" fontId="2" fillId="2" borderId="0" xfId="0" applyFont="1" applyFill="1" applyAlignment="1">
      <alignment horizontal="centerContinuous" vertical="center" shrinkToFit="1"/>
    </xf>
    <xf numFmtId="0" fontId="11" fillId="2" borderId="0" xfId="1" applyFont="1" applyFill="1"/>
    <xf numFmtId="0" fontId="5" fillId="2" borderId="5" xfId="1" applyFill="1" applyBorder="1"/>
    <xf numFmtId="0" fontId="10" fillId="2" borderId="0" xfId="0" applyFont="1" applyFill="1" applyAlignment="1">
      <alignment horizontal="center" vertical="center" shrinkToFit="1"/>
    </xf>
    <xf numFmtId="0" fontId="15" fillId="2" borderId="0" xfId="1" applyFont="1" applyFill="1"/>
    <xf numFmtId="0" fontId="15" fillId="2" borderId="5" xfId="1" applyFont="1" applyFill="1" applyBorder="1"/>
    <xf numFmtId="0" fontId="14" fillId="0" borderId="0" xfId="1" applyFont="1" applyAlignment="1">
      <alignment horizontal="center" vertical="center"/>
    </xf>
    <xf numFmtId="0" fontId="5" fillId="2" borderId="4" xfId="1" applyFill="1" applyBorder="1" applyAlignment="1">
      <alignment vertical="center"/>
    </xf>
    <xf numFmtId="164" fontId="14" fillId="0" borderId="0" xfId="1" applyNumberFormat="1" applyFont="1" applyAlignment="1" applyProtection="1">
      <alignment horizontal="center" vertical="center"/>
      <protection hidden="1"/>
    </xf>
    <xf numFmtId="0" fontId="5" fillId="2" borderId="5" xfId="1" applyFill="1" applyBorder="1" applyAlignment="1">
      <alignment vertical="center"/>
    </xf>
    <xf numFmtId="0" fontId="0" fillId="2" borderId="0" xfId="0" applyFill="1" applyAlignment="1">
      <alignment vertical="center"/>
    </xf>
    <xf numFmtId="0" fontId="14" fillId="0" borderId="0" xfId="1" applyFont="1" applyAlignment="1" applyProtection="1">
      <alignment horizontal="center" vertical="top"/>
      <protection hidden="1"/>
    </xf>
    <xf numFmtId="0" fontId="5" fillId="2" borderId="0" xfId="1" applyFill="1" applyAlignment="1">
      <alignment horizontal="center"/>
    </xf>
    <xf numFmtId="165" fontId="0" fillId="2" borderId="0" xfId="0" applyNumberFormat="1" applyFill="1" applyAlignment="1">
      <alignment vertical="center"/>
    </xf>
    <xf numFmtId="4" fontId="5" fillId="2" borderId="0" xfId="1" applyNumberFormat="1" applyFill="1" applyAlignment="1">
      <alignment horizontal="center"/>
    </xf>
    <xf numFmtId="166" fontId="5" fillId="2" borderId="0" xfId="1" applyNumberFormat="1" applyFill="1" applyAlignment="1">
      <alignment horizontal="center"/>
    </xf>
    <xf numFmtId="0" fontId="13" fillId="5" borderId="0" xfId="1" applyFont="1" applyFill="1" applyAlignment="1">
      <alignment horizontal="center" vertical="center"/>
    </xf>
    <xf numFmtId="164" fontId="13" fillId="5" borderId="0" xfId="1" applyNumberFormat="1" applyFont="1" applyFill="1" applyAlignment="1" applyProtection="1">
      <alignment horizontal="center" vertical="center"/>
      <protection hidden="1"/>
    </xf>
    <xf numFmtId="0" fontId="13" fillId="5" borderId="0" xfId="0" applyFont="1" applyFill="1" applyAlignment="1" applyProtection="1">
      <alignment horizontal="center" vertical="top"/>
      <protection hidden="1"/>
    </xf>
    <xf numFmtId="0" fontId="0" fillId="2" borderId="0" xfId="0" applyFill="1" applyAlignment="1">
      <alignment horizontal="center" vertical="center"/>
    </xf>
    <xf numFmtId="166" fontId="13" fillId="5" borderId="0" xfId="1" applyNumberFormat="1" applyFont="1" applyFill="1" applyAlignment="1" applyProtection="1">
      <alignment horizontal="center" vertical="center"/>
      <protection hidden="1"/>
    </xf>
    <xf numFmtId="0" fontId="13" fillId="5" borderId="0" xfId="0" applyFont="1" applyFill="1" applyAlignment="1">
      <alignment horizontal="center" vertical="center"/>
    </xf>
    <xf numFmtId="0" fontId="17" fillId="2" borderId="0" xfId="1" applyFont="1" applyFill="1"/>
    <xf numFmtId="0" fontId="5" fillId="2" borderId="6" xfId="1" applyFill="1" applyBorder="1"/>
    <xf numFmtId="0" fontId="5" fillId="2" borderId="7" xfId="1" applyFill="1" applyBorder="1"/>
    <xf numFmtId="0" fontId="5" fillId="2" borderId="8" xfId="1" applyFill="1" applyBorder="1"/>
    <xf numFmtId="0" fontId="18" fillId="5" borderId="9" xfId="1" applyFont="1" applyFill="1" applyBorder="1" applyAlignment="1">
      <alignment vertical="center"/>
    </xf>
    <xf numFmtId="0" fontId="18" fillId="5" borderId="10" xfId="1" applyFont="1" applyFill="1" applyBorder="1" applyAlignment="1">
      <alignment vertical="center"/>
    </xf>
    <xf numFmtId="164" fontId="18" fillId="5" borderId="10" xfId="1" applyNumberFormat="1" applyFont="1" applyFill="1" applyBorder="1" applyAlignment="1">
      <alignment vertical="center"/>
    </xf>
    <xf numFmtId="0" fontId="18" fillId="5" borderId="11" xfId="1" applyFont="1" applyFill="1" applyBorder="1" applyAlignment="1">
      <alignment vertical="center"/>
    </xf>
    <xf numFmtId="0" fontId="5" fillId="0" borderId="1" xfId="1" applyBorder="1"/>
    <xf numFmtId="0" fontId="5" fillId="0" borderId="2" xfId="1" applyBorder="1"/>
    <xf numFmtId="164" fontId="5" fillId="0" borderId="2" xfId="1" applyNumberFormat="1" applyBorder="1"/>
    <xf numFmtId="0" fontId="5" fillId="0" borderId="3" xfId="1" applyBorder="1"/>
    <xf numFmtId="0" fontId="5" fillId="0" borderId="4" xfId="1" applyBorder="1"/>
    <xf numFmtId="0" fontId="3" fillId="6" borderId="0" xfId="0" applyFont="1" applyFill="1" applyAlignment="1">
      <alignment vertical="center"/>
    </xf>
    <xf numFmtId="0" fontId="3" fillId="6" borderId="0" xfId="0" applyFont="1" applyFill="1" applyAlignment="1">
      <alignment horizontal="center" vertical="center"/>
    </xf>
    <xf numFmtId="164" fontId="0" fillId="0" borderId="0" xfId="0" applyNumberFormat="1" applyAlignment="1" applyProtection="1">
      <alignment horizontal="center" vertical="center" shrinkToFit="1"/>
      <protection hidden="1"/>
    </xf>
    <xf numFmtId="0" fontId="5" fillId="0" borderId="0" xfId="1"/>
    <xf numFmtId="0" fontId="5" fillId="0" borderId="5" xfId="1" applyBorder="1"/>
    <xf numFmtId="0" fontId="0" fillId="0" borderId="0" xfId="0" applyAlignment="1" applyProtection="1">
      <alignment vertical="center" shrinkToFit="1"/>
      <protection hidden="1"/>
    </xf>
    <xf numFmtId="166" fontId="0" fillId="0" borderId="0" xfId="0" applyNumberFormat="1" applyAlignment="1" applyProtection="1">
      <alignment horizontal="center" vertical="center" shrinkToFit="1"/>
      <protection hidden="1"/>
    </xf>
    <xf numFmtId="0" fontId="0" fillId="0" borderId="0" xfId="0" applyAlignment="1" applyProtection="1">
      <alignment shrinkToFit="1"/>
      <protection hidden="1"/>
    </xf>
    <xf numFmtId="164" fontId="0" fillId="0" borderId="0" xfId="0" applyNumberFormat="1" applyAlignment="1" applyProtection="1">
      <alignment horizontal="center" shrinkToFit="1"/>
      <protection hidden="1"/>
    </xf>
    <xf numFmtId="166" fontId="0" fillId="0" borderId="0" xfId="0" applyNumberFormat="1" applyAlignment="1" applyProtection="1">
      <alignment horizontal="center" shrinkToFit="1"/>
      <protection hidden="1"/>
    </xf>
    <xf numFmtId="0" fontId="5" fillId="0" borderId="6" xfId="1" applyBorder="1"/>
    <xf numFmtId="0" fontId="5" fillId="0" borderId="7" xfId="1" applyBorder="1"/>
    <xf numFmtId="0" fontId="5" fillId="0" borderId="8" xfId="1" applyBorder="1"/>
    <xf numFmtId="0" fontId="0" fillId="7" borderId="0" xfId="0" applyFill="1" applyAlignment="1">
      <alignment horizontal="center"/>
    </xf>
    <xf numFmtId="49" fontId="7" fillId="3" borderId="0" xfId="0" applyNumberFormat="1" applyFont="1" applyFill="1" applyAlignment="1">
      <alignment horizontal="left" vertical="center" indent="4"/>
    </xf>
    <xf numFmtId="0" fontId="6" fillId="3" borderId="0" xfId="0" applyFont="1" applyFill="1" applyAlignment="1">
      <alignment horizontal="center" vertical="center"/>
    </xf>
    <xf numFmtId="0" fontId="19" fillId="8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49" fontId="9" fillId="4" borderId="0" xfId="0" applyNumberFormat="1" applyFont="1" applyFill="1" applyAlignment="1">
      <alignment horizontal="left" vertical="center" indent="4"/>
    </xf>
    <xf numFmtId="0" fontId="9" fillId="4" borderId="0" xfId="0" applyFont="1" applyFill="1" applyAlignment="1">
      <alignment horizontal="center" vertical="center"/>
    </xf>
    <xf numFmtId="0" fontId="20" fillId="9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2" fillId="5" borderId="12" xfId="0" applyFont="1" applyFill="1" applyBorder="1" applyAlignment="1">
      <alignment vertical="center"/>
    </xf>
    <xf numFmtId="0" fontId="2" fillId="5" borderId="12" xfId="0" applyFont="1" applyFill="1" applyBorder="1" applyAlignment="1" applyProtection="1">
      <alignment horizontal="center" vertical="center"/>
      <protection hidden="1"/>
    </xf>
    <xf numFmtId="0" fontId="0" fillId="0" borderId="13" xfId="0" applyBorder="1" applyAlignment="1" applyProtection="1">
      <alignment vertical="center" shrinkToFit="1"/>
      <protection locked="0"/>
    </xf>
    <xf numFmtId="0" fontId="0" fillId="0" borderId="14" xfId="0" applyBorder="1" applyAlignment="1" applyProtection="1">
      <alignment vertical="center" shrinkToFit="1"/>
      <protection locked="0"/>
    </xf>
    <xf numFmtId="164" fontId="0" fillId="0" borderId="14" xfId="0" applyNumberFormat="1" applyBorder="1" applyAlignment="1" applyProtection="1">
      <alignment horizontal="center" vertical="center" shrinkToFit="1"/>
      <protection locked="0"/>
    </xf>
    <xf numFmtId="164" fontId="0" fillId="0" borderId="15" xfId="0" applyNumberFormat="1" applyBorder="1" applyAlignment="1" applyProtection="1">
      <alignment horizontal="center" vertical="center" shrinkToFit="1"/>
      <protection locked="0"/>
    </xf>
    <xf numFmtId="0" fontId="0" fillId="0" borderId="16" xfId="0" applyBorder="1" applyAlignment="1" applyProtection="1">
      <alignment vertical="center" shrinkToFit="1"/>
      <protection locked="0"/>
    </xf>
    <xf numFmtId="0" fontId="0" fillId="0" borderId="17" xfId="0" applyBorder="1" applyAlignment="1" applyProtection="1">
      <alignment vertical="center" shrinkToFit="1"/>
      <protection locked="0"/>
    </xf>
    <xf numFmtId="164" fontId="0" fillId="0" borderId="17" xfId="0" applyNumberFormat="1" applyBorder="1" applyAlignment="1" applyProtection="1">
      <alignment horizontal="center" vertical="center" shrinkToFit="1"/>
      <protection locked="0"/>
    </xf>
    <xf numFmtId="164" fontId="0" fillId="0" borderId="18" xfId="0" applyNumberFormat="1" applyBorder="1" applyAlignment="1" applyProtection="1">
      <alignment horizontal="center" vertical="center" shrinkToFit="1"/>
      <protection locked="0"/>
    </xf>
    <xf numFmtId="0" fontId="0" fillId="0" borderId="19" xfId="0" applyBorder="1" applyAlignment="1" applyProtection="1">
      <alignment vertical="center" shrinkToFit="1"/>
      <protection locked="0"/>
    </xf>
    <xf numFmtId="0" fontId="0" fillId="0" borderId="12" xfId="0" applyBorder="1" applyAlignment="1" applyProtection="1">
      <alignment vertical="center" shrinkToFit="1"/>
      <protection locked="0"/>
    </xf>
    <xf numFmtId="164" fontId="0" fillId="0" borderId="12" xfId="0" applyNumberFormat="1" applyBorder="1" applyAlignment="1" applyProtection="1">
      <alignment horizontal="center" vertical="center" shrinkToFit="1"/>
      <protection locked="0"/>
    </xf>
    <xf numFmtId="164" fontId="0" fillId="0" borderId="20" xfId="0" applyNumberFormat="1" applyBorder="1" applyAlignment="1" applyProtection="1">
      <alignment horizontal="center" vertical="center" shrinkToFit="1"/>
      <protection locked="0"/>
    </xf>
    <xf numFmtId="0" fontId="0" fillId="2" borderId="0" xfId="0" applyFill="1" applyAlignment="1">
      <alignment horizontal="center" shrinkToFit="1"/>
    </xf>
    <xf numFmtId="0" fontId="0" fillId="2" borderId="0" xfId="0" applyFill="1" applyAlignment="1">
      <alignment horizontal="left" shrinkToFit="1"/>
    </xf>
    <xf numFmtId="0" fontId="0" fillId="2" borderId="0" xfId="0" applyFill="1" applyAlignment="1">
      <alignment shrinkToFit="1"/>
    </xf>
    <xf numFmtId="0" fontId="0" fillId="2" borderId="0" xfId="0" applyFill="1" applyAlignment="1">
      <alignment horizontal="center" vertical="center" shrinkToFit="1"/>
    </xf>
    <xf numFmtId="0" fontId="2" fillId="5" borderId="0" xfId="0" applyFont="1" applyFill="1" applyAlignment="1">
      <alignment horizontal="centerContinuous" vertical="center" shrinkToFit="1"/>
    </xf>
    <xf numFmtId="0" fontId="4" fillId="5" borderId="0" xfId="0" applyFont="1" applyFill="1" applyAlignment="1">
      <alignment horizontal="centerContinuous" shrinkToFit="1"/>
    </xf>
    <xf numFmtId="0" fontId="3" fillId="11" borderId="21" xfId="0" applyFont="1" applyFill="1" applyBorder="1" applyAlignment="1">
      <alignment horizontal="center" vertical="center" shrinkToFit="1"/>
    </xf>
    <xf numFmtId="0" fontId="2" fillId="5" borderId="22" xfId="0" applyFont="1" applyFill="1" applyBorder="1" applyAlignment="1">
      <alignment horizontal="centerContinuous" shrinkToFit="1"/>
    </xf>
    <xf numFmtId="0" fontId="2" fillId="5" borderId="23" xfId="0" applyFont="1" applyFill="1" applyBorder="1" applyAlignment="1">
      <alignment horizontal="centerContinuous" shrinkToFit="1"/>
    </xf>
    <xf numFmtId="0" fontId="2" fillId="5" borderId="24" xfId="0" applyFont="1" applyFill="1" applyBorder="1" applyAlignment="1">
      <alignment horizontal="centerContinuous" shrinkToFit="1"/>
    </xf>
    <xf numFmtId="0" fontId="3" fillId="12" borderId="21" xfId="0" applyFont="1" applyFill="1" applyBorder="1" applyAlignment="1">
      <alignment horizontal="centerContinuous" shrinkToFit="1"/>
    </xf>
    <xf numFmtId="0" fontId="3" fillId="13" borderId="21" xfId="0" applyFont="1" applyFill="1" applyBorder="1" applyAlignment="1">
      <alignment horizontal="centerContinuous" shrinkToFit="1"/>
    </xf>
    <xf numFmtId="0" fontId="0" fillId="11" borderId="0" xfId="0" applyFill="1" applyAlignment="1">
      <alignment horizontal="center" vertical="center" shrinkToFit="1"/>
    </xf>
    <xf numFmtId="0" fontId="0" fillId="11" borderId="25" xfId="0" applyFill="1" applyBorder="1" applyAlignment="1">
      <alignment horizontal="center" vertical="center" shrinkToFit="1"/>
    </xf>
    <xf numFmtId="0" fontId="3" fillId="11" borderId="21" xfId="0" applyFont="1" applyFill="1" applyBorder="1" applyAlignment="1">
      <alignment horizontal="center" shrinkToFit="1"/>
    </xf>
    <xf numFmtId="0" fontId="0" fillId="2" borderId="21" xfId="0" applyFill="1" applyBorder="1" applyAlignment="1">
      <alignment shrinkToFit="1"/>
    </xf>
    <xf numFmtId="0" fontId="0" fillId="2" borderId="21" xfId="0" applyFill="1" applyBorder="1" applyAlignment="1">
      <alignment horizontal="center" shrinkToFit="1"/>
    </xf>
    <xf numFmtId="0" fontId="3" fillId="2" borderId="21" xfId="0" applyFont="1" applyFill="1" applyBorder="1" applyAlignment="1">
      <alignment horizontal="center" shrinkToFit="1"/>
    </xf>
    <xf numFmtId="0" fontId="4" fillId="5" borderId="22" xfId="0" applyFont="1" applyFill="1" applyBorder="1" applyAlignment="1">
      <alignment horizontal="centerContinuous" shrinkToFit="1"/>
    </xf>
    <xf numFmtId="0" fontId="4" fillId="5" borderId="24" xfId="0" applyFont="1" applyFill="1" applyBorder="1" applyAlignment="1">
      <alignment horizontal="centerContinuous" shrinkToFit="1"/>
    </xf>
    <xf numFmtId="0" fontId="0" fillId="11" borderId="26" xfId="0" applyFill="1" applyBorder="1" applyAlignment="1">
      <alignment horizontal="center" vertical="center" shrinkToFit="1"/>
    </xf>
    <xf numFmtId="0" fontId="3" fillId="13" borderId="22" xfId="0" applyFont="1" applyFill="1" applyBorder="1" applyAlignment="1">
      <alignment horizontal="centerContinuous" shrinkToFit="1"/>
    </xf>
    <xf numFmtId="0" fontId="3" fillId="13" borderId="23" xfId="0" applyFont="1" applyFill="1" applyBorder="1" applyAlignment="1">
      <alignment horizontal="centerContinuous" shrinkToFit="1"/>
    </xf>
    <xf numFmtId="0" fontId="3" fillId="13" borderId="24" xfId="0" applyFont="1" applyFill="1" applyBorder="1" applyAlignment="1">
      <alignment horizontal="centerContinuous" shrinkToFit="1"/>
    </xf>
    <xf numFmtId="0" fontId="3" fillId="11" borderId="22" xfId="0" applyFont="1" applyFill="1" applyBorder="1" applyAlignment="1">
      <alignment horizontal="centerContinuous" shrinkToFit="1"/>
    </xf>
    <xf numFmtId="0" fontId="3" fillId="11" borderId="24" xfId="0" applyFont="1" applyFill="1" applyBorder="1" applyAlignment="1">
      <alignment horizontal="centerContinuous" shrinkToFit="1"/>
    </xf>
    <xf numFmtId="0" fontId="3" fillId="13" borderId="21" xfId="0" applyFont="1" applyFill="1" applyBorder="1" applyAlignment="1">
      <alignment horizontal="center" shrinkToFit="1"/>
    </xf>
    <xf numFmtId="0" fontId="0" fillId="2" borderId="27" xfId="0" applyFill="1" applyBorder="1" applyAlignment="1">
      <alignment shrinkToFit="1"/>
    </xf>
    <xf numFmtId="0" fontId="3" fillId="2" borderId="21" xfId="0" applyFont="1" applyFill="1" applyBorder="1" applyAlignment="1">
      <alignment horizontal="center" vertical="center" shrinkToFit="1"/>
    </xf>
    <xf numFmtId="0" fontId="3" fillId="13" borderId="21" xfId="0" applyFont="1" applyFill="1" applyBorder="1" applyAlignment="1">
      <alignment horizontal="center" vertical="center" shrinkToFit="1"/>
    </xf>
    <xf numFmtId="0" fontId="0" fillId="11" borderId="21" xfId="0" applyFill="1" applyBorder="1" applyAlignment="1">
      <alignment horizontal="center" shrinkToFit="1"/>
    </xf>
    <xf numFmtId="0" fontId="0" fillId="10" borderId="21" xfId="0" applyFill="1" applyBorder="1" applyAlignment="1">
      <alignment horizontal="center" shrinkToFit="1"/>
    </xf>
    <xf numFmtId="164" fontId="0" fillId="2" borderId="27" xfId="0" applyNumberFormat="1" applyFill="1" applyBorder="1" applyAlignment="1">
      <alignment shrinkToFit="1"/>
    </xf>
    <xf numFmtId="0" fontId="3" fillId="2" borderId="21" xfId="0" applyFont="1" applyFill="1" applyBorder="1" applyAlignment="1">
      <alignment shrinkToFit="1"/>
    </xf>
    <xf numFmtId="49" fontId="7" fillId="3" borderId="0" xfId="1" applyNumberFormat="1" applyFont="1" applyFill="1" applyAlignment="1">
      <alignment horizontal="left" vertical="center" indent="2"/>
    </xf>
    <xf numFmtId="0" fontId="19" fillId="2" borderId="0" xfId="1" applyFont="1" applyFill="1" applyAlignment="1">
      <alignment horizontal="right" vertical="center"/>
    </xf>
    <xf numFmtId="49" fontId="9" fillId="4" borderId="0" xfId="1" applyNumberFormat="1" applyFont="1" applyFill="1" applyAlignment="1">
      <alignment horizontal="left" vertical="center" indent="2"/>
    </xf>
    <xf numFmtId="0" fontId="20" fillId="2" borderId="0" xfId="1" applyFont="1" applyFill="1" applyAlignment="1">
      <alignment horizontal="right" vertical="center"/>
    </xf>
    <xf numFmtId="0" fontId="22" fillId="2" borderId="0" xfId="3" applyFont="1" applyFill="1" applyAlignment="1" applyProtection="1">
      <alignment vertical="center"/>
      <protection locked="0"/>
    </xf>
    <xf numFmtId="0" fontId="1" fillId="0" borderId="28" xfId="4" applyBorder="1" applyAlignment="1">
      <alignment horizontal="left" wrapText="1" indent="1"/>
    </xf>
    <xf numFmtId="0" fontId="1" fillId="2" borderId="0" xfId="4" applyFill="1"/>
    <xf numFmtId="0" fontId="23" fillId="2" borderId="0" xfId="3" applyFont="1" applyFill="1" applyAlignment="1" applyProtection="1">
      <alignment vertical="center"/>
      <protection locked="0"/>
    </xf>
    <xf numFmtId="0" fontId="1" fillId="0" borderId="27" xfId="4" applyBorder="1" applyAlignment="1">
      <alignment horizontal="left" indent="1"/>
    </xf>
    <xf numFmtId="0" fontId="1" fillId="0" borderId="27" xfId="4" applyBorder="1" applyAlignment="1">
      <alignment horizontal="left" vertical="center" wrapText="1" indent="1"/>
    </xf>
    <xf numFmtId="0" fontId="1" fillId="0" borderId="27" xfId="4" applyBorder="1" applyAlignment="1">
      <alignment horizontal="left" vertical="top" wrapText="1" indent="2"/>
    </xf>
    <xf numFmtId="0" fontId="24" fillId="2" borderId="0" xfId="3" applyFont="1" applyFill="1" applyAlignment="1" applyProtection="1">
      <alignment vertical="center"/>
      <protection locked="0"/>
    </xf>
    <xf numFmtId="0" fontId="3" fillId="0" borderId="27" xfId="4" applyFont="1" applyBorder="1" applyAlignment="1">
      <alignment horizontal="left" indent="1"/>
    </xf>
    <xf numFmtId="0" fontId="1" fillId="0" borderId="29" xfId="4" applyBorder="1" applyAlignment="1">
      <alignment horizontal="left" indent="1"/>
    </xf>
    <xf numFmtId="0" fontId="12" fillId="2" borderId="0" xfId="1" applyFont="1" applyFill="1" applyAlignment="1">
      <alignment horizontal="centerContinuous" vertical="center"/>
    </xf>
    <xf numFmtId="0" fontId="0" fillId="11" borderId="21" xfId="0" applyFill="1" applyBorder="1" applyAlignment="1" applyProtection="1">
      <alignment horizontal="center" vertical="center" shrinkToFit="1"/>
      <protection hidden="1"/>
    </xf>
    <xf numFmtId="0" fontId="3" fillId="11" borderId="21" xfId="0" applyFont="1" applyFill="1" applyBorder="1" applyAlignment="1" applyProtection="1">
      <alignment horizontal="center" shrinkToFit="1"/>
      <protection hidden="1"/>
    </xf>
    <xf numFmtId="0" fontId="3" fillId="2" borderId="21" xfId="0" applyFont="1" applyFill="1" applyBorder="1" applyAlignment="1" applyProtection="1">
      <alignment horizontal="left" shrinkToFit="1"/>
      <protection hidden="1"/>
    </xf>
    <xf numFmtId="0" fontId="3" fillId="2" borderId="21" xfId="0" applyFont="1" applyFill="1" applyBorder="1" applyAlignment="1" applyProtection="1">
      <alignment horizontal="center" shrinkToFit="1"/>
      <protection hidden="1"/>
    </xf>
    <xf numFmtId="0" fontId="0" fillId="2" borderId="21" xfId="0" applyFill="1" applyBorder="1" applyAlignment="1" applyProtection="1">
      <alignment horizontal="center" shrinkToFit="1"/>
      <protection hidden="1"/>
    </xf>
    <xf numFmtId="0" fontId="0" fillId="2" borderId="21" xfId="0" applyFill="1" applyBorder="1" applyAlignment="1" applyProtection="1">
      <alignment horizontal="left" shrinkToFit="1"/>
      <protection hidden="1"/>
    </xf>
    <xf numFmtId="164" fontId="0" fillId="2" borderId="21" xfId="0" applyNumberFormat="1" applyFill="1" applyBorder="1" applyAlignment="1" applyProtection="1">
      <alignment shrinkToFit="1"/>
      <protection hidden="1"/>
    </xf>
    <xf numFmtId="0" fontId="0" fillId="2" borderId="21" xfId="0" applyFill="1" applyBorder="1" applyAlignment="1" applyProtection="1">
      <alignment horizontal="center" vertical="center" shrinkToFit="1"/>
      <protection hidden="1"/>
    </xf>
    <xf numFmtId="164" fontId="0" fillId="2" borderId="21" xfId="0" applyNumberFormat="1" applyFill="1" applyBorder="1" applyAlignment="1" applyProtection="1">
      <alignment horizontal="center" vertical="center" shrinkToFit="1"/>
      <protection hidden="1"/>
    </xf>
    <xf numFmtId="166" fontId="0" fillId="2" borderId="21" xfId="0" applyNumberFormat="1" applyFill="1" applyBorder="1" applyAlignment="1" applyProtection="1">
      <alignment horizontal="center" vertical="center" shrinkToFit="1"/>
      <protection hidden="1"/>
    </xf>
    <xf numFmtId="0" fontId="0" fillId="2" borderId="21" xfId="0" applyFill="1" applyBorder="1" applyAlignment="1" applyProtection="1">
      <alignment shrinkToFit="1"/>
      <protection hidden="1"/>
    </xf>
    <xf numFmtId="167" fontId="0" fillId="2" borderId="21" xfId="0" applyNumberFormat="1" applyFill="1" applyBorder="1" applyAlignment="1" applyProtection="1">
      <alignment horizontal="center" shrinkToFit="1"/>
      <protection hidden="1"/>
    </xf>
    <xf numFmtId="166" fontId="0" fillId="2" borderId="21" xfId="0" applyNumberFormat="1" applyFill="1" applyBorder="1" applyAlignment="1" applyProtection="1">
      <alignment shrinkToFit="1"/>
      <protection hidden="1"/>
    </xf>
    <xf numFmtId="0" fontId="12" fillId="6" borderId="0" xfId="1" applyFont="1" applyFill="1" applyBorder="1" applyAlignment="1">
      <alignment horizontal="centerContinuous" vertical="center"/>
    </xf>
    <xf numFmtId="0" fontId="2" fillId="5" borderId="0" xfId="0" applyFont="1" applyFill="1" applyBorder="1" applyAlignment="1">
      <alignment horizontal="center" vertical="center"/>
    </xf>
    <xf numFmtId="0" fontId="16" fillId="0" borderId="0" xfId="0" applyFont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>
      <alignment horizontal="center" vertical="center" shrinkToFit="1"/>
    </xf>
    <xf numFmtId="0" fontId="10" fillId="2" borderId="0" xfId="0" applyFont="1" applyFill="1" applyBorder="1" applyAlignment="1" applyProtection="1">
      <alignment horizontal="center" vertical="center" shrinkToFit="1"/>
      <protection locked="0"/>
    </xf>
    <xf numFmtId="0" fontId="13" fillId="2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 applyProtection="1">
      <alignment horizontal="center" vertical="center"/>
      <protection locked="0"/>
    </xf>
    <xf numFmtId="0" fontId="2" fillId="5" borderId="17" xfId="0" applyFont="1" applyFill="1" applyBorder="1" applyAlignment="1">
      <alignment horizontal="center" vertical="center" shrinkToFit="1"/>
    </xf>
    <xf numFmtId="0" fontId="10" fillId="0" borderId="17" xfId="0" applyFont="1" applyBorder="1" applyAlignment="1" applyProtection="1">
      <alignment horizontal="center" vertical="center" shrinkToFit="1"/>
      <protection locked="0"/>
    </xf>
    <xf numFmtId="0" fontId="2" fillId="5" borderId="30" xfId="0" applyFont="1" applyFill="1" applyBorder="1" applyAlignment="1">
      <alignment horizontal="center" vertical="center"/>
    </xf>
    <xf numFmtId="0" fontId="16" fillId="0" borderId="30" xfId="0" applyFont="1" applyBorder="1" applyAlignment="1" applyProtection="1">
      <alignment horizontal="center" vertical="center"/>
      <protection locked="0"/>
    </xf>
    <xf numFmtId="0" fontId="28" fillId="10" borderId="13" xfId="0" applyFont="1" applyFill="1" applyBorder="1" applyAlignment="1" applyProtection="1">
      <alignment vertical="center" shrinkToFit="1"/>
      <protection hidden="1"/>
    </xf>
    <xf numFmtId="0" fontId="28" fillId="10" borderId="14" xfId="0" applyFont="1" applyFill="1" applyBorder="1" applyAlignment="1" applyProtection="1">
      <alignment vertical="center" shrinkToFit="1"/>
      <protection hidden="1"/>
    </xf>
    <xf numFmtId="0" fontId="28" fillId="10" borderId="16" xfId="0" applyFont="1" applyFill="1" applyBorder="1" applyAlignment="1" applyProtection="1">
      <alignment vertical="center" shrinkToFit="1"/>
      <protection hidden="1"/>
    </xf>
    <xf numFmtId="0" fontId="28" fillId="10" borderId="17" xfId="0" applyFont="1" applyFill="1" applyBorder="1" applyAlignment="1" applyProtection="1">
      <alignment vertical="center" shrinkToFit="1"/>
      <protection hidden="1"/>
    </xf>
    <xf numFmtId="0" fontId="28" fillId="10" borderId="19" xfId="0" applyFont="1" applyFill="1" applyBorder="1" applyAlignment="1" applyProtection="1">
      <alignment vertical="center" shrinkToFit="1"/>
      <protection hidden="1"/>
    </xf>
    <xf numFmtId="0" fontId="28" fillId="10" borderId="12" xfId="0" applyFont="1" applyFill="1" applyBorder="1" applyAlignment="1" applyProtection="1">
      <alignment vertical="center" shrinkToFit="1"/>
      <protection hidden="1"/>
    </xf>
    <xf numFmtId="0" fontId="0" fillId="10" borderId="21" xfId="0" applyFont="1" applyFill="1" applyBorder="1" applyAlignment="1" applyProtection="1">
      <alignment horizontal="center" vertical="center" shrinkToFit="1"/>
      <protection hidden="1"/>
    </xf>
    <xf numFmtId="49" fontId="7" fillId="3" borderId="0" xfId="1" applyNumberFormat="1" applyFont="1" applyFill="1" applyAlignment="1">
      <alignment horizontal="left" vertical="center" indent="6"/>
    </xf>
    <xf numFmtId="49" fontId="9" fillId="4" borderId="0" xfId="1" applyNumberFormat="1" applyFont="1" applyFill="1" applyAlignment="1">
      <alignment horizontal="left" vertical="center" indent="6"/>
    </xf>
    <xf numFmtId="49" fontId="7" fillId="3" borderId="0" xfId="1" applyNumberFormat="1" applyFont="1" applyFill="1" applyAlignment="1">
      <alignment horizontal="left" vertical="center" indent="8"/>
    </xf>
    <xf numFmtId="49" fontId="9" fillId="4" borderId="0" xfId="1" applyNumberFormat="1" applyFont="1" applyFill="1" applyAlignment="1">
      <alignment horizontal="left" vertical="center" indent="8"/>
    </xf>
    <xf numFmtId="0" fontId="0" fillId="14" borderId="31" xfId="0" applyFill="1" applyBorder="1" applyAlignment="1" applyProtection="1">
      <alignment vertical="center" shrinkToFit="1"/>
    </xf>
    <xf numFmtId="164" fontId="0" fillId="14" borderId="31" xfId="0" applyNumberFormat="1" applyFill="1" applyBorder="1" applyAlignment="1" applyProtection="1">
      <alignment horizontal="center" vertical="center" shrinkToFit="1"/>
    </xf>
    <xf numFmtId="0" fontId="0" fillId="14" borderId="31" xfId="0" applyFill="1" applyBorder="1" applyAlignment="1" applyProtection="1">
      <alignment shrinkToFit="1"/>
    </xf>
    <xf numFmtId="164" fontId="0" fillId="14" borderId="31" xfId="0" applyNumberFormat="1" applyFill="1" applyBorder="1" applyAlignment="1" applyProtection="1">
      <alignment horizontal="center" shrinkToFit="1"/>
    </xf>
    <xf numFmtId="0" fontId="28" fillId="14" borderId="31" xfId="0" applyFont="1" applyFill="1" applyBorder="1" applyAlignment="1" applyProtection="1">
      <alignment vertical="center" shrinkToFit="1"/>
    </xf>
    <xf numFmtId="0" fontId="28" fillId="14" borderId="31" xfId="0" applyFont="1" applyFill="1" applyBorder="1" applyAlignment="1" applyProtection="1">
      <alignment shrinkToFit="1"/>
    </xf>
  </cellXfs>
  <cellStyles count="5">
    <cellStyle name="Normal" xfId="0" builtinId="0"/>
    <cellStyle name="Normal 2" xfId="1" xr:uid="{80589B8D-8C01-4D1B-A3CC-4D6992337210}"/>
    <cellStyle name="Normal 2 2" xfId="2" xr:uid="{304F5D00-AAEC-48B8-8697-B6C5C0FDEE51}"/>
    <cellStyle name="Normal 2 2 2" xfId="3" xr:uid="{0C45E76D-95CB-4EF3-9BD5-0BBAF64941B5}"/>
    <cellStyle name="Normal 3 2" xfId="4" xr:uid="{2F606A24-8B73-4264-982E-FD1BE88EFCDE}"/>
  </cellStyles>
  <dxfs count="139"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1"/>
    </dxf>
    <dxf>
      <fill>
        <patternFill patternType="solid">
          <fgColor indexed="64"/>
          <bgColor theme="0" tint="-4.9989318521683403E-2"/>
        </patternFill>
      </fill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1"/>
    </dxf>
    <dxf>
      <fill>
        <patternFill patternType="solid">
          <fgColor indexed="64"/>
          <bgColor theme="0" tint="-4.9989318521683403E-2"/>
        </patternFill>
      </fill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protection locked="1" hidden="1"/>
    </dxf>
    <dxf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1"/>
    </dxf>
    <dxf>
      <numFmt numFmtId="164" formatCode="#,##0.0"/>
      <fill>
        <patternFill patternType="solid">
          <fgColor indexed="64"/>
          <bgColor theme="0" tint="-4.9989318521683403E-2"/>
        </patternFill>
      </fill>
      <alignment textRotation="0" wrapTex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1"/>
    </dxf>
    <dxf>
      <fill>
        <patternFill patternType="solid">
          <fgColor indexed="64"/>
          <bgColor theme="0" tint="-4.9989318521683403E-2"/>
        </patternFill>
      </fill>
    </dxf>
    <dxf>
      <numFmt numFmtId="164" formatCode="#,##0.0"/>
      <fill>
        <patternFill patternType="solid">
          <fgColor indexed="64"/>
          <bgColor theme="0" tint="-4.9989318521683403E-2"/>
        </patternFill>
      </fill>
      <alignment textRotation="0" wrapTex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1"/>
    </dxf>
    <dxf>
      <fill>
        <patternFill patternType="solid">
          <fgColor indexed="64"/>
          <bgColor theme="0" tint="-4.9989318521683403E-2"/>
        </patternFill>
      </fill>
    </dxf>
    <dxf>
      <numFmt numFmtId="164" formatCode="#,##0.0"/>
      <fill>
        <patternFill patternType="solid">
          <fgColor indexed="64"/>
          <bgColor theme="0" tint="-4.9989318521683403E-2"/>
        </patternFill>
      </fill>
      <alignment textRotation="0" wrapTex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1"/>
    </dxf>
    <dxf>
      <fill>
        <patternFill patternType="solid">
          <fgColor indexed="64"/>
          <bgColor theme="0" tint="-4.9989318521683403E-2"/>
        </patternFill>
      </fill>
    </dxf>
    <dxf>
      <numFmt numFmtId="164" formatCode="#,##0.0"/>
      <fill>
        <patternFill patternType="solid">
          <fgColor indexed="64"/>
          <bgColor theme="0" tint="-4.9989318521683403E-2"/>
        </patternFill>
      </fill>
      <alignment textRotation="0" wrapTex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1"/>
    </dxf>
    <dxf>
      <fill>
        <patternFill patternType="solid">
          <fgColor indexed="64"/>
          <bgColor theme="0" tint="-4.9989318521683403E-2"/>
        </patternFill>
      </fill>
    </dxf>
    <dxf>
      <numFmt numFmtId="164" formatCode="#,##0.0"/>
      <fill>
        <patternFill patternType="solid">
          <fgColor indexed="64"/>
          <bgColor theme="0" tint="-4.9989318521683403E-2"/>
        </patternFill>
      </fill>
      <alignment textRotation="0" wrapTex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1"/>
    </dxf>
    <dxf>
      <fill>
        <patternFill patternType="solid">
          <fgColor indexed="64"/>
          <bgColor theme="0" tint="-4.9989318521683403E-2"/>
        </patternFill>
      </fill>
    </dxf>
    <dxf>
      <numFmt numFmtId="164" formatCode="#,##0.0"/>
      <fill>
        <patternFill patternType="solid">
          <fgColor indexed="64"/>
          <bgColor theme="0" tint="-4.9989318521683403E-2"/>
        </patternFill>
      </fill>
      <alignment textRotation="0" wrapTex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1"/>
    </dxf>
    <dxf>
      <fill>
        <patternFill patternType="solid">
          <fgColor indexed="64"/>
          <bgColor theme="0" tint="-4.9989318521683403E-2"/>
        </patternFill>
      </fill>
    </dxf>
    <dxf>
      <numFmt numFmtId="164" formatCode="#,##0.0"/>
      <fill>
        <patternFill patternType="solid">
          <fgColor indexed="64"/>
          <bgColor theme="0" tint="-4.9989318521683403E-2"/>
        </patternFill>
      </fill>
      <alignment textRotation="0" wrapTex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1"/>
    </dxf>
    <dxf>
      <fill>
        <patternFill patternType="solid">
          <fgColor indexed="64"/>
          <bgColor theme="0" tint="-4.9989318521683403E-2"/>
        </patternFill>
      </fill>
    </dxf>
    <dxf>
      <numFmt numFmtId="164" formatCode="#,##0.0"/>
      <fill>
        <patternFill patternType="solid">
          <fgColor indexed="64"/>
          <bgColor theme="0" tint="-4.9989318521683403E-2"/>
        </patternFill>
      </fill>
      <alignment textRotation="0" wrapTex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1"/>
    </dxf>
    <dxf>
      <fill>
        <patternFill patternType="solid">
          <fgColor indexed="64"/>
          <bgColor theme="0" tint="-4.9989318521683403E-2"/>
        </patternFill>
      </fill>
    </dxf>
    <dxf>
      <numFmt numFmtId="164" formatCode="#,##0.0"/>
      <fill>
        <patternFill patternType="solid">
          <fgColor indexed="64"/>
          <bgColor theme="0" tint="-4.9989318521683403E-2"/>
        </patternFill>
      </fill>
      <alignment textRotation="0" wrapTex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1"/>
    </dxf>
    <dxf>
      <fill>
        <patternFill patternType="solid">
          <fgColor indexed="64"/>
          <bgColor theme="0" tint="-4.9989318521683403E-2"/>
        </patternFill>
      </fill>
    </dxf>
    <dxf>
      <numFmt numFmtId="164" formatCode="#,##0.0"/>
      <fill>
        <patternFill patternType="solid">
          <fgColor indexed="64"/>
          <bgColor theme="0" tint="-4.9989318521683403E-2"/>
        </patternFill>
      </fill>
      <alignment textRotation="0" wrapTex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1"/>
    </dxf>
    <dxf>
      <fill>
        <patternFill patternType="solid">
          <fgColor indexed="64"/>
          <bgColor theme="0" tint="-4.9989318521683403E-2"/>
        </patternFill>
      </fill>
    </dxf>
    <dxf>
      <numFmt numFmtId="164" formatCode="#,##0.0"/>
      <fill>
        <patternFill patternType="solid">
          <fgColor indexed="64"/>
          <bgColor theme="0" tint="-4.9989318521683403E-2"/>
        </patternFill>
      </fill>
      <alignment textRotation="0" wrapTex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1"/>
    </dxf>
    <dxf>
      <fill>
        <patternFill patternType="solid">
          <fgColor indexed="64"/>
          <bgColor theme="0" tint="-4.9989318521683403E-2"/>
        </patternFill>
      </fill>
    </dxf>
    <dxf>
      <numFmt numFmtId="164" formatCode="#,##0.0"/>
      <fill>
        <patternFill patternType="solid">
          <fgColor indexed="64"/>
          <bgColor theme="0" tint="-4.9989318521683403E-2"/>
        </patternFill>
      </fill>
      <alignment textRotation="0" wrapTex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1"/>
    </dxf>
    <dxf>
      <fill>
        <patternFill patternType="solid">
          <fgColor indexed="64"/>
          <bgColor theme="0" tint="-4.9989318521683403E-2"/>
        </patternFill>
      </fill>
    </dxf>
    <dxf>
      <numFmt numFmtId="164" formatCode="#,##0.0"/>
      <fill>
        <patternFill patternType="solid">
          <fgColor indexed="64"/>
          <bgColor theme="0" tint="-4.9989318521683403E-2"/>
        </patternFill>
      </fill>
      <alignment textRotation="0" wrapTex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1"/>
    </dxf>
    <dxf>
      <fill>
        <patternFill patternType="solid">
          <fgColor indexed="64"/>
          <bgColor theme="0" tint="-4.9989318521683403E-2"/>
        </patternFill>
      </fill>
    </dxf>
    <dxf>
      <numFmt numFmtId="164" formatCode="#,##0.0"/>
      <fill>
        <patternFill patternType="solid">
          <fgColor indexed="64"/>
          <bgColor theme="0" tint="-4.9989318521683403E-2"/>
        </patternFill>
      </fill>
      <alignment textRotation="0" wrapTex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1"/>
    </dxf>
    <dxf>
      <fill>
        <patternFill patternType="solid">
          <fgColor indexed="64"/>
          <bgColor theme="0" tint="-4.9989318521683403E-2"/>
        </patternFill>
      </fill>
    </dxf>
    <dxf>
      <numFmt numFmtId="164" formatCode="#,##0.0"/>
      <fill>
        <patternFill patternType="solid">
          <fgColor indexed="64"/>
          <bgColor theme="0" tint="-4.9989318521683403E-2"/>
        </patternFill>
      </fill>
      <alignment textRotation="0" wrapTex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1"/>
    </dxf>
    <dxf>
      <fill>
        <patternFill patternType="solid">
          <fgColor indexed="64"/>
          <bgColor theme="0" tint="-4.9989318521683403E-2"/>
        </patternFill>
      </fill>
    </dxf>
    <dxf>
      <numFmt numFmtId="164" formatCode="#,##0.0"/>
      <fill>
        <patternFill patternType="solid">
          <fgColor indexed="64"/>
          <bgColor theme="0" tint="-4.9989318521683403E-2"/>
        </patternFill>
      </fill>
      <alignment textRotation="0" wrapTex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1"/>
    </dxf>
    <dxf>
      <fill>
        <patternFill patternType="solid">
          <fgColor indexed="64"/>
          <bgColor theme="0" tint="-4.9989318521683403E-2"/>
        </patternFill>
      </fill>
    </dxf>
    <dxf>
      <numFmt numFmtId="164" formatCode="#,##0.0"/>
      <fill>
        <patternFill patternType="solid">
          <fgColor indexed="64"/>
          <bgColor theme="0" tint="-4.9989318521683403E-2"/>
        </patternFill>
      </fill>
      <alignment textRotation="0" wrapTex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1"/>
    </dxf>
    <dxf>
      <fill>
        <patternFill patternType="solid">
          <fgColor indexed="64"/>
          <bgColor theme="0" tint="-4.9989318521683403E-2"/>
        </patternFill>
      </fill>
    </dxf>
    <dxf>
      <numFmt numFmtId="164" formatCode="#,##0.0"/>
      <fill>
        <patternFill patternType="solid">
          <fgColor indexed="64"/>
          <bgColor theme="0" tint="-4.9989318521683403E-2"/>
        </patternFill>
      </fill>
      <alignment textRotation="0" wrapTex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1"/>
    </dxf>
    <dxf>
      <fill>
        <patternFill patternType="solid">
          <fgColor indexed="64"/>
          <bgColor theme="0" tint="-4.9989318521683403E-2"/>
        </patternFill>
      </fill>
    </dxf>
    <dxf>
      <numFmt numFmtId="164" formatCode="#,##0.0"/>
      <fill>
        <patternFill patternType="solid">
          <fgColor indexed="64"/>
          <bgColor theme="0" tint="-4.9989318521683403E-2"/>
        </patternFill>
      </fill>
      <alignment textRotation="0" wrapTex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1"/>
    </dxf>
    <dxf>
      <fill>
        <patternFill patternType="solid">
          <fgColor indexed="64"/>
          <bgColor theme="0" tint="-4.9989318521683403E-2"/>
        </patternFill>
      </fill>
    </dxf>
    <dxf>
      <numFmt numFmtId="164" formatCode="#,##0.0"/>
      <fill>
        <patternFill patternType="solid">
          <fgColor indexed="64"/>
          <bgColor theme="0" tint="-4.9989318521683403E-2"/>
        </patternFill>
      </fill>
      <alignment textRotation="0" wrapTex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1"/>
    </dxf>
    <dxf>
      <fill>
        <patternFill patternType="solid">
          <fgColor indexed="64"/>
          <bgColor theme="0" tint="-4.9989318521683403E-2"/>
        </patternFill>
      </fill>
    </dxf>
    <dxf>
      <numFmt numFmtId="164" formatCode="#,##0.0"/>
      <fill>
        <patternFill patternType="solid">
          <fgColor indexed="64"/>
          <bgColor theme="0" tint="-4.9989318521683403E-2"/>
        </patternFill>
      </fill>
      <alignment textRotation="0" wrapTex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1"/>
    </dxf>
    <dxf>
      <fill>
        <patternFill patternType="solid">
          <fgColor indexed="64"/>
          <bgColor theme="0" tint="-4.9989318521683403E-2"/>
        </patternFill>
      </fill>
    </dxf>
    <dxf>
      <numFmt numFmtId="164" formatCode="#,##0.0"/>
      <fill>
        <patternFill patternType="solid">
          <fgColor indexed="64"/>
          <bgColor theme="0" tint="-4.9989318521683403E-2"/>
        </patternFill>
      </fill>
      <alignment textRotation="0" wrapTex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1"/>
    </dxf>
    <dxf>
      <fill>
        <patternFill patternType="solid">
          <fgColor indexed="64"/>
          <bgColor theme="0" tint="-4.9989318521683403E-2"/>
        </patternFill>
      </fill>
    </dxf>
    <dxf>
      <numFmt numFmtId="164" formatCode="#,##0.0"/>
      <fill>
        <patternFill patternType="solid">
          <fgColor indexed="64"/>
          <bgColor theme="0" tint="-4.9989318521683403E-2"/>
        </patternFill>
      </fill>
      <alignment textRotation="0" wrapTex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1"/>
    </dxf>
    <dxf>
      <fill>
        <patternFill patternType="solid">
          <fgColor indexed="64"/>
          <bgColor theme="0" tint="-4.9989318521683403E-2"/>
        </patternFill>
      </fill>
    </dxf>
    <dxf>
      <numFmt numFmtId="164" formatCode="#,##0.0"/>
      <fill>
        <patternFill patternType="solid">
          <fgColor indexed="64"/>
          <bgColor theme="0" tint="-4.9989318521683403E-2"/>
        </patternFill>
      </fill>
      <alignment textRotation="0" wrapTex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1"/>
    </dxf>
    <dxf>
      <fill>
        <patternFill patternType="solid">
          <fgColor indexed="64"/>
          <bgColor theme="0" tint="-4.9989318521683403E-2"/>
        </patternFill>
      </fill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left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1"/>
    </dxf>
    <dxf>
      <fill>
        <patternFill patternType="solid">
          <fgColor indexed="64"/>
          <bgColor theme="0" tint="-4.9989318521683403E-2"/>
        </patternFill>
      </fill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left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1"/>
    </dxf>
    <dxf>
      <fill>
        <patternFill patternType="solid">
          <fgColor indexed="64"/>
          <bgColor theme="0" tint="-4.9989318521683403E-2"/>
        </patternFill>
      </fill>
    </dxf>
    <dxf>
      <numFmt numFmtId="0" formatCode="General"/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1" readingOrder="0"/>
      <border diagonalUp="0" diagonalDown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1"/>
    </dxf>
    <dxf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1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0" tint="-4.9989318521683403E-2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 tint="-4.9989318521683403E-2"/>
        </patternFill>
      </fill>
      <alignment textRotation="0" wrapText="0" justifyLastLine="0" shrinkToFit="1" readingOrder="0"/>
    </dxf>
    <dxf>
      <fill>
        <patternFill patternType="solid">
          <fgColor indexed="64"/>
          <bgColor theme="0" tint="-4.9989318521683403E-2"/>
        </patternFill>
      </fill>
      <alignment textRotation="0" wrapText="0" justifyLastLine="0" shrinkToFit="1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8" formatCode="[$-409]mmm;@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1"/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8" formatCode="[$-409]mmm;@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1"/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8" formatCode="[$-409]mmm;@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1"/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8" formatCode="[$-409]mmm;@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1"/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8" formatCode="[$-409]mmm;@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1"/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8" formatCode="[$-409]mmm;@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1"/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8" formatCode="[$-409]mmm;@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1"/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8" formatCode="[$-409]mmm;@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1"/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8" formatCode="[$-409]mmm;@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1"/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8" formatCode="[$-409]mmm;@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1"/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8" formatCode="[$-409]mmm;@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1"/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strike val="0"/>
        <outline val="0"/>
        <shadow val="0"/>
        <u val="none"/>
        <vertAlign val="baseline"/>
        <sz val="11"/>
        <color theme="8" tint="-0.499984740745262"/>
        <name val="Calibri"/>
        <family val="2"/>
        <charset val="162"/>
        <scheme val="minor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strike val="0"/>
        <outline val="0"/>
        <shadow val="0"/>
        <u val="none"/>
        <vertAlign val="baseline"/>
        <sz val="11"/>
        <color theme="8" tint="-0.499984740745262"/>
        <name val="Calibri"/>
        <family val="2"/>
        <charset val="162"/>
        <scheme val="minor"/>
      </font>
      <numFmt numFmtId="0" formatCode="General"/>
      <fill>
        <patternFill patternType="solid">
          <fgColor indexed="64"/>
          <bgColor theme="0" tint="-0.14999847407452621"/>
        </patternFill>
      </fill>
      <alignment horizontal="general" vertical="center" textRotation="0" wrapText="0" indent="0" justifyLastLine="0" shrinkToFit="1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border>
        <top style="thin">
          <color rgb="FFBFBFBF"/>
        </top>
      </border>
    </dxf>
    <dxf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8" formatCode="[$-409]mmm;@"/>
      <fill>
        <patternFill patternType="none">
          <fgColor rgb="FF000000"/>
          <bgColor auto="1"/>
        </patternFill>
      </fill>
      <alignment horizontal="general" vertical="center" textRotation="0" wrapText="0" indent="0" justifyLastLine="0" shrinkToFit="1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8" formatCode="[$-409]mmm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1" hidden="0"/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/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8" formatCode="[$-409]mmm;@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1"/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8" formatCode="[$-409]mmm;@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1"/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8" formatCode="[$-409]mmm;@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1"/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8" formatCode="[$-409]mmm;@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1"/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8" formatCode="[$-409]mmm;@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1"/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8" formatCode="[$-409]mmm;@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1"/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8" formatCode="[$-409]mmm;@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1"/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8" formatCode="[$-409]mmm;@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1"/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8" formatCode="[$-409]mmm;@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1"/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8" formatCode="[$-409]mmm;@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1"/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8" formatCode="[$-409]mmm;@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1"/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border>
        <top style="thin">
          <color theme="0" tint="-0.24994659260841701"/>
        </top>
      </border>
    </dxf>
    <dxf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8" formatCode="[$-409]mmm;@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8" formatCode="[$-409]mmm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 style="thin">
          <color theme="0" tint="-0.24994659260841701"/>
        </vertical>
        <horizontal style="thin">
          <color theme="0" tint="-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6" formatCode="0.0%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4" formatCode="#,##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4" formatCode="#,##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164" formatCode="#,##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2"/>
        <scheme val="minor"/>
      </font>
      <fill>
        <patternFill patternType="solid">
          <fgColor indexed="64"/>
          <bgColor rgb="FF81B29A"/>
        </patternFill>
      </fill>
      <alignment horizontal="center" vertical="center" textRotation="0" wrapText="0" indent="0" justifyLastLine="0" shrinkToFit="0" readingOrder="0"/>
      <protection locked="1" hidden="0"/>
    </dxf>
    <dxf>
      <border>
        <bottom style="thin">
          <color theme="0" tint="-0.24994659260841701"/>
        </bottom>
        <vertical/>
        <horizontal/>
      </border>
    </dxf>
    <dxf>
      <font>
        <color rgb="FF8E0000"/>
      </font>
    </dxf>
    <dxf>
      <fill>
        <patternFill patternType="none">
          <bgColor auto="1"/>
        </patternFill>
      </fill>
      <border diagonalUp="0" diagonalDown="0">
        <left/>
        <right/>
        <top/>
        <bottom/>
        <vertical/>
        <horizontal/>
      </border>
    </dxf>
  </dxfs>
  <tableStyles count="2" defaultTableStyle="TableStyleMedium2" defaultPivotStyle="PivotStyleLight16">
    <tableStyle name="Empty" pivot="0" count="1" xr9:uid="{074A8AF0-640B-4016-AD01-B0A6ACF0AD9D}">
      <tableStyleElement type="wholeTable" dxfId="138"/>
    </tableStyle>
    <tableStyle name="Invisible" pivot="0" table="0" count="0" xr9:uid="{DAE91FEB-91F9-45AA-8610-1B1591D12A84}"/>
  </tableStyles>
  <colors>
    <mruColors>
      <color rgb="FFCCCCCC"/>
      <color rgb="FFA6A6A6"/>
      <color rgb="FF81B2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/>
              <a:t>Monthly Expense Trend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>
        <c:manualLayout>
          <c:layoutTarget val="inner"/>
          <c:xMode val="edge"/>
          <c:yMode val="edge"/>
          <c:x val="5.1014985594667002E-2"/>
          <c:y val="0.18019572553430818"/>
          <c:w val="0.93755970735020588"/>
          <c:h val="0.606792502001079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Calc!$AU$10</c:f>
              <c:strCache>
                <c:ptCount val="1"/>
                <c:pt idx="0">
                  <c:v>Estimated</c:v>
                </c:pt>
              </c:strCache>
            </c:strRef>
          </c:tx>
          <c:spPr>
            <a:solidFill>
              <a:srgbClr val="3D405B"/>
            </a:solidFill>
            <a:ln>
              <a:noFill/>
            </a:ln>
            <a:effectLst/>
          </c:spPr>
          <c:invertIfNegative val="0"/>
          <c:cat>
            <c:strRef>
              <c:f>Calc!$AT$11:$AT$22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Calc!$AU$11:$AU$22</c:f>
              <c:numCache>
                <c:formatCode>#,##0.0</c:formatCode>
                <c:ptCount val="12"/>
                <c:pt idx="0">
                  <c:v>5441.6900000000005</c:v>
                </c:pt>
                <c:pt idx="1">
                  <c:v>5329.4380000000001</c:v>
                </c:pt>
                <c:pt idx="2">
                  <c:v>5395.6288000000004</c:v>
                </c:pt>
                <c:pt idx="3">
                  <c:v>5562.0683200000003</c:v>
                </c:pt>
                <c:pt idx="4">
                  <c:v>5333.9968559999998</c:v>
                </c:pt>
                <c:pt idx="5">
                  <c:v>5110.4250080000002</c:v>
                </c:pt>
                <c:pt idx="6">
                  <c:v>5228.0332169600006</c:v>
                </c:pt>
                <c:pt idx="7">
                  <c:v>5417.223602432</c:v>
                </c:pt>
                <c:pt idx="8">
                  <c:v>5424.1210930687994</c:v>
                </c:pt>
                <c:pt idx="9">
                  <c:v>5411.0109214822396</c:v>
                </c:pt>
                <c:pt idx="10">
                  <c:v>5491.8397302640642</c:v>
                </c:pt>
                <c:pt idx="11">
                  <c:v>5615.6939787640831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C2-446F-ADDA-5DF29253DA99}"/>
            </c:ext>
          </c:extLst>
        </c:ser>
        <c:ser>
          <c:idx val="1"/>
          <c:order val="1"/>
          <c:tx>
            <c:strRef>
              <c:f>Calc!$AV$10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rgbClr val="8E0000"/>
            </a:solidFill>
            <a:ln>
              <a:noFill/>
            </a:ln>
            <a:effectLst/>
          </c:spPr>
          <c:invertIfNegative val="0"/>
          <c:cat>
            <c:strRef>
              <c:f>Calc!$AT$11:$AT$22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Calc!$AV$11:$AV$22</c:f>
              <c:numCache>
                <c:formatCode>#,##0.0</c:formatCode>
                <c:ptCount val="12"/>
                <c:pt idx="0">
                  <c:v>2650.69</c:v>
                </c:pt>
                <c:pt idx="1">
                  <c:v>2713.748</c:v>
                </c:pt>
                <c:pt idx="2">
                  <c:v>2769.9808000000003</c:v>
                </c:pt>
                <c:pt idx="3">
                  <c:v>2858.60752</c:v>
                </c:pt>
                <c:pt idx="4">
                  <c:v>2520.3093359999998</c:v>
                </c:pt>
                <c:pt idx="5">
                  <c:v>2596.1556719999999</c:v>
                </c:pt>
                <c:pt idx="6">
                  <c:v>2684.7655449600006</c:v>
                </c:pt>
                <c:pt idx="7">
                  <c:v>2761.9028574720005</c:v>
                </c:pt>
                <c:pt idx="8">
                  <c:v>2655.0630355968001</c:v>
                </c:pt>
                <c:pt idx="9">
                  <c:v>2720.3229258854408</c:v>
                </c:pt>
                <c:pt idx="10">
                  <c:v>2750.9968683786246</c:v>
                </c:pt>
                <c:pt idx="11">
                  <c:v>2904.9467871854595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CC2-446F-ADDA-5DF29253DA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10063743"/>
        <c:axId val="610070815"/>
      </c:barChart>
      <c:catAx>
        <c:axId val="61006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610070815"/>
        <c:crosses val="autoZero"/>
        <c:auto val="1"/>
        <c:lblAlgn val="ctr"/>
        <c:lblOffset val="100"/>
        <c:noMultiLvlLbl val="0"/>
      </c:catAx>
      <c:valAx>
        <c:axId val="6100708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6100637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/>
              <a:t>Monthly Actual / Estimated Ratios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Calc!$AW$10</c:f>
              <c:strCache>
                <c:ptCount val="1"/>
                <c:pt idx="0">
                  <c:v>Act /Est</c:v>
                </c:pt>
              </c:strCache>
            </c:strRef>
          </c:tx>
          <c:spPr>
            <a:ln w="28575" cap="rnd">
              <a:solidFill>
                <a:srgbClr val="3D405B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3D405B"/>
              </a:solidFill>
              <a:ln w="9525">
                <a:solidFill>
                  <a:srgbClr val="3D405B"/>
                </a:solidFill>
              </a:ln>
              <a:effectLst/>
            </c:spPr>
          </c:marker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bg2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r-T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Calc!$AT$11:$AT$22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Calc!$AW$11:$AW$22</c:f>
              <c:numCache>
                <c:formatCode>0.0%</c:formatCode>
                <c:ptCount val="12"/>
                <c:pt idx="0">
                  <c:v>0.48710786538740719</c:v>
                </c:pt>
                <c:pt idx="1">
                  <c:v>0.5091996566992617</c:v>
                </c:pt>
                <c:pt idx="2">
                  <c:v>0.51337497494267958</c:v>
                </c:pt>
                <c:pt idx="3">
                  <c:v>0.51394685493543157</c:v>
                </c:pt>
                <c:pt idx="4">
                  <c:v>0.47249921663620864</c:v>
                </c:pt>
                <c:pt idx="5">
                  <c:v>0.50801169529655676</c:v>
                </c:pt>
                <c:pt idx="6">
                  <c:v>0.51353261036109854</c:v>
                </c:pt>
                <c:pt idx="7">
                  <c:v>0.50983733738294945</c:v>
                </c:pt>
                <c:pt idx="8">
                  <c:v>0.48949184393939255</c:v>
                </c:pt>
                <c:pt idx="9">
                  <c:v>0.50273839128387154</c:v>
                </c:pt>
                <c:pt idx="10">
                  <c:v>0.50092446311180838</c:v>
                </c:pt>
                <c:pt idx="11">
                  <c:v>0.51729079222810281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D2-4ED6-96DC-5BA8B93A3AF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512501647"/>
        <c:axId val="512516207"/>
      </c:lineChart>
      <c:catAx>
        <c:axId val="5125016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512516207"/>
        <c:crosses val="autoZero"/>
        <c:auto val="1"/>
        <c:lblAlgn val="ctr"/>
        <c:lblOffset val="100"/>
        <c:noMultiLvlLbl val="0"/>
      </c:catAx>
      <c:valAx>
        <c:axId val="512516207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512501647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/>
              <a:t>Actual Expenses </a:t>
            </a:r>
            <a:r>
              <a:rPr lang="tr-TR" baseline="0"/>
              <a:t>per Expense Types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81B29A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[0]!Types</c:f>
              <c:strCache>
                <c:ptCount val="12"/>
                <c:pt idx="0">
                  <c:v>International salaries</c:v>
                </c:pt>
                <c:pt idx="1">
                  <c:v>India process Salaries</c:v>
                </c:pt>
                <c:pt idx="2">
                  <c:v>Other Salaries</c:v>
                </c:pt>
                <c:pt idx="3">
                  <c:v>Employee Benefit Expenses</c:v>
                </c:pt>
                <c:pt idx="4">
                  <c:v>Security Charges</c:v>
                </c:pt>
                <c:pt idx="5">
                  <c:v>Office lease</c:v>
                </c:pt>
                <c:pt idx="6">
                  <c:v>Furniture Purchase</c:v>
                </c:pt>
                <c:pt idx="7">
                  <c:v>Santro Petrol</c:v>
                </c:pt>
                <c:pt idx="8">
                  <c:v>Santro Maintenance</c:v>
                </c:pt>
                <c:pt idx="9">
                  <c:v>Micra Maintainance</c:v>
                </c:pt>
                <c:pt idx="10">
                  <c:v>Employee Food Expenses</c:v>
                </c:pt>
                <c:pt idx="11">
                  <c:v>Extra Food Expenses</c:v>
                </c:pt>
              </c:strCache>
            </c:strRef>
          </c:cat>
          <c:val>
            <c:numRef>
              <c:f>[0]!Act</c:f>
              <c:numCache>
                <c:formatCode>General</c:formatCode>
                <c:ptCount val="12"/>
                <c:pt idx="0">
                  <c:v>3796.3328000000006</c:v>
                </c:pt>
                <c:pt idx="1">
                  <c:v>178.12713600000001</c:v>
                </c:pt>
                <c:pt idx="2">
                  <c:v>2093.91080448</c:v>
                </c:pt>
                <c:pt idx="3">
                  <c:v>435.24898835640317</c:v>
                </c:pt>
                <c:pt idx="4">
                  <c:v>6047.3625631999994</c:v>
                </c:pt>
                <c:pt idx="5">
                  <c:v>970.77715199999989</c:v>
                </c:pt>
                <c:pt idx="6">
                  <c:v>1120.8755673599996</c:v>
                </c:pt>
                <c:pt idx="7">
                  <c:v>4563.3011494400007</c:v>
                </c:pt>
                <c:pt idx="8">
                  <c:v>5065.0750924800013</c:v>
                </c:pt>
                <c:pt idx="9">
                  <c:v>258.16793518079999</c:v>
                </c:pt>
                <c:pt idx="10">
                  <c:v>4320.5255044915202</c:v>
                </c:pt>
                <c:pt idx="11">
                  <c:v>3737.7846544895997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71-4DD5-82A8-27B896ED499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31"/>
        <c:axId val="1526171808"/>
        <c:axId val="1526175136"/>
      </c:barChart>
      <c:catAx>
        <c:axId val="1526171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526175136"/>
        <c:crosses val="autoZero"/>
        <c:auto val="1"/>
        <c:lblAlgn val="ctr"/>
        <c:lblOffset val="100"/>
        <c:noMultiLvlLbl val="0"/>
      </c:catAx>
      <c:valAx>
        <c:axId val="1526175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1526171808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3" Type="http://schemas.microsoft.com/office/2007/relationships/hdphoto" Target="../media/hdphoto1.wdp"/><Relationship Id="rId3" Type="http://schemas.openxmlformats.org/officeDocument/2006/relationships/hyperlink" Target="#Actual!A6"/><Relationship Id="rId7" Type="http://schemas.openxmlformats.org/officeDocument/2006/relationships/image" Target="../media/image1.png"/><Relationship Id="rId12" Type="http://schemas.openxmlformats.org/officeDocument/2006/relationships/image" Target="../media/image3.png"/><Relationship Id="rId2" Type="http://schemas.openxmlformats.org/officeDocument/2006/relationships/chart" Target="../charts/chart1.xml"/><Relationship Id="rId1" Type="http://schemas.openxmlformats.org/officeDocument/2006/relationships/hyperlink" Target="#Dashboard!A11"/><Relationship Id="rId6" Type="http://schemas.openxmlformats.org/officeDocument/2006/relationships/chart" Target="../charts/chart3.xml"/><Relationship Id="rId5" Type="http://schemas.openxmlformats.org/officeDocument/2006/relationships/chart" Target="../charts/chart2.xml"/><Relationship Id="rId15" Type="http://schemas.openxmlformats.org/officeDocument/2006/relationships/image" Target="../media/image4.png"/><Relationship Id="rId4" Type="http://schemas.openxmlformats.org/officeDocument/2006/relationships/hyperlink" Target="#Estimated!A6"/><Relationship Id="rId9" Type="http://schemas.openxmlformats.org/officeDocument/2006/relationships/image" Target="../media/image2.png"/><Relationship Id="rId16" Type="http://schemas.openxmlformats.org/officeDocument/2006/relationships/image" Target="../media/image7.png"/><Relationship Id="rId17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hyperlink" Target="#Estimated!A6"/><Relationship Id="rId5" Type="http://schemas.openxmlformats.org/officeDocument/2006/relationships/hyperlink" Target="#Actual!A6"/><Relationship Id="rId4" Type="http://schemas.openxmlformats.org/officeDocument/2006/relationships/hyperlink" Target="#Dashboard!A11"/><Relationship Id="rId9" Type="http://schemas.openxmlformats.org/officeDocument/2006/relationships/image" Target="../media/image8.png"/><Relationship Id="rId10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hyperlink" Target="#Estimated!A6"/><Relationship Id="rId5" Type="http://schemas.openxmlformats.org/officeDocument/2006/relationships/hyperlink" Target="#Actual!A6"/><Relationship Id="rId4" Type="http://schemas.openxmlformats.org/officeDocument/2006/relationships/hyperlink" Target="#Dashboard!A11"/><Relationship Id="rId9" Type="http://schemas.openxmlformats.org/officeDocument/2006/relationships/image" Target="../media/image9.png"/><Relationship Id="rId10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Dashboard!A11"/><Relationship Id="rId2" Type="http://schemas.openxmlformats.org/officeDocument/2006/relationships/image" Target="../media/image2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</xdr:row>
      <xdr:rowOff>85390</xdr:rowOff>
    </xdr:from>
    <xdr:ext cx="975600" cy="399600"/>
    <xdr:sp macro="" textlink="">
      <xdr:nvSpPr>
        <xdr:cNvPr id="3" name="Rectangle: Rounded Corners 2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31CA5C2A-9D6D-4953-8597-5943AB97226B}"/>
            </a:ext>
          </a:extLst>
        </xdr:cNvPr>
        <xdr:cNvSpPr/>
      </xdr:nvSpPr>
      <xdr:spPr>
        <a:xfrm>
          <a:off x="5057775" y="171115"/>
          <a:ext cx="975600" cy="399600"/>
        </a:xfrm>
        <a:prstGeom prst="roundRect">
          <a:avLst/>
        </a:prstGeom>
        <a:solidFill>
          <a:schemeClr val="accent5">
            <a:lumMod val="75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317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DASHBOARD</a:t>
          </a:r>
        </a:p>
      </xdr:txBody>
    </xdr:sp>
    <xdr:clientData fPrintsWithSheet="0"/>
  </xdr:oneCellAnchor>
  <xdr:twoCellAnchor editAs="oneCell">
    <xdr:from>
      <xdr:col>2</xdr:col>
      <xdr:colOff>0</xdr:colOff>
      <xdr:row>27</xdr:row>
      <xdr:rowOff>1</xdr:rowOff>
    </xdr:from>
    <xdr:to>
      <xdr:col>10</xdr:col>
      <xdr:colOff>0</xdr:colOff>
      <xdr:row>41</xdr:row>
      <xdr:rowOff>1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B66A7E71-EFF0-4F23-970B-1686BE975E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6</xdr:col>
      <xdr:colOff>40367</xdr:colOff>
      <xdr:row>1</xdr:row>
      <xdr:rowOff>85390</xdr:rowOff>
    </xdr:from>
    <xdr:ext cx="975600" cy="399600"/>
    <xdr:sp macro="" textlink="">
      <xdr:nvSpPr>
        <xdr:cNvPr id="8" name="Rectangle: Rounded Corners 7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863C34D1-E45E-4109-A2D2-5E63A555D1BB}"/>
            </a:ext>
          </a:extLst>
        </xdr:cNvPr>
        <xdr:cNvSpPr/>
      </xdr:nvSpPr>
      <xdr:spPr>
        <a:xfrm>
          <a:off x="7326992" y="171115"/>
          <a:ext cx="975600" cy="399600"/>
        </a:xfrm>
        <a:prstGeom prst="roundRect">
          <a:avLst/>
        </a:prstGeom>
        <a:solidFill>
          <a:schemeClr val="accent5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</a:t>
          </a:r>
        </a:p>
      </xdr:txBody>
    </xdr:sp>
    <xdr:clientData fPrintsWithSheet="0"/>
  </xdr:oneCellAnchor>
  <xdr:oneCellAnchor>
    <xdr:from>
      <xdr:col>5</xdr:col>
      <xdr:colOff>86859</xdr:colOff>
      <xdr:row>1</xdr:row>
      <xdr:rowOff>85390</xdr:rowOff>
    </xdr:from>
    <xdr:ext cx="975600" cy="399600"/>
    <xdr:sp macro="" textlink="">
      <xdr:nvSpPr>
        <xdr:cNvPr id="9" name="Rectangle: Rounded Corners 8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4471C6E2-A329-4ABC-B099-D07FE213457B}"/>
            </a:ext>
          </a:extLst>
        </xdr:cNvPr>
        <xdr:cNvSpPr/>
      </xdr:nvSpPr>
      <xdr:spPr>
        <a:xfrm>
          <a:off x="6192384" y="171115"/>
          <a:ext cx="975600" cy="399600"/>
        </a:xfrm>
        <a:prstGeom prst="roundRect">
          <a:avLst/>
        </a:prstGeom>
        <a:solidFill>
          <a:schemeClr val="accent5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ESTIMATED</a:t>
          </a:r>
        </a:p>
      </xdr:txBody>
    </xdr:sp>
    <xdr:clientData fPrintsWithSheet="0"/>
  </xdr:oneCellAnchor>
  <xdr:twoCellAnchor editAs="oneCell">
    <xdr:from>
      <xdr:col>2</xdr:col>
      <xdr:colOff>0</xdr:colOff>
      <xdr:row>11</xdr:row>
      <xdr:rowOff>1</xdr:rowOff>
    </xdr:from>
    <xdr:to>
      <xdr:col>8</xdr:col>
      <xdr:colOff>0</xdr:colOff>
      <xdr:row>18</xdr:row>
      <xdr:rowOff>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4874A85C-F557-4930-B32C-0072132808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</xdr:col>
      <xdr:colOff>180974</xdr:colOff>
      <xdr:row>19</xdr:row>
      <xdr:rowOff>1</xdr:rowOff>
    </xdr:from>
    <xdr:to>
      <xdr:col>8</xdr:col>
      <xdr:colOff>0</xdr:colOff>
      <xdr:row>26</xdr:row>
      <xdr:rowOff>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48C8782F-5DFE-43DD-A11B-D31F648B07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oneCellAnchor>
    <xdr:from>
      <xdr:col>12</xdr:col>
      <xdr:colOff>916440</xdr:colOff>
      <xdr:row>16</xdr:row>
      <xdr:rowOff>179175</xdr:rowOff>
    </xdr:from>
    <xdr:ext cx="262620" cy="308894"/>
    <xdr:sp macro="" textlink="">
      <xdr:nvSpPr>
        <xdr:cNvPr id="14" name="Left Arrow 1">
          <a:extLst>
            <a:ext uri="{FF2B5EF4-FFF2-40B4-BE49-F238E27FC236}">
              <a16:creationId xmlns:a16="http://schemas.microsoft.com/office/drawing/2014/main" id="{C0FFD9F3-52EA-4441-BD92-D1DD7FE13750}"/>
            </a:ext>
          </a:extLst>
        </xdr:cNvPr>
        <xdr:cNvSpPr/>
      </xdr:nvSpPr>
      <xdr:spPr>
        <a:xfrm rot="5400000">
          <a:off x="12799553" y="3326512"/>
          <a:ext cx="308894" cy="262620"/>
        </a:xfrm>
        <a:prstGeom prst="leftArrow">
          <a:avLst/>
        </a:prstGeom>
        <a:solidFill>
          <a:schemeClr val="accent4"/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oneCellAnchor>
  <xdr:oneCellAnchor>
    <xdr:from>
      <xdr:col>1</xdr:col>
      <xdr:colOff>95250</xdr:colOff>
      <xdr:row>1</xdr:row>
      <xdr:rowOff>28575</xdr:rowOff>
    </xdr:from>
    <xdr:ext cx="476214" cy="494180"/>
    <xdr:pic>
      <xdr:nvPicPr>
        <xdr:cNvPr id="15" name="mainicon" descr="https://assets.materialup.com/uploads/bb0491cd-b826-4a60-97a8-42d26e6d4dfa/3gzuTNYRJipqf-d6_FGbqyfAAuor7fqylfa9ubNltbwTYK-YFxpBD4mNoZTES3cEy_OA=w300">
          <a:extLst>
            <a:ext uri="{FF2B5EF4-FFF2-40B4-BE49-F238E27FC236}">
              <a16:creationId xmlns:a16="http://schemas.microsoft.com/office/drawing/2014/main" id="{5287C3E2-5150-4612-AF92-BDFC6176E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114300"/>
          <a:ext cx="476214" cy="494180"/>
        </a:xfrm>
        <a:prstGeom prst="rect">
          <a:avLst/>
        </a:prstGeom>
        <a:noFill/>
        <a:effectLst>
          <a:outerShdw blurRad="50800" dist="38100" dir="13500000" algn="br" rotWithShape="0">
            <a:prstClr val="black">
              <a:alpha val="40000"/>
            </a:prst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398929</xdr:colOff>
      <xdr:row>1</xdr:row>
      <xdr:rowOff>61456</xdr:rowOff>
    </xdr:from>
    <xdr:ext cx="1325166" cy="381000"/>
    <xdr:pic>
      <xdr:nvPicPr>
        <xdr:cNvPr id="1015" name="mpkLogo">
          <a:hlinkClick xmlns:a="http://schemas.openxmlformats.org/drawingml/2006/main" xmlns:r="http://schemas.openxmlformats.org/officeDocument/2006/relationships" r:id="rId17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6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95251</xdr:colOff>
      <xdr:row>1</xdr:row>
      <xdr:rowOff>28574</xdr:rowOff>
    </xdr:from>
    <xdr:ext cx="476214" cy="494180"/>
    <xdr:pic>
      <xdr:nvPicPr>
        <xdr:cNvPr id="9" name="mainicon" descr="https://assets.materialup.com/uploads/bb0491cd-b826-4a60-97a8-42d26e6d4dfa/3gzuTNYRJipqf-d6_FGbqyfAAuor7fqylfa9ubNltbwTYK-YFxpBD4mNoZTES3cEy_OA=w300">
          <a:extLst>
            <a:ext uri="{FF2B5EF4-FFF2-40B4-BE49-F238E27FC236}">
              <a16:creationId xmlns:a16="http://schemas.microsoft.com/office/drawing/2014/main" id="{E12FFAE3-67A8-47E2-95E8-6D46C9066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1" y="114299"/>
          <a:ext cx="476214" cy="494180"/>
        </a:xfrm>
        <a:prstGeom prst="rect">
          <a:avLst/>
        </a:prstGeom>
        <a:noFill/>
        <a:effectLst>
          <a:outerShdw blurRad="50800" dist="38100" dir="13500000" algn="br" rotWithShape="0">
            <a:prstClr val="black">
              <a:alpha val="40000"/>
            </a:prst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666750</xdr:colOff>
      <xdr:row>1</xdr:row>
      <xdr:rowOff>85390</xdr:rowOff>
    </xdr:from>
    <xdr:ext cx="975600" cy="399600"/>
    <xdr:sp macro="" textlink="">
      <xdr:nvSpPr>
        <xdr:cNvPr id="12" name="Rectangle: Rounded Corners 11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C72E1BB2-8E73-450C-AA10-2F2BF1099E4C}"/>
            </a:ext>
          </a:extLst>
        </xdr:cNvPr>
        <xdr:cNvSpPr/>
      </xdr:nvSpPr>
      <xdr:spPr>
        <a:xfrm>
          <a:off x="5057775" y="171115"/>
          <a:ext cx="975600" cy="399600"/>
        </a:xfrm>
        <a:prstGeom prst="roundRect">
          <a:avLst/>
        </a:prstGeom>
        <a:solidFill>
          <a:schemeClr val="accent5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DASHBOARD</a:t>
          </a:r>
        </a:p>
      </xdr:txBody>
    </xdr:sp>
    <xdr:clientData fPrintsWithSheet="0"/>
  </xdr:oneCellAnchor>
  <xdr:oneCellAnchor>
    <xdr:from>
      <xdr:col>8</xdr:col>
      <xdr:colOff>78467</xdr:colOff>
      <xdr:row>1</xdr:row>
      <xdr:rowOff>85390</xdr:rowOff>
    </xdr:from>
    <xdr:ext cx="975600" cy="399600"/>
    <xdr:sp macro="" textlink="">
      <xdr:nvSpPr>
        <xdr:cNvPr id="16" name="Rectangle: Rounded Corners 15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137B6C46-7BC5-4FA9-84F7-ACAC1E571942}"/>
            </a:ext>
          </a:extLst>
        </xdr:cNvPr>
        <xdr:cNvSpPr/>
      </xdr:nvSpPr>
      <xdr:spPr>
        <a:xfrm>
          <a:off x="7326992" y="171115"/>
          <a:ext cx="975600" cy="399600"/>
        </a:xfrm>
        <a:prstGeom prst="roundRect">
          <a:avLst/>
        </a:prstGeom>
        <a:solidFill>
          <a:schemeClr val="accent5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</a:t>
          </a:r>
        </a:p>
      </xdr:txBody>
    </xdr:sp>
    <xdr:clientData fPrintsWithSheet="0"/>
  </xdr:oneCellAnchor>
  <xdr:oneCellAnchor>
    <xdr:from>
      <xdr:col>6</xdr:col>
      <xdr:colOff>372609</xdr:colOff>
      <xdr:row>1</xdr:row>
      <xdr:rowOff>85390</xdr:rowOff>
    </xdr:from>
    <xdr:ext cx="975600" cy="399600"/>
    <xdr:sp macro="" textlink="">
      <xdr:nvSpPr>
        <xdr:cNvPr id="17" name="Rectangle: Rounded Corners 16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F0A734EA-C934-4C75-8CEC-F63BBC99F284}"/>
            </a:ext>
          </a:extLst>
        </xdr:cNvPr>
        <xdr:cNvSpPr/>
      </xdr:nvSpPr>
      <xdr:spPr>
        <a:xfrm>
          <a:off x="6192384" y="171115"/>
          <a:ext cx="975600" cy="399600"/>
        </a:xfrm>
        <a:prstGeom prst="roundRect">
          <a:avLst/>
        </a:prstGeom>
        <a:solidFill>
          <a:schemeClr val="accent5">
            <a:lumMod val="75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317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ESTIMATED</a:t>
          </a:r>
        </a:p>
      </xdr:txBody>
    </xdr:sp>
    <xdr:clientData fPrintsWithSheet="0"/>
  </xdr:oneCellAnchor>
  <xdr:oneCellAnchor>
    <xdr:from>
      <xdr:col>12</xdr:col>
      <xdr:colOff>684679</xdr:colOff>
      <xdr:row>1</xdr:row>
      <xdr:rowOff>61455</xdr:rowOff>
    </xdr:from>
    <xdr:ext cx="1325166" cy="381000"/>
    <xdr:pic>
      <xdr:nvPicPr>
        <xdr:cNvPr id="1017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95251</xdr:colOff>
      <xdr:row>1</xdr:row>
      <xdr:rowOff>28574</xdr:rowOff>
    </xdr:from>
    <xdr:ext cx="476214" cy="494180"/>
    <xdr:pic>
      <xdr:nvPicPr>
        <xdr:cNvPr id="9" name="mainicon" descr="https://assets.materialup.com/uploads/bb0491cd-b826-4a60-97a8-42d26e6d4dfa/3gzuTNYRJipqf-d6_FGbqyfAAuor7fqylfa9ubNltbwTYK-YFxpBD4mNoZTES3cEy_OA=w300">
          <a:extLst>
            <a:ext uri="{FF2B5EF4-FFF2-40B4-BE49-F238E27FC236}">
              <a16:creationId xmlns:a16="http://schemas.microsoft.com/office/drawing/2014/main" id="{306E20C4-3800-48AA-8F0F-07F5B44BC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1" y="114299"/>
          <a:ext cx="476214" cy="494180"/>
        </a:xfrm>
        <a:prstGeom prst="rect">
          <a:avLst/>
        </a:prstGeom>
        <a:noFill/>
        <a:effectLst>
          <a:outerShdw blurRad="50800" dist="38100" dir="13500000" algn="br" rotWithShape="0">
            <a:prstClr val="black">
              <a:alpha val="40000"/>
            </a:prst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666750</xdr:colOff>
      <xdr:row>1</xdr:row>
      <xdr:rowOff>85390</xdr:rowOff>
    </xdr:from>
    <xdr:ext cx="975600" cy="399600"/>
    <xdr:sp macro="" textlink="">
      <xdr:nvSpPr>
        <xdr:cNvPr id="17" name="Rectangle: Rounded Corners 16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1C75673E-51F1-4E54-B9E1-7415632F1A22}"/>
            </a:ext>
          </a:extLst>
        </xdr:cNvPr>
        <xdr:cNvSpPr/>
      </xdr:nvSpPr>
      <xdr:spPr>
        <a:xfrm>
          <a:off x="5057775" y="171115"/>
          <a:ext cx="975600" cy="399600"/>
        </a:xfrm>
        <a:prstGeom prst="roundRect">
          <a:avLst/>
        </a:prstGeom>
        <a:solidFill>
          <a:schemeClr val="accent5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DASHBOARD</a:t>
          </a:r>
        </a:p>
      </xdr:txBody>
    </xdr:sp>
    <xdr:clientData fPrintsWithSheet="0"/>
  </xdr:oneCellAnchor>
  <xdr:oneCellAnchor>
    <xdr:from>
      <xdr:col>8</xdr:col>
      <xdr:colOff>78467</xdr:colOff>
      <xdr:row>1</xdr:row>
      <xdr:rowOff>85390</xdr:rowOff>
    </xdr:from>
    <xdr:ext cx="975600" cy="399600"/>
    <xdr:sp macro="" textlink="">
      <xdr:nvSpPr>
        <xdr:cNvPr id="18" name="Rectangle: Rounded Corners 17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85767AFC-A45D-48E4-A20F-EE3AAF7DF740}"/>
            </a:ext>
          </a:extLst>
        </xdr:cNvPr>
        <xdr:cNvSpPr/>
      </xdr:nvSpPr>
      <xdr:spPr>
        <a:xfrm>
          <a:off x="7326992" y="171115"/>
          <a:ext cx="975600" cy="399600"/>
        </a:xfrm>
        <a:prstGeom prst="roundRect">
          <a:avLst/>
        </a:prstGeom>
        <a:solidFill>
          <a:schemeClr val="accent5">
            <a:lumMod val="75000"/>
          </a:schemeClr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317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</a:t>
          </a:r>
        </a:p>
      </xdr:txBody>
    </xdr:sp>
    <xdr:clientData fPrintsWithSheet="0"/>
  </xdr:oneCellAnchor>
  <xdr:oneCellAnchor>
    <xdr:from>
      <xdr:col>6</xdr:col>
      <xdr:colOff>372609</xdr:colOff>
      <xdr:row>1</xdr:row>
      <xdr:rowOff>85390</xdr:rowOff>
    </xdr:from>
    <xdr:ext cx="975600" cy="399600"/>
    <xdr:sp macro="" textlink="">
      <xdr:nvSpPr>
        <xdr:cNvPr id="19" name="Rectangle: Rounded Corners 18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C4A04072-9D81-4A39-B795-2FD867338604}"/>
            </a:ext>
          </a:extLst>
        </xdr:cNvPr>
        <xdr:cNvSpPr/>
      </xdr:nvSpPr>
      <xdr:spPr>
        <a:xfrm>
          <a:off x="6192384" y="171115"/>
          <a:ext cx="975600" cy="399600"/>
        </a:xfrm>
        <a:prstGeom prst="roundRect">
          <a:avLst/>
        </a:prstGeom>
        <a:solidFill>
          <a:schemeClr val="accent5">
            <a:lumMod val="75000"/>
          </a:schemeClr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ESTIMATED</a:t>
          </a:r>
        </a:p>
      </xdr:txBody>
    </xdr:sp>
    <xdr:clientData fPrintsWithSheet="0"/>
  </xdr:oneCellAnchor>
  <xdr:oneCellAnchor>
    <xdr:from>
      <xdr:col>12</xdr:col>
      <xdr:colOff>684679</xdr:colOff>
      <xdr:row>1</xdr:row>
      <xdr:rowOff>61455</xdr:rowOff>
    </xdr:from>
    <xdr:ext cx="1325166" cy="381000"/>
    <xdr:pic>
      <xdr:nvPicPr>
        <xdr:cNvPr id="1019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3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BB22678E-D214-43B2-800E-DB67E2B019CA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08183A5E-0623-40F1-A03C-23D8895C4CC2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90AA60AE-5A32-4060-94CA-B795FDE834A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235A4F-220F-44C7-8FB3-7AE616B2B759}" name="Table5" displayName="Table5" ref="C46:H146" totalsRowShown="0" headerRowDxfId="135" dataDxfId="134">
  <autoFilter ref="C46:H146" xr:uid="{32FF604D-66F5-4FCF-AC7C-ED7267E3DD51}"/>
  <tableColumns count="6">
    <tableColumn id="1" xr3:uid="{F977CF90-70A8-4736-B71B-5C061C9867CF}" name="Expense Category" dataDxfId="133">
      <calculatedColumnFormula>IFERROR(IF(Calc!C10=0,"",Calc!D10),"")</calculatedColumnFormula>
    </tableColumn>
    <tableColumn id="2" xr3:uid="{86EB2C89-8039-43F8-BBF2-0F398F4F03AA}" name="Expense Type" dataDxfId="132">
      <calculatedColumnFormula>IFERROR(IF(Calc!D10=0,"",Calc!E10),"")</calculatedColumnFormula>
    </tableColumn>
    <tableColumn id="3" xr3:uid="{3D1DFA1F-FF77-4A64-B785-492D7EB311D6}" name="Estimates" dataDxfId="131">
      <calculatedColumnFormula>IFERROR(IF(LEN($C47)=0,"",Calc!AH10),"")</calculatedColumnFormula>
    </tableColumn>
    <tableColumn id="4" xr3:uid="{E28D9231-6DB2-4EE0-AA0B-E7E059F1685D}" name="Actuals" dataDxfId="130">
      <calculatedColumnFormula>IFERROR(IF(LEN($C47)=0,"",Calc!AI10),"")</calculatedColumnFormula>
    </tableColumn>
    <tableColumn id="5" xr3:uid="{25F8F54F-8BF5-4A6F-A9AE-B49EA68B966C}" name="Difference" dataDxfId="129">
      <calculatedColumnFormula>IFERROR(IF(LEN($C47)=0,"",Calc!AJ10),"")</calculatedColumnFormula>
    </tableColumn>
    <tableColumn id="6" xr3:uid="{E123C1A3-3283-452F-9C02-E06B12CA83F8}" name="Act / Est %" dataDxfId="128">
      <calculatedColumnFormula>IFERROR(IF(LEN($C47)=0,"",Calc!AK10),"")</calculatedColumnFormula>
    </tableColumn>
  </tableColumns>
  <tableStyleInfo name="Empty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B11CF21-A248-447C-A9B7-B1C5CBC380D9}" name="TblEst" displayName="TblEst" ref="B6:O105" headerRowCount="0" totalsRowShown="0" headerRowDxfId="127" dataDxfId="126" tableBorderDxfId="125" totalsRowBorderDxfId="124">
  <tableColumns count="14">
    <tableColumn id="1" xr3:uid="{BF0FD790-072A-4668-A9AE-D4A58D0E1C01}" name="Column1" headerRowDxfId="123" dataDxfId="122"/>
    <tableColumn id="2" xr3:uid="{45CA303D-528A-4FC9-A170-2D068F74F3C8}" name="Column2" headerRowDxfId="121" dataDxfId="120"/>
    <tableColumn id="3" xr3:uid="{F1F425AA-2C71-49CE-991B-982A93FF21BC}" name="Column3" headerRowDxfId="119" dataDxfId="118"/>
    <tableColumn id="4" xr3:uid="{B3B6ED80-F596-415E-9A6F-021DB32FC6F8}" name="Column4" headerRowDxfId="117" dataDxfId="116"/>
    <tableColumn id="5" xr3:uid="{A89BB075-8F32-49F9-8E04-11812598912E}" name="Column5" headerRowDxfId="115" dataDxfId="114"/>
    <tableColumn id="6" xr3:uid="{8524C77C-C46C-4490-9A8E-97CAF4D46749}" name="Column6" headerRowDxfId="113" dataDxfId="112"/>
    <tableColumn id="7" xr3:uid="{BE590C0B-2F31-483B-8D02-089A1154BBE7}" name="Column7" headerRowDxfId="111" dataDxfId="110"/>
    <tableColumn id="8" xr3:uid="{6F82457A-14F1-480F-814F-19BBEE72ED9E}" name="Column8" headerRowDxfId="109" dataDxfId="108"/>
    <tableColumn id="9" xr3:uid="{A3033B05-0AA0-49D3-9271-E3956FFA5B0F}" name="Column9" headerRowDxfId="107" dataDxfId="106"/>
    <tableColumn id="10" xr3:uid="{E76C3F3C-A6B9-4F1D-A7E7-B8050EE7B7D7}" name="Column10" headerRowDxfId="105" dataDxfId="104"/>
    <tableColumn id="11" xr3:uid="{A8DB947F-F93C-4E9C-86EF-3F21A6E41B59}" name="Column11" headerRowDxfId="103" dataDxfId="102"/>
    <tableColumn id="12" xr3:uid="{E371A5AD-FF17-42B4-8652-5B9BEE32FCF5}" name="Column12" headerRowDxfId="101" dataDxfId="100"/>
    <tableColumn id="13" xr3:uid="{7241FAB6-D2E3-4D6A-A33D-36010D41A62C}" name="Column13" headerRowDxfId="99" dataDxfId="98"/>
    <tableColumn id="14" xr3:uid="{911C4CF8-95F3-42D7-B8E7-3A260E4F7950}" name="Column14" headerRowDxfId="97" dataDxfId="96"/>
  </tableColumns>
  <tableStyleInfo name="Empty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2D8CF2E-D142-44AC-AB58-597545527E9A}" name="TblAct" displayName="TblAct" ref="B6:O105" headerRowCount="0" totalsRowShown="0" headerRowDxfId="95" dataDxfId="94" tableBorderDxfId="93" totalsRowBorderDxfId="92">
  <tableColumns count="14">
    <tableColumn id="1" xr3:uid="{F20BCD37-F6D3-4FB2-BBCF-5782362BD53F}" name="Column1" headerRowDxfId="91" dataDxfId="90">
      <calculatedColumnFormula>IFERROR(IF(LEN(INDEX(Estimated!$B$6:$O$105,Calc!$B10,1))=0,"",INDEX(Estimated!$B$6:$O$105,Calc!$B10,1)),"")</calculatedColumnFormula>
    </tableColumn>
    <tableColumn id="2" xr3:uid="{8B3E8DFB-406F-43D8-9E30-AC470BFE0C5C}" name="Column2" headerRowDxfId="89" dataDxfId="88">
      <calculatedColumnFormula>IFERROR(IF(LEN(INDEX(Estimated!$B$6:$O$105,Calc!$B10,2))=0,"",INDEX(Estimated!$B$6:$O$105,Calc!$B10,2)),"")</calculatedColumnFormula>
    </tableColumn>
    <tableColumn id="3" xr3:uid="{4AD324E4-FEBF-443E-8800-EC86F7C0EB7E}" name="Column3" headerRowDxfId="87" dataDxfId="86"/>
    <tableColumn id="4" xr3:uid="{DEBF11DB-F287-40C1-B893-1AAFE50844F9}" name="Column4" headerRowDxfId="85" dataDxfId="84"/>
    <tableColumn id="5" xr3:uid="{0126FC7F-05EC-48BB-9CE2-842A060B5802}" name="Column5" headerRowDxfId="83" dataDxfId="82"/>
    <tableColumn id="6" xr3:uid="{52738F90-5909-4B8F-9C63-A3E6BFA531CC}" name="Column6" headerRowDxfId="81" dataDxfId="80"/>
    <tableColumn id="7" xr3:uid="{AE742E4A-10D6-4CE1-8781-54653D15E93B}" name="Column7" headerRowDxfId="79" dataDxfId="78"/>
    <tableColumn id="8" xr3:uid="{06AFE020-96D1-420F-A2AB-D27F5F65D897}" name="Column8" headerRowDxfId="77" dataDxfId="76"/>
    <tableColumn id="9" xr3:uid="{016545CE-7592-4BB1-8D2B-A4AC81C48DBA}" name="Column9" headerRowDxfId="75" dataDxfId="74"/>
    <tableColumn id="10" xr3:uid="{410C55CB-C355-42A4-931E-DD38F71E336F}" name="Column10" headerRowDxfId="73" dataDxfId="72"/>
    <tableColumn id="11" xr3:uid="{3DD95A0E-4231-41EC-8C0A-865447F2AB2B}" name="Column11" headerRowDxfId="71" dataDxfId="70"/>
    <tableColumn id="12" xr3:uid="{014A67C1-D022-4B33-99B3-4680DB17E9AA}" name="Column12" headerRowDxfId="69" dataDxfId="68"/>
    <tableColumn id="13" xr3:uid="{CAE02CB4-3E1C-4DC1-A45D-686D25898E20}" name="Column13" headerRowDxfId="67" dataDxfId="66"/>
    <tableColumn id="14" xr3:uid="{C779D57C-F7F7-412F-8A64-DB0CC96A27A6}" name="Column14" headerRowDxfId="65" dataDxfId="64"/>
  </tableColumns>
  <tableStyleInfo name="Empty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682642C-9811-426A-82E1-014A1E837375}" name="TblCalc" displayName="TblCalc" ref="B10:AC24" headerRowCount="0" totalsRowShown="0" headerRowDxfId="63" dataDxfId="62">
  <tableColumns count="28">
    <tableColumn id="1" xr3:uid="{4F325881-F021-40EC-A3C4-B5DD56FF3AD6}" name="Column1" headerRowDxfId="61" dataDxfId="60"/>
    <tableColumn id="40" xr3:uid="{9E302B59-3C68-49DE-921C-A9FC79BA6C8B}" name="Column40" headerRowDxfId="59" dataDxfId="58">
      <calculatedColumnFormula>IFERROR(IF(OR(LEN(D10)=0,LEN(E10)=0),0,1),0)</calculatedColumnFormula>
    </tableColumn>
    <tableColumn id="2" xr3:uid="{18D63F4A-97EF-4FF6-A669-C5B451E5C01F}" name="Column2" headerRowDxfId="57" dataDxfId="56">
      <calculatedColumnFormula>IFERROR(IF(LEN(INDEX(Estimated!$B$6:$O$20,$B10,D$8))=0,"",INDEX(Estimated!$B$6:$O$20,$B10,D$8)),"")</calculatedColumnFormula>
    </tableColumn>
    <tableColumn id="3" xr3:uid="{18FDF436-BB8B-4512-91FD-8B309115E20A}" name="Column3" headerRowDxfId="55" dataDxfId="54">
      <calculatedColumnFormula>IFERROR(IF(LEN(INDEX(Estimated!$B$6:$O$20,$B10,E$8))=0,"",INDEX(Estimated!$B$6:$O$20,$B10,E$8)),"")</calculatedColumnFormula>
    </tableColumn>
    <tableColumn id="4" xr3:uid="{52DE038A-DBA3-4A2C-A05B-788AB3A37722}" name="Column4" headerRowDxfId="53" dataDxfId="52">
      <calculatedColumnFormula>IFERROR(INDEX(Estimated!$B$6:$O$20,$B10,F$8),0)</calculatedColumnFormula>
    </tableColumn>
    <tableColumn id="5" xr3:uid="{F0B4B920-2D48-48B1-89CD-E1BCFDC36994}" name="Column5" headerRowDxfId="51" dataDxfId="50">
      <calculatedColumnFormula>IFERROR(INDEX(Estimated!$B$6:$O$20,$B10,G$8),0)</calculatedColumnFormula>
    </tableColumn>
    <tableColumn id="6" xr3:uid="{460FB1E6-1F88-4DAE-A37C-4B44A19AD43F}" name="Column6" headerRowDxfId="49" dataDxfId="48">
      <calculatedColumnFormula>IFERROR(INDEX(Estimated!$B$6:$O$20,$B10,H$8),0)</calculatedColumnFormula>
    </tableColumn>
    <tableColumn id="7" xr3:uid="{545BD7AE-4DDA-420C-8779-9430EB3A2F1A}" name="Column7" headerRowDxfId="47" dataDxfId="46">
      <calculatedColumnFormula>IFERROR(INDEX(Estimated!$B$6:$O$20,$B10,I$8),0)</calculatedColumnFormula>
    </tableColumn>
    <tableColumn id="8" xr3:uid="{FDBECB50-9F85-45BC-9740-0B73684D54B5}" name="Column8" headerRowDxfId="45" dataDxfId="44">
      <calculatedColumnFormula>IFERROR(INDEX(Estimated!$B$6:$O$20,$B10,J$8),0)</calculatedColumnFormula>
    </tableColumn>
    <tableColumn id="9" xr3:uid="{C5293EA4-470E-4C3C-AD06-DA5412EA64F8}" name="Column9" headerRowDxfId="43" dataDxfId="42">
      <calculatedColumnFormula>IFERROR(INDEX(Estimated!$B$6:$O$20,$B10,K$8),0)</calculatedColumnFormula>
    </tableColumn>
    <tableColumn id="10" xr3:uid="{2F9321D3-1346-43C1-A2A0-87D0B97CEB08}" name="Column10" headerRowDxfId="41" dataDxfId="40">
      <calculatedColumnFormula>IFERROR(INDEX(Estimated!$B$6:$O$20,$B10,L$8),0)</calculatedColumnFormula>
    </tableColumn>
    <tableColumn id="11" xr3:uid="{6003CDC9-8892-4C11-8888-5297E2DCAD9D}" name="Column11" headerRowDxfId="39" dataDxfId="38">
      <calculatedColumnFormula>IFERROR(INDEX(Estimated!$B$6:$O$20,$B10,M$8),0)</calculatedColumnFormula>
    </tableColumn>
    <tableColumn id="12" xr3:uid="{C4670C80-045A-4FFF-B60B-C036DD267208}" name="Column12" headerRowDxfId="37" dataDxfId="36">
      <calculatedColumnFormula>IFERROR(INDEX(Estimated!$B$6:$O$20,$B10,N$8),0)</calculatedColumnFormula>
    </tableColumn>
    <tableColumn id="13" xr3:uid="{4E880E15-4D23-441A-B25A-6597258AF43D}" name="Column13" headerRowDxfId="35" dataDxfId="34">
      <calculatedColumnFormula>IFERROR(INDEX(Estimated!$B$6:$O$20,$B10,O$8),0)</calculatedColumnFormula>
    </tableColumn>
    <tableColumn id="14" xr3:uid="{4A2FA460-B1B8-4679-AD2C-3F5667EABF1A}" name="Column14" headerRowDxfId="33" dataDxfId="32">
      <calculatedColumnFormula>IFERROR(INDEX(Estimated!$B$6:$O$20,$B10,P$8),0)</calculatedColumnFormula>
    </tableColumn>
    <tableColumn id="15" xr3:uid="{FA53B096-F2F9-49BA-A5B6-791455BA8B50}" name="Column15" headerRowDxfId="31" dataDxfId="30">
      <calculatedColumnFormula>IFERROR(INDEX(Estimated!$B$6:$O$20,$B10,Q$8),0)</calculatedColumnFormula>
    </tableColumn>
    <tableColumn id="16" xr3:uid="{C5847C22-619C-4761-887F-F39233E345A2}" name="Column16" headerRowDxfId="29" dataDxfId="28">
      <calculatedColumnFormula>IFERROR(INDEX(Actual!$B$6:$O$20,$B10,R$8),0)</calculatedColumnFormula>
    </tableColumn>
    <tableColumn id="17" xr3:uid="{E00C2BC0-4E03-4D9D-B498-4DB648E6EC42}" name="Column17" headerRowDxfId="27" dataDxfId="26">
      <calculatedColumnFormula>IFERROR(INDEX(Actual!$B$6:$O$20,$B10,S$8),0)</calculatedColumnFormula>
    </tableColumn>
    <tableColumn id="18" xr3:uid="{9EDD02AC-615A-483B-8006-2C1E3D991016}" name="Column18" headerRowDxfId="25" dataDxfId="24">
      <calculatedColumnFormula>IFERROR(INDEX(Actual!$B$6:$O$20,$B10,T$8),0)</calculatedColumnFormula>
    </tableColumn>
    <tableColumn id="19" xr3:uid="{0CA1EC2F-8F5A-4DD5-B066-57CC98999565}" name="Column19" headerRowDxfId="23" dataDxfId="22">
      <calculatedColumnFormula>IFERROR(INDEX(Actual!$B$6:$O$20,$B10,U$8),0)</calculatedColumnFormula>
    </tableColumn>
    <tableColumn id="20" xr3:uid="{F8E65429-AFD5-4974-B35E-F3B826556889}" name="Column20" headerRowDxfId="21" dataDxfId="20">
      <calculatedColumnFormula>IFERROR(INDEX(Actual!$B$6:$O$20,$B10,V$8),0)</calculatedColumnFormula>
    </tableColumn>
    <tableColumn id="21" xr3:uid="{68D2C174-FDC0-4A8F-9C44-01F3CFE300D3}" name="Column21" headerRowDxfId="19" dataDxfId="18">
      <calculatedColumnFormula>IFERROR(INDEX(Actual!$B$6:$O$20,$B10,W$8),0)</calculatedColumnFormula>
    </tableColumn>
    <tableColumn id="22" xr3:uid="{7F056B00-7AA4-4130-81E8-6692D54F3105}" name="Column22" headerRowDxfId="17" dataDxfId="16">
      <calculatedColumnFormula>IFERROR(INDEX(Actual!$B$6:$O$20,$B10,X$8),0)</calculatedColumnFormula>
    </tableColumn>
    <tableColumn id="23" xr3:uid="{EFAED46C-02E1-4C7D-BEE6-BE19C6DFC546}" name="Column23" headerRowDxfId="15" dataDxfId="14">
      <calculatedColumnFormula>IFERROR(INDEX(Actual!$B$6:$O$20,$B10,Y$8),0)</calculatedColumnFormula>
    </tableColumn>
    <tableColumn id="24" xr3:uid="{13A3A4B6-2BF8-4162-B511-92EC5687768C}" name="Column24" headerRowDxfId="13" dataDxfId="12">
      <calculatedColumnFormula>IFERROR(INDEX(Actual!$B$6:$O$20,$B10,Z$8),0)</calculatedColumnFormula>
    </tableColumn>
    <tableColumn id="25" xr3:uid="{DBEDA2AD-7E80-4509-A42F-95D11FC4DB94}" name="Column25" headerRowDxfId="11" dataDxfId="10">
      <calculatedColumnFormula>IFERROR(INDEX(Actual!$B$6:$O$20,$B10,AA$8),0)</calculatedColumnFormula>
    </tableColumn>
    <tableColumn id="26" xr3:uid="{90B51996-D88D-458A-89F5-1B6FCF7902A8}" name="Column26" headerRowDxfId="9" dataDxfId="8">
      <calculatedColumnFormula>IFERROR(INDEX(Actual!$B$6:$O$20,$B10,AB$8),0)</calculatedColumnFormula>
    </tableColumn>
    <tableColumn id="27" xr3:uid="{C3EEB0BA-03A7-4440-A83D-F9BA8E492AB7}" name="Column27" headerRowDxfId="7" dataDxfId="6">
      <calculatedColumnFormula>IFERROR(INDEX(Actual!$B$6:$O$20,$B10,AC$8),0)</calculatedColumnFormula>
    </tableColumn>
  </tableColumns>
  <tableStyleInfo name="Empty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31E8CB5-D370-4178-A351-752F151007D3}" name="TblFilter" displayName="TblFilter" ref="AE10:AF24" headerRowCount="0" totalsRowShown="0" headerRowDxfId="5" dataDxfId="4">
  <tableColumns count="2">
    <tableColumn id="1" xr3:uid="{DCAE7A2A-EC42-4B53-A31B-82F73B9444E5}" name="Column1" headerRowDxfId="3" dataDxfId="2">
      <calculatedColumnFormula>IFERROR(IF(OR(Dashboard!$D$7="",Dashboard!$D$7="All"),1,IF(Dashboard!$D$7=Calc!D10,1,0)),0)</calculatedColumnFormula>
    </tableColumn>
    <tableColumn id="3" xr3:uid="{9E182A93-1A30-4660-B387-F722AA45DA0F}" name="Column3" headerRowDxfId="1" dataDxfId="0">
      <calculatedColumnFormula>IFERROR(AE10*C10,"")</calculatedColumnFormula>
    </tableColumn>
  </tableColumns>
  <tableStyleInfo name="Empty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7659D-5954-4A69-AE54-58DE9A9F1157}">
  <sheetPr>
    <pageSetUpPr autoPageBreaks="0" fitToPage="1"/>
  </sheetPr>
  <dimension ref="A1:Q149"/>
  <sheetViews>
    <sheetView showGridLines="0" showRowColHeaders="0" tabSelected="1" zoomScaleNormal="100" zoomScaleSheetLayoutView="85" workbookViewId="0">
      <pane ySplit="10" topLeftCell="A11" activePane="bottomLeft" state="frozen"/>
      <selection pane="bottomLeft" activeCell="A11" sqref="A11"/>
    </sheetView>
  </sheetViews>
  <sheetFormatPr defaultColWidth="8.85546875" defaultRowHeight="15" x14ac:dyDescent="0.25"/>
  <cols>
    <col min="1" max="1" width="3.7109375" style="13" customWidth="1"/>
    <col min="2" max="2" width="2.7109375" style="13" customWidth="1"/>
    <col min="3" max="4" width="34.7109375" style="13" customWidth="1"/>
    <col min="5" max="5" width="15.7109375" style="13" customWidth="1"/>
    <col min="6" max="8" width="17.7109375" style="13" customWidth="1"/>
    <col min="9" max="9" width="2.7109375" style="13" customWidth="1"/>
    <col min="10" max="10" width="25.7109375" style="13" customWidth="1"/>
    <col min="11" max="12" width="2.7109375" style="13" customWidth="1"/>
    <col min="13" max="15" width="15.7109375" style="13" customWidth="1"/>
    <col min="16" max="16" width="3.7109375" style="13" customWidth="1"/>
    <col min="17" max="16384" width="8.85546875" style="13"/>
  </cols>
  <sheetData>
    <row r="1" spans="1:16" s="1" customFormat="1" ht="6.75" customHeight="1" x14ac:dyDescent="0.25">
      <c r="B1" s="2"/>
      <c r="E1" s="3"/>
      <c r="F1" s="3"/>
      <c r="G1" s="3"/>
      <c r="H1" s="3"/>
      <c r="I1" s="3"/>
    </row>
    <row r="2" spans="1:16" s="4" customFormat="1" ht="20.100000000000001" customHeight="1" x14ac:dyDescent="0.25">
      <c r="B2" s="5"/>
      <c r="C2" s="170" t="s">
        <v>0</v>
      </c>
      <c r="D2" s="6"/>
      <c r="E2" s="6"/>
      <c r="F2" s="6"/>
      <c r="G2" s="6"/>
      <c r="H2" s="6"/>
      <c r="I2" s="6"/>
      <c r="J2" s="6"/>
      <c r="K2" s="6"/>
      <c r="L2" s="7"/>
    </row>
    <row r="3" spans="1:16" s="8" customFormat="1" ht="24" customHeight="1" x14ac:dyDescent="0.25">
      <c r="B3" s="9"/>
      <c r="C3" s="171" t="s">
        <v>1</v>
      </c>
      <c r="D3" s="10"/>
      <c r="E3" s="10"/>
      <c r="F3" s="10"/>
      <c r="G3" s="10"/>
      <c r="H3" s="10"/>
      <c r="I3" s="10"/>
      <c r="J3" s="10"/>
      <c r="K3" s="10"/>
      <c r="L3" s="11"/>
    </row>
    <row r="4" spans="1:16" ht="4.9000000000000004" customHeight="1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6" ht="4.9000000000000004" customHeight="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16" ht="8.1" customHeight="1" x14ac:dyDescent="0.25">
      <c r="A6" s="12"/>
      <c r="B6" s="14"/>
      <c r="C6" s="15"/>
      <c r="D6" s="15"/>
      <c r="E6" s="15"/>
      <c r="F6" s="15"/>
      <c r="G6" s="15"/>
      <c r="H6" s="15"/>
      <c r="I6" s="15"/>
      <c r="J6" s="15"/>
      <c r="K6" s="16"/>
      <c r="L6" s="12"/>
      <c r="N6" s="17"/>
    </row>
    <row r="7" spans="1:16" ht="24.95" customHeight="1" x14ac:dyDescent="0.25">
      <c r="A7" s="12"/>
      <c r="B7" s="18"/>
      <c r="C7" s="159" t="s">
        <v>2</v>
      </c>
      <c r="D7" s="160" t="s">
        <v>3</v>
      </c>
      <c r="E7" s="1"/>
      <c r="F7" s="19"/>
      <c r="J7" s="20"/>
      <c r="K7" s="21"/>
      <c r="L7" s="12"/>
    </row>
    <row r="8" spans="1:16" ht="3.95" customHeight="1" x14ac:dyDescent="0.25">
      <c r="A8" s="12"/>
      <c r="B8" s="18"/>
      <c r="C8" s="155"/>
      <c r="D8" s="156"/>
      <c r="E8" s="1"/>
      <c r="F8" s="19"/>
      <c r="G8" s="22"/>
      <c r="J8" s="20"/>
      <c r="K8" s="21"/>
      <c r="L8" s="12"/>
      <c r="N8" s="138"/>
    </row>
    <row r="9" spans="1:16" ht="24.95" customHeight="1" x14ac:dyDescent="0.25">
      <c r="A9" s="12"/>
      <c r="B9" s="18"/>
      <c r="C9" s="159" t="s">
        <v>4</v>
      </c>
      <c r="D9" s="160" t="s">
        <v>3</v>
      </c>
      <c r="E9" s="1"/>
      <c r="F9" s="19"/>
      <c r="G9" s="22"/>
      <c r="J9" s="20"/>
      <c r="K9" s="21"/>
      <c r="L9" s="12"/>
    </row>
    <row r="10" spans="1:16" ht="8.1" customHeight="1" x14ac:dyDescent="0.25">
      <c r="A10" s="12"/>
      <c r="B10" s="18"/>
      <c r="C10" s="157"/>
      <c r="D10" s="158"/>
      <c r="E10" s="1"/>
      <c r="J10" s="20"/>
      <c r="K10" s="21"/>
      <c r="L10" s="12"/>
    </row>
    <row r="11" spans="1:16" ht="9.9499999999999993" customHeight="1" x14ac:dyDescent="0.25">
      <c r="B11" s="18"/>
      <c r="C11" s="23"/>
      <c r="D11" s="23"/>
      <c r="E11" s="23"/>
      <c r="F11" s="23"/>
      <c r="G11" s="23"/>
      <c r="H11" s="23"/>
      <c r="I11" s="23"/>
      <c r="J11" s="23"/>
      <c r="K11" s="24"/>
    </row>
    <row r="12" spans="1:16" ht="24.95" customHeight="1" x14ac:dyDescent="0.25">
      <c r="B12" s="18"/>
      <c r="J12" s="25" t="s">
        <v>6</v>
      </c>
      <c r="K12" s="21"/>
      <c r="M12" s="152" t="s">
        <v>5</v>
      </c>
      <c r="N12" s="152"/>
    </row>
    <row r="13" spans="1:16" s="1" customFormat="1" ht="24.95" customHeight="1" x14ac:dyDescent="0.25">
      <c r="B13" s="26"/>
      <c r="J13" s="27">
        <f>IFERROR(Calc!AR28,"")</f>
        <v>64761.169526971185</v>
      </c>
      <c r="K13" s="28"/>
      <c r="M13" s="153" t="s">
        <v>7</v>
      </c>
      <c r="N13" s="154">
        <v>2022</v>
      </c>
      <c r="O13" s="29"/>
      <c r="P13" s="29"/>
    </row>
    <row r="14" spans="1:16" ht="24.95" customHeight="1" x14ac:dyDescent="0.25">
      <c r="B14" s="18"/>
      <c r="J14" s="30" t="str">
        <f>IF(LEN(Dashboard!$N$16)=0,"",Dashboard!$N$16)</f>
        <v>USD</v>
      </c>
      <c r="K14" s="21"/>
      <c r="M14" s="161" t="s">
        <v>8</v>
      </c>
      <c r="N14" s="162" t="s">
        <v>9</v>
      </c>
      <c r="P14" s="29"/>
    </row>
    <row r="15" spans="1:16" ht="9.9499999999999993" customHeight="1" x14ac:dyDescent="0.25">
      <c r="B15" s="18"/>
      <c r="D15" s="31"/>
      <c r="E15" s="31"/>
      <c r="F15" s="31"/>
      <c r="K15" s="21"/>
      <c r="P15" s="29"/>
    </row>
    <row r="16" spans="1:16" s="1" customFormat="1" ht="24.95" customHeight="1" x14ac:dyDescent="0.25">
      <c r="B16" s="26"/>
      <c r="D16" s="33"/>
      <c r="E16" s="33"/>
      <c r="F16" s="34"/>
      <c r="J16" s="35" t="s">
        <v>12</v>
      </c>
      <c r="K16" s="28"/>
      <c r="M16" s="153" t="s">
        <v>10</v>
      </c>
      <c r="N16" s="154" t="s">
        <v>11</v>
      </c>
      <c r="P16" s="29"/>
    </row>
    <row r="17" spans="2:17" s="1" customFormat="1" ht="24.95" customHeight="1" x14ac:dyDescent="0.25">
      <c r="B17" s="26"/>
      <c r="D17" s="33"/>
      <c r="E17" s="33"/>
      <c r="F17" s="34"/>
      <c r="J17" s="36">
        <f>IFERROR(Calc!AR29,"")</f>
        <v>32587.489347478324</v>
      </c>
      <c r="K17" s="28"/>
      <c r="M17" s="32"/>
      <c r="P17" s="29"/>
    </row>
    <row r="18" spans="2:17" ht="24.95" customHeight="1" x14ac:dyDescent="0.25">
      <c r="B18" s="18"/>
      <c r="D18" s="33"/>
      <c r="E18" s="33"/>
      <c r="F18" s="34"/>
      <c r="J18" s="37" t="str">
        <f>IF(LEN(Dashboard!$N$16)=0,"",Dashboard!$N$16)</f>
        <v>USD</v>
      </c>
      <c r="K18" s="21"/>
      <c r="M18" s="32"/>
      <c r="P18" s="29"/>
    </row>
    <row r="19" spans="2:17" ht="9.9499999999999993" customHeight="1" x14ac:dyDescent="0.25">
      <c r="B19" s="18"/>
      <c r="D19" s="33"/>
      <c r="E19" s="33"/>
      <c r="F19" s="34"/>
      <c r="J19" s="31"/>
      <c r="K19" s="21"/>
      <c r="M19" s="32"/>
      <c r="N19" s="38"/>
      <c r="O19" s="38"/>
      <c r="P19" s="29"/>
    </row>
    <row r="20" spans="2:17" ht="24.95" customHeight="1" x14ac:dyDescent="0.25">
      <c r="B20" s="18"/>
      <c r="D20" s="33"/>
      <c r="E20" s="33"/>
      <c r="F20" s="34"/>
      <c r="J20" s="25" t="s">
        <v>13</v>
      </c>
      <c r="K20" s="21"/>
      <c r="M20" s="32"/>
      <c r="P20" s="29"/>
    </row>
    <row r="21" spans="2:17" ht="24.95" customHeight="1" x14ac:dyDescent="0.25">
      <c r="B21" s="18"/>
      <c r="D21" s="33"/>
      <c r="E21" s="33"/>
      <c r="F21" s="34"/>
      <c r="J21" s="27">
        <f>IFERROR(Calc!AR30,"")</f>
        <v>-32173.680179492861</v>
      </c>
      <c r="K21" s="21"/>
      <c r="M21" s="32"/>
      <c r="N21" s="29"/>
      <c r="O21" s="29"/>
      <c r="P21" s="29"/>
    </row>
    <row r="22" spans="2:17" ht="24.95" customHeight="1" x14ac:dyDescent="0.25">
      <c r="B22" s="18"/>
      <c r="D22" s="33"/>
      <c r="E22" s="33"/>
      <c r="F22" s="34"/>
      <c r="J22" s="30" t="str">
        <f>IF(LEN(Dashboard!$N$16)=0,"",Dashboard!$N$16)</f>
        <v>USD</v>
      </c>
      <c r="K22" s="21"/>
    </row>
    <row r="23" spans="2:17" ht="9.9499999999999993" customHeight="1" x14ac:dyDescent="0.25">
      <c r="B23" s="18"/>
      <c r="D23" s="33"/>
      <c r="E23" s="33"/>
      <c r="F23" s="34"/>
      <c r="J23" s="31"/>
      <c r="K23" s="21"/>
    </row>
    <row r="24" spans="2:17" ht="24.95" customHeight="1" x14ac:dyDescent="0.25">
      <c r="B24" s="18"/>
      <c r="D24" s="33"/>
      <c r="E24" s="33"/>
      <c r="F24" s="34"/>
      <c r="J24" s="35" t="s">
        <v>14</v>
      </c>
      <c r="K24" s="21"/>
      <c r="N24" s="29"/>
    </row>
    <row r="25" spans="2:17" ht="24.95" customHeight="1" x14ac:dyDescent="0.25">
      <c r="B25" s="18"/>
      <c r="D25" s="33"/>
      <c r="E25" s="33"/>
      <c r="F25" s="34"/>
      <c r="J25" s="39">
        <f>IFERROR(Calc!AR31,"")</f>
        <v>0.50319488646520749</v>
      </c>
      <c r="K25" s="21"/>
    </row>
    <row r="26" spans="2:17" ht="24.95" customHeight="1" x14ac:dyDescent="0.25">
      <c r="B26" s="18"/>
      <c r="D26" s="33"/>
      <c r="E26" s="33"/>
      <c r="F26" s="34"/>
      <c r="J26" s="40"/>
      <c r="K26" s="21"/>
      <c r="N26" s="41"/>
    </row>
    <row r="27" spans="2:17" ht="9.9499999999999993" customHeight="1" x14ac:dyDescent="0.25">
      <c r="B27" s="18"/>
      <c r="C27" s="31"/>
      <c r="D27" s="33"/>
      <c r="E27" s="33"/>
      <c r="F27" s="34"/>
      <c r="K27" s="21"/>
      <c r="Q27" s="29"/>
    </row>
    <row r="28" spans="2:17" ht="15" customHeight="1" x14ac:dyDescent="0.25">
      <c r="B28" s="18"/>
      <c r="K28" s="21"/>
    </row>
    <row r="29" spans="2:17" ht="15" customHeight="1" x14ac:dyDescent="0.25">
      <c r="B29" s="18"/>
      <c r="K29" s="21"/>
    </row>
    <row r="30" spans="2:17" ht="15" customHeight="1" x14ac:dyDescent="0.25">
      <c r="B30" s="18"/>
      <c r="K30" s="21"/>
    </row>
    <row r="31" spans="2:17" ht="15" customHeight="1" x14ac:dyDescent="0.25">
      <c r="B31" s="18"/>
      <c r="K31" s="21"/>
    </row>
    <row r="32" spans="2:17" ht="15" customHeight="1" x14ac:dyDescent="0.25">
      <c r="B32" s="18"/>
      <c r="K32" s="21"/>
    </row>
    <row r="33" spans="2:11" ht="15" customHeight="1" x14ac:dyDescent="0.25">
      <c r="B33" s="18"/>
      <c r="K33" s="21"/>
    </row>
    <row r="34" spans="2:11" ht="15" customHeight="1" x14ac:dyDescent="0.25">
      <c r="B34" s="18"/>
      <c r="K34" s="21"/>
    </row>
    <row r="35" spans="2:11" ht="15" customHeight="1" x14ac:dyDescent="0.25">
      <c r="B35" s="18"/>
      <c r="K35" s="21"/>
    </row>
    <row r="36" spans="2:11" ht="15" customHeight="1" x14ac:dyDescent="0.25">
      <c r="B36" s="18"/>
      <c r="K36" s="21"/>
    </row>
    <row r="37" spans="2:11" ht="15" customHeight="1" x14ac:dyDescent="0.25">
      <c r="B37" s="18"/>
      <c r="K37" s="21"/>
    </row>
    <row r="38" spans="2:11" ht="15" customHeight="1" x14ac:dyDescent="0.25">
      <c r="B38" s="18"/>
      <c r="K38" s="21"/>
    </row>
    <row r="39" spans="2:11" ht="15" customHeight="1" x14ac:dyDescent="0.25">
      <c r="B39" s="18"/>
      <c r="K39" s="21"/>
    </row>
    <row r="40" spans="2:11" ht="15" customHeight="1" x14ac:dyDescent="0.25">
      <c r="B40" s="18"/>
      <c r="K40" s="21"/>
    </row>
    <row r="41" spans="2:11" ht="15" customHeight="1" x14ac:dyDescent="0.25">
      <c r="B41" s="18"/>
      <c r="K41" s="21"/>
    </row>
    <row r="42" spans="2:11" ht="8.1" customHeight="1" x14ac:dyDescent="0.25">
      <c r="B42" s="42"/>
      <c r="C42" s="43"/>
      <c r="D42" s="43"/>
      <c r="E42" s="43"/>
      <c r="F42" s="43"/>
      <c r="G42" s="43"/>
      <c r="H42" s="43"/>
      <c r="I42" s="43"/>
      <c r="J42" s="43"/>
      <c r="K42" s="44"/>
    </row>
    <row r="43" spans="2:11" ht="15" customHeight="1" x14ac:dyDescent="0.25"/>
    <row r="44" spans="2:11" ht="20.100000000000001" customHeight="1" x14ac:dyDescent="0.25">
      <c r="B44" s="45"/>
      <c r="C44" s="46" t="s">
        <v>15</v>
      </c>
      <c r="D44" s="46"/>
      <c r="E44" s="47"/>
      <c r="F44" s="46"/>
      <c r="G44" s="46"/>
      <c r="H44" s="46"/>
      <c r="I44" s="46"/>
      <c r="J44" s="46"/>
      <c r="K44" s="48"/>
    </row>
    <row r="45" spans="2:11" ht="15" customHeight="1" x14ac:dyDescent="0.25">
      <c r="B45" s="49"/>
      <c r="C45" s="50"/>
      <c r="D45" s="50"/>
      <c r="E45" s="51"/>
      <c r="F45" s="50"/>
      <c r="G45" s="50"/>
      <c r="H45" s="50"/>
      <c r="I45" s="50"/>
      <c r="J45" s="50"/>
      <c r="K45" s="52"/>
    </row>
    <row r="46" spans="2:11" ht="15" customHeight="1" x14ac:dyDescent="0.25">
      <c r="B46" s="53"/>
      <c r="C46" s="54" t="s">
        <v>2</v>
      </c>
      <c r="D46" s="54" t="s">
        <v>16</v>
      </c>
      <c r="E46" s="55" t="s">
        <v>17</v>
      </c>
      <c r="F46" s="55" t="s">
        <v>18</v>
      </c>
      <c r="G46" s="55" t="s">
        <v>19</v>
      </c>
      <c r="H46" s="55" t="s">
        <v>20</v>
      </c>
      <c r="I46" s="56"/>
      <c r="J46" s="57"/>
      <c r="K46" s="58"/>
    </row>
    <row r="47" spans="2:11" ht="15" customHeight="1" x14ac:dyDescent="0.25">
      <c r="B47" s="53"/>
      <c r="C47" s="59" t="str">
        <f>IFERROR(IF(Calc!C10=0,"",Calc!D10),"")</f>
        <v>Employee Costs</v>
      </c>
      <c r="D47" s="59" t="str">
        <f>IFERROR(IF(Calc!D10=0,"",Calc!E10),"")</f>
        <v>International salaries</v>
      </c>
      <c r="E47" s="56">
        <f>IFERROR(IF(LEN($C47)=0,"",Calc!AH10),"")</f>
        <v>5296.3328000000001</v>
      </c>
      <c r="F47" s="56">
        <f>IFERROR(IF(LEN($C47)=0,"",Calc!AI10),"")</f>
        <v>3796.3328000000006</v>
      </c>
      <c r="G47" s="56">
        <f>IFERROR(IF(LEN($C47)=0,"",Calc!AJ10),"")</f>
        <v>-1499.9999999999995</v>
      </c>
      <c r="H47" s="60">
        <f>IFERROR(IF(LEN($C47)=0,"",Calc!AK10),"")</f>
        <v>0.71678516878697662</v>
      </c>
      <c r="I47" s="56"/>
      <c r="J47" s="57"/>
      <c r="K47" s="58"/>
    </row>
    <row r="48" spans="2:11" ht="15" customHeight="1" x14ac:dyDescent="0.25">
      <c r="B48" s="53"/>
      <c r="C48" s="59" t="str">
        <f>IFERROR(IF(Calc!C11=0,"",Calc!D11),"")</f>
        <v>Employee Costs</v>
      </c>
      <c r="D48" s="59" t="str">
        <f>IFERROR(IF(Calc!D11=0,"",Calc!E11),"")</f>
        <v>India process Salaries</v>
      </c>
      <c r="E48" s="56">
        <f>IFERROR(IF(LEN($C48)=0,"",Calc!AH11),"")</f>
        <v>1786.1271360000001</v>
      </c>
      <c r="F48" s="56">
        <f>IFERROR(IF(LEN($C48)=0,"",Calc!AI11),"")</f>
        <v>178.12713600000001</v>
      </c>
      <c r="G48" s="56">
        <f>IFERROR(IF(LEN($C48)=0,"",Calc!AJ11),"")</f>
        <v>-1608</v>
      </c>
      <c r="H48" s="60">
        <f>IFERROR(IF(LEN($C48)=0,"",Calc!AK11),"")</f>
        <v>9.9728139397127435E-2</v>
      </c>
      <c r="I48" s="56"/>
      <c r="J48" s="57"/>
      <c r="K48" s="58"/>
    </row>
    <row r="49" spans="2:11" ht="15" customHeight="1" x14ac:dyDescent="0.25">
      <c r="B49" s="53"/>
      <c r="C49" s="59" t="str">
        <f>IFERROR(IF(Calc!C12=0,"",Calc!D12),"")</f>
        <v>Employee Costs</v>
      </c>
      <c r="D49" s="59" t="str">
        <f>IFERROR(IF(Calc!D12=0,"",Calc!E12),"")</f>
        <v>Other Salaries</v>
      </c>
      <c r="E49" s="56">
        <f>IFERROR(IF(LEN($C49)=0,"",Calc!AH12),"")</f>
        <v>4697.9108044799996</v>
      </c>
      <c r="F49" s="56">
        <f>IFERROR(IF(LEN($C49)=0,"",Calc!AI12),"")</f>
        <v>2093.91080448</v>
      </c>
      <c r="G49" s="56">
        <f>IFERROR(IF(LEN($C49)=0,"",Calc!AJ12),"")</f>
        <v>-2603.9999999999995</v>
      </c>
      <c r="H49" s="60">
        <f>IFERROR(IF(LEN($C49)=0,"",Calc!AK12),"")</f>
        <v>0.44571106000633615</v>
      </c>
      <c r="I49" s="56"/>
      <c r="J49" s="57"/>
      <c r="K49" s="58"/>
    </row>
    <row r="50" spans="2:11" ht="15" customHeight="1" x14ac:dyDescent="0.25">
      <c r="B50" s="53"/>
      <c r="C50" s="59" t="str">
        <f>IFERROR(IF(Calc!C13=0,"",Calc!D13),"")</f>
        <v>Employee Costs</v>
      </c>
      <c r="D50" s="59" t="str">
        <f>IFERROR(IF(Calc!D13=0,"",Calc!E13),"")</f>
        <v>Employee Benefit Expenses</v>
      </c>
      <c r="E50" s="56">
        <f>IFERROR(IF(LEN($C50)=0,"",Calc!AH13),"")</f>
        <v>1016.0635957276671</v>
      </c>
      <c r="F50" s="56">
        <f>IFERROR(IF(LEN($C50)=0,"",Calc!AI13),"")</f>
        <v>435.24898835640317</v>
      </c>
      <c r="G50" s="56">
        <f>IFERROR(IF(LEN($C50)=0,"",Calc!AJ13),"")</f>
        <v>-580.81460737126395</v>
      </c>
      <c r="H50" s="60">
        <f>IFERROR(IF(LEN($C50)=0,"",Calc!AK13),"")</f>
        <v>0.42836786022699097</v>
      </c>
      <c r="I50" s="56"/>
      <c r="J50" s="57"/>
      <c r="K50" s="58"/>
    </row>
    <row r="51" spans="2:11" ht="15" customHeight="1" x14ac:dyDescent="0.25">
      <c r="B51" s="53"/>
      <c r="C51" s="59" t="str">
        <f>IFERROR(IF(Calc!C14=0,"",Calc!D14),"")</f>
        <v>Office Costs</v>
      </c>
      <c r="D51" s="59" t="str">
        <f>IFERROR(IF(Calc!D14=0,"",Calc!E14),"")</f>
        <v>Security Charges</v>
      </c>
      <c r="E51" s="56">
        <f>IFERROR(IF(LEN($C51)=0,"",Calc!AH14),"")</f>
        <v>11803.904979200001</v>
      </c>
      <c r="F51" s="56">
        <f>IFERROR(IF(LEN($C51)=0,"",Calc!AI14),"")</f>
        <v>6047.3625631999994</v>
      </c>
      <c r="G51" s="56">
        <f>IFERROR(IF(LEN($C51)=0,"",Calc!AJ14),"")</f>
        <v>-5756.5424160000011</v>
      </c>
      <c r="H51" s="60">
        <f>IFERROR(IF(LEN($C51)=0,"",Calc!AK14),"")</f>
        <v>0.51231881092369269</v>
      </c>
      <c r="I51" s="56"/>
      <c r="J51" s="57"/>
      <c r="K51" s="58"/>
    </row>
    <row r="52" spans="2:11" ht="15" customHeight="1" x14ac:dyDescent="0.25">
      <c r="B52" s="53"/>
      <c r="C52" s="59" t="str">
        <f>IFERROR(IF(Calc!C15=0,"",Calc!D15),"")</f>
        <v>Office Costs</v>
      </c>
      <c r="D52" s="59" t="str">
        <f>IFERROR(IF(Calc!D15=0,"",Calc!E15),"")</f>
        <v>Office lease</v>
      </c>
      <c r="E52" s="56">
        <f>IFERROR(IF(LEN($C52)=0,"",Calc!AH15),"")</f>
        <v>2006.4133119999997</v>
      </c>
      <c r="F52" s="56">
        <f>IFERROR(IF(LEN($C52)=0,"",Calc!AI15),"")</f>
        <v>970.77715199999989</v>
      </c>
      <c r="G52" s="56">
        <f>IFERROR(IF(LEN($C52)=0,"",Calc!AJ15),"")</f>
        <v>-1035.6361599999998</v>
      </c>
      <c r="H52" s="60">
        <f>IFERROR(IF(LEN($C52)=0,"",Calc!AK15),"")</f>
        <v>0.4838370769342264</v>
      </c>
      <c r="I52" s="56"/>
      <c r="J52" s="57"/>
      <c r="K52" s="58"/>
    </row>
    <row r="53" spans="2:11" ht="15" customHeight="1" x14ac:dyDescent="0.25">
      <c r="B53" s="53"/>
      <c r="C53" s="59" t="str">
        <f>IFERROR(IF(Calc!C16=0,"",Calc!D16),"")</f>
        <v>Office Costs</v>
      </c>
      <c r="D53" s="59" t="str">
        <f>IFERROR(IF(Calc!D16=0,"",Calc!E16),"")</f>
        <v>Furniture Purchase</v>
      </c>
      <c r="E53" s="56">
        <f>IFERROR(IF(LEN($C53)=0,"",Calc!AH16),"")</f>
        <v>2448.2977671679996</v>
      </c>
      <c r="F53" s="56">
        <f>IFERROR(IF(LEN($C53)=0,"",Calc!AI16),"")</f>
        <v>1120.8755673599996</v>
      </c>
      <c r="G53" s="56">
        <f>IFERROR(IF(LEN($C53)=0,"",Calc!AJ16),"")</f>
        <v>-1327.422199808</v>
      </c>
      <c r="H53" s="60">
        <f>IFERROR(IF(LEN($C53)=0,"",Calc!AK16),"")</f>
        <v>0.45781831866658168</v>
      </c>
      <c r="I53" s="56"/>
      <c r="J53" s="57"/>
      <c r="K53" s="58"/>
    </row>
    <row r="54" spans="2:11" ht="15" customHeight="1" x14ac:dyDescent="0.25">
      <c r="B54" s="53"/>
      <c r="C54" s="59" t="str">
        <f>IFERROR(IF(Calc!C17=0,"",Calc!D17),"")</f>
        <v>Vehicle Maintainance</v>
      </c>
      <c r="D54" s="59" t="str">
        <f>IFERROR(IF(Calc!D17=0,"",Calc!E17),"")</f>
        <v>Santro Petrol</v>
      </c>
      <c r="E54" s="56">
        <f>IFERROR(IF(LEN($C54)=0,"",Calc!AH17),"")</f>
        <v>8901.9167398400023</v>
      </c>
      <c r="F54" s="56">
        <f>IFERROR(IF(LEN($C54)=0,"",Calc!AI17),"")</f>
        <v>4563.3011494400007</v>
      </c>
      <c r="G54" s="56">
        <f>IFERROR(IF(LEN($C54)=0,"",Calc!AJ17),"")</f>
        <v>-4338.6155904000016</v>
      </c>
      <c r="H54" s="60">
        <f>IFERROR(IF(LEN($C54)=0,"",Calc!AK17),"")</f>
        <v>0.51262006630742973</v>
      </c>
      <c r="I54" s="56"/>
      <c r="J54" s="57"/>
      <c r="K54" s="58"/>
    </row>
    <row r="55" spans="2:11" ht="15" customHeight="1" x14ac:dyDescent="0.25">
      <c r="B55" s="53"/>
      <c r="C55" s="59" t="str">
        <f>IFERROR(IF(Calc!C18=0,"",Calc!D18),"")</f>
        <v>Vehicle Maintainance</v>
      </c>
      <c r="D55" s="59" t="str">
        <f>IFERROR(IF(Calc!D18=0,"",Calc!E18),"")</f>
        <v>Santro Maintenance</v>
      </c>
      <c r="E55" s="56">
        <f>IFERROR(IF(LEN($C55)=0,"",Calc!AH18),"")</f>
        <v>9951.8469196800015</v>
      </c>
      <c r="F55" s="56">
        <f>IFERROR(IF(LEN($C55)=0,"",Calc!AI18),"")</f>
        <v>5065.0750924800013</v>
      </c>
      <c r="G55" s="56">
        <f>IFERROR(IF(LEN($C55)=0,"",Calc!AJ18),"")</f>
        <v>-4886.7718272000002</v>
      </c>
      <c r="H55" s="60">
        <f>IFERROR(IF(LEN($C55)=0,"",Calc!AK18),"")</f>
        <v>0.50895830023909439</v>
      </c>
      <c r="I55" s="56"/>
      <c r="J55" s="57"/>
      <c r="K55" s="58"/>
    </row>
    <row r="56" spans="2:11" ht="15" customHeight="1" x14ac:dyDescent="0.25">
      <c r="B56" s="53"/>
      <c r="C56" s="59" t="str">
        <f>IFERROR(IF(Calc!C19=0,"",Calc!D19),"")</f>
        <v>Vehicle Maintainance</v>
      </c>
      <c r="D56" s="59" t="str">
        <f>IFERROR(IF(Calc!D19=0,"",Calc!E19),"")</f>
        <v>Micra Maintainance</v>
      </c>
      <c r="E56" s="56">
        <f>IFERROR(IF(LEN($C56)=0,"",Calc!AH19),"")</f>
        <v>817.66286407679991</v>
      </c>
      <c r="F56" s="56">
        <f>IFERROR(IF(LEN($C56)=0,"",Calc!AI19),"")</f>
        <v>258.16793518079999</v>
      </c>
      <c r="G56" s="56">
        <f>IFERROR(IF(LEN($C56)=0,"",Calc!AJ19),"")</f>
        <v>-559.49492889599992</v>
      </c>
      <c r="H56" s="60">
        <f>IFERROR(IF(LEN($C56)=0,"",Calc!AK19),"")</f>
        <v>0.31573885341153424</v>
      </c>
      <c r="I56" s="56"/>
      <c r="J56" s="57"/>
      <c r="K56" s="58"/>
    </row>
    <row r="57" spans="2:11" ht="15" customHeight="1" x14ac:dyDescent="0.25">
      <c r="B57" s="53"/>
      <c r="C57" s="59" t="str">
        <f>IFERROR(IF(Calc!C20=0,"",Calc!D20),"")</f>
        <v>Food and Beverages</v>
      </c>
      <c r="D57" s="59" t="str">
        <f>IFERROR(IF(Calc!D20=0,"",Calc!E20),"")</f>
        <v>Employee Food Expenses</v>
      </c>
      <c r="E57" s="56">
        <f>IFERROR(IF(LEN($C57)=0,"",Calc!AH20),"")</f>
        <v>8594.0746059571175</v>
      </c>
      <c r="F57" s="56">
        <f>IFERROR(IF(LEN($C57)=0,"",Calc!AI20),"")</f>
        <v>4320.5255044915202</v>
      </c>
      <c r="G57" s="56">
        <f>IFERROR(IF(LEN($C57)=0,"",Calc!AJ20),"")</f>
        <v>-4273.5491014655972</v>
      </c>
      <c r="H57" s="60">
        <f>IFERROR(IF(LEN($C57)=0,"",Calc!AK20),"")</f>
        <v>0.5027330693052956</v>
      </c>
      <c r="I57" s="56"/>
      <c r="J57" s="57"/>
      <c r="K57" s="58"/>
    </row>
    <row r="58" spans="2:11" ht="15" customHeight="1" x14ac:dyDescent="0.25">
      <c r="B58" s="53"/>
      <c r="C58" s="59" t="str">
        <f>IFERROR(IF(Calc!C21=0,"",Calc!D21),"")</f>
        <v>Food and Beverages</v>
      </c>
      <c r="D58" s="59" t="str">
        <f>IFERROR(IF(Calc!D21=0,"",Calc!E21),"")</f>
        <v>Extra Food Expenses</v>
      </c>
      <c r="E58" s="56">
        <f>IFERROR(IF(LEN($C58)=0,"",Calc!AH21),"")</f>
        <v>7440.6180028415993</v>
      </c>
      <c r="F58" s="56">
        <f>IFERROR(IF(LEN($C58)=0,"",Calc!AI21),"")</f>
        <v>3737.7846544895997</v>
      </c>
      <c r="G58" s="56">
        <f>IFERROR(IF(LEN($C58)=0,"",Calc!AJ21),"")</f>
        <v>-3702.8333483519996</v>
      </c>
      <c r="H58" s="60">
        <f>IFERROR(IF(LEN($C58)=0,"",Calc!AK21),"")</f>
        <v>0.50234868300753055</v>
      </c>
      <c r="I58" s="56"/>
      <c r="J58" s="57"/>
      <c r="K58" s="58"/>
    </row>
    <row r="59" spans="2:11" ht="15" customHeight="1" x14ac:dyDescent="0.25">
      <c r="B59" s="53"/>
      <c r="C59" s="59" t="str">
        <f>IFERROR(IF(Calc!C22=0,"",Calc!D22),"")</f>
        <v/>
      </c>
      <c r="D59" s="59" t="str">
        <f>IFERROR(IF(Calc!D22=0,"",Calc!E22),"")</f>
        <v/>
      </c>
      <c r="E59" s="56" t="str">
        <f>IFERROR(IF(LEN($C59)=0,"",Calc!AH22),"")</f>
        <v/>
      </c>
      <c r="F59" s="56" t="str">
        <f>IFERROR(IF(LEN($C59)=0,"",Calc!AI22),"")</f>
        <v/>
      </c>
      <c r="G59" s="56" t="str">
        <f>IFERROR(IF(LEN($C59)=0,"",Calc!AJ22),"")</f>
        <v/>
      </c>
      <c r="H59" s="60" t="str">
        <f>IFERROR(IF(LEN($C59)=0,"",Calc!AK22),"")</f>
        <v/>
      </c>
      <c r="I59" s="56"/>
      <c r="J59" s="57"/>
      <c r="K59" s="58"/>
    </row>
    <row r="60" spans="2:11" ht="15" customHeight="1" x14ac:dyDescent="0.25">
      <c r="B60" s="53"/>
      <c r="C60" s="59" t="str">
        <f>IFERROR(IF(Calc!C23=0,"",Calc!D23),"")</f>
        <v/>
      </c>
      <c r="D60" s="59" t="str">
        <f>IFERROR(IF(Calc!D23=0,"",Calc!E23),"")</f>
        <v/>
      </c>
      <c r="E60" s="56" t="str">
        <f>IFERROR(IF(LEN($C60)=0,"",Calc!AH23),"")</f>
        <v/>
      </c>
      <c r="F60" s="56" t="str">
        <f>IFERROR(IF(LEN($C60)=0,"",Calc!AI23),"")</f>
        <v/>
      </c>
      <c r="G60" s="56" t="str">
        <f>IFERROR(IF(LEN($C60)=0,"",Calc!AJ23),"")</f>
        <v/>
      </c>
      <c r="H60" s="60" t="str">
        <f>IFERROR(IF(LEN($C60)=0,"",Calc!AK23),"")</f>
        <v/>
      </c>
      <c r="I60" s="56"/>
      <c r="J60" s="57"/>
      <c r="K60" s="58"/>
    </row>
    <row r="61" spans="2:11" ht="15" customHeight="1" x14ac:dyDescent="0.25">
      <c r="B61" s="53"/>
      <c r="C61" s="59" t="str">
        <f>IFERROR(IF(Calc!C24=0,"",Calc!D24),"")</f>
        <v/>
      </c>
      <c r="D61" s="59" t="str">
        <f>IFERROR(IF(Calc!D24=0,"",Calc!E24),"")</f>
        <v/>
      </c>
      <c r="E61" s="56" t="str">
        <f>IFERROR(IF(LEN($C61)=0,"",Calc!AH24),"")</f>
        <v/>
      </c>
      <c r="F61" s="56" t="str">
        <f>IFERROR(IF(LEN($C61)=0,"",Calc!AI24),"")</f>
        <v/>
      </c>
      <c r="G61" s="56" t="str">
        <f>IFERROR(IF(LEN($C61)=0,"",Calc!AJ24),"")</f>
        <v/>
      </c>
      <c r="H61" s="60" t="str">
        <f>IFERROR(IF(LEN($C61)=0,"",Calc!AK24),"")</f>
        <v/>
      </c>
      <c r="I61" s="56"/>
      <c r="J61" s="57"/>
      <c r="K61" s="58"/>
    </row>
    <row r="62" spans="2:11" ht="15" customHeight="1" x14ac:dyDescent="0.25">
      <c r="B62" s="53"/>
      <c r="C62" s="59"/>
      <c r="D62" s="59"/>
      <c r="E62" s="56"/>
      <c r="F62" s="56"/>
      <c r="G62" s="56"/>
      <c r="H62" s="60"/>
      <c r="I62" s="56"/>
      <c r="J62" s="57"/>
      <c r="K62" s="58"/>
    </row>
    <row r="63" spans="2:11" ht="15" customHeight="1" x14ac:dyDescent="0.25">
      <c r="B63" s="53"/>
      <c r="C63" s="59"/>
      <c r="D63" s="59"/>
      <c r="E63" s="56"/>
      <c r="F63" s="56"/>
      <c r="G63" s="56"/>
      <c r="H63" s="60"/>
      <c r="I63" s="56"/>
      <c r="J63" s="57"/>
      <c r="K63" s="58"/>
    </row>
    <row r="64" spans="2:11" ht="15" customHeight="1" x14ac:dyDescent="0.25">
      <c r="B64" s="53"/>
      <c r="C64" s="59"/>
      <c r="D64" s="59"/>
      <c r="E64" s="56"/>
      <c r="F64" s="56"/>
      <c r="G64" s="56"/>
      <c r="H64" s="60"/>
      <c r="I64" s="56"/>
      <c r="J64" s="57"/>
      <c r="K64" s="58"/>
    </row>
    <row r="65" spans="2:11" ht="15" customHeight="1" x14ac:dyDescent="0.25">
      <c r="B65" s="53"/>
      <c r="C65" s="59"/>
      <c r="D65" s="59"/>
      <c r="E65" s="56"/>
      <c r="F65" s="56"/>
      <c r="G65" s="56"/>
      <c r="H65" s="60"/>
      <c r="I65" s="56"/>
      <c r="J65" s="57"/>
      <c r="K65" s="58"/>
    </row>
    <row r="66" spans="2:11" ht="15" customHeight="1" x14ac:dyDescent="0.25">
      <c r="B66" s="53"/>
      <c r="C66" s="59"/>
      <c r="D66" s="59"/>
      <c r="E66" s="56"/>
      <c r="F66" s="56"/>
      <c r="G66" s="56"/>
      <c r="H66" s="60"/>
      <c r="I66" s="56"/>
      <c r="J66" s="57"/>
      <c r="K66" s="58"/>
    </row>
    <row r="67" spans="2:11" ht="15" customHeight="1" x14ac:dyDescent="0.25">
      <c r="B67" s="53"/>
      <c r="C67" s="59"/>
      <c r="D67" s="59"/>
      <c r="E67" s="56"/>
      <c r="F67" s="56"/>
      <c r="G67" s="56"/>
      <c r="H67" s="60"/>
      <c r="I67" s="56"/>
      <c r="J67" s="57"/>
      <c r="K67" s="58"/>
    </row>
    <row r="68" spans="2:11" ht="15" customHeight="1" x14ac:dyDescent="0.25">
      <c r="B68" s="53"/>
      <c r="C68" s="59"/>
      <c r="D68" s="59"/>
      <c r="E68" s="56"/>
      <c r="F68" s="56"/>
      <c r="G68" s="56"/>
      <c r="H68" s="60"/>
      <c r="I68" s="56"/>
      <c r="J68" s="57"/>
      <c r="K68" s="58"/>
    </row>
    <row r="69" spans="2:11" ht="15" customHeight="1" x14ac:dyDescent="0.25">
      <c r="B69" s="53"/>
      <c r="C69" s="59"/>
      <c r="D69" s="59"/>
      <c r="E69" s="56"/>
      <c r="F69" s="56"/>
      <c r="G69" s="56"/>
      <c r="H69" s="60"/>
      <c r="I69" s="56"/>
      <c r="J69" s="57"/>
      <c r="K69" s="58"/>
    </row>
    <row r="70" spans="2:11" ht="15" customHeight="1" x14ac:dyDescent="0.25">
      <c r="B70" s="53"/>
      <c r="C70" s="59"/>
      <c r="D70" s="59"/>
      <c r="E70" s="56"/>
      <c r="F70" s="56"/>
      <c r="G70" s="56"/>
      <c r="H70" s="60"/>
      <c r="I70" s="56"/>
      <c r="J70" s="57"/>
      <c r="K70" s="58"/>
    </row>
    <row r="71" spans="2:11" ht="15" customHeight="1" x14ac:dyDescent="0.25">
      <c r="B71" s="53"/>
      <c r="C71" s="59"/>
      <c r="D71" s="59"/>
      <c r="E71" s="56"/>
      <c r="F71" s="56"/>
      <c r="G71" s="56"/>
      <c r="H71" s="60"/>
      <c r="I71" s="56"/>
      <c r="J71" s="57"/>
      <c r="K71" s="58"/>
    </row>
    <row r="72" spans="2:11" ht="15" customHeight="1" x14ac:dyDescent="0.25">
      <c r="B72" s="53"/>
      <c r="C72" s="59"/>
      <c r="D72" s="59"/>
      <c r="E72" s="56"/>
      <c r="F72" s="56"/>
      <c r="G72" s="56"/>
      <c r="H72" s="60"/>
      <c r="I72" s="56"/>
      <c r="J72" s="57"/>
      <c r="K72" s="58"/>
    </row>
    <row r="73" spans="2:11" ht="15" customHeight="1" x14ac:dyDescent="0.25">
      <c r="B73" s="53"/>
      <c r="C73" s="59"/>
      <c r="D73" s="59"/>
      <c r="E73" s="56"/>
      <c r="F73" s="56"/>
      <c r="G73" s="56"/>
      <c r="H73" s="60"/>
      <c r="I73" s="56"/>
      <c r="J73" s="57"/>
      <c r="K73" s="58"/>
    </row>
    <row r="74" spans="2:11" ht="15" customHeight="1" x14ac:dyDescent="0.25">
      <c r="B74" s="53"/>
      <c r="C74" s="59"/>
      <c r="D74" s="59"/>
      <c r="E74" s="56"/>
      <c r="F74" s="56"/>
      <c r="G74" s="56"/>
      <c r="H74" s="60"/>
      <c r="I74" s="56"/>
      <c r="J74" s="57"/>
      <c r="K74" s="58"/>
    </row>
    <row r="75" spans="2:11" ht="15" customHeight="1" x14ac:dyDescent="0.25">
      <c r="B75" s="53"/>
      <c r="C75" s="59"/>
      <c r="D75" s="59"/>
      <c r="E75" s="56"/>
      <c r="F75" s="56"/>
      <c r="G75" s="56"/>
      <c r="H75" s="60"/>
      <c r="I75" s="56"/>
      <c r="J75" s="57"/>
      <c r="K75" s="58"/>
    </row>
    <row r="76" spans="2:11" ht="15" customHeight="1" x14ac:dyDescent="0.25">
      <c r="B76" s="53"/>
      <c r="C76" s="59"/>
      <c r="D76" s="59"/>
      <c r="E76" s="56"/>
      <c r="F76" s="56"/>
      <c r="G76" s="56"/>
      <c r="H76" s="60"/>
      <c r="I76" s="56"/>
      <c r="J76" s="57"/>
      <c r="K76" s="58"/>
    </row>
    <row r="77" spans="2:11" ht="15" customHeight="1" x14ac:dyDescent="0.25">
      <c r="B77" s="53"/>
      <c r="C77" s="59"/>
      <c r="D77" s="59"/>
      <c r="E77" s="56"/>
      <c r="F77" s="56"/>
      <c r="G77" s="56"/>
      <c r="H77" s="60"/>
      <c r="I77" s="56"/>
      <c r="J77" s="57"/>
      <c r="K77" s="58"/>
    </row>
    <row r="78" spans="2:11" ht="15" customHeight="1" x14ac:dyDescent="0.25">
      <c r="B78" s="53"/>
      <c r="C78" s="59"/>
      <c r="D78" s="59"/>
      <c r="E78" s="56"/>
      <c r="F78" s="56"/>
      <c r="G78" s="56"/>
      <c r="H78" s="60"/>
      <c r="I78" s="56"/>
      <c r="J78" s="57"/>
      <c r="K78" s="58"/>
    </row>
    <row r="79" spans="2:11" ht="15" customHeight="1" x14ac:dyDescent="0.25">
      <c r="B79" s="53"/>
      <c r="C79" s="59"/>
      <c r="D79" s="59"/>
      <c r="E79" s="56"/>
      <c r="F79" s="56"/>
      <c r="G79" s="56"/>
      <c r="H79" s="60"/>
      <c r="I79" s="56"/>
      <c r="J79" s="57"/>
      <c r="K79" s="58"/>
    </row>
    <row r="80" spans="2:11" ht="15" customHeight="1" x14ac:dyDescent="0.25">
      <c r="B80" s="53"/>
      <c r="C80" s="59"/>
      <c r="D80" s="59"/>
      <c r="E80" s="56"/>
      <c r="F80" s="56"/>
      <c r="G80" s="56"/>
      <c r="H80" s="60"/>
      <c r="I80" s="56"/>
      <c r="J80" s="57"/>
      <c r="K80" s="58"/>
    </row>
    <row r="81" spans="2:11" ht="15" customHeight="1" x14ac:dyDescent="0.25">
      <c r="B81" s="53"/>
      <c r="C81" s="59"/>
      <c r="D81" s="59"/>
      <c r="E81" s="56"/>
      <c r="F81" s="56"/>
      <c r="G81" s="56"/>
      <c r="H81" s="60"/>
      <c r="I81" s="56"/>
      <c r="J81" s="57"/>
      <c r="K81" s="58"/>
    </row>
    <row r="82" spans="2:11" ht="15" customHeight="1" x14ac:dyDescent="0.25">
      <c r="B82" s="53"/>
      <c r="C82" s="59"/>
      <c r="D82" s="59"/>
      <c r="E82" s="56"/>
      <c r="F82" s="56"/>
      <c r="G82" s="56"/>
      <c r="H82" s="60"/>
      <c r="I82" s="56"/>
      <c r="J82" s="57"/>
      <c r="K82" s="58"/>
    </row>
    <row r="83" spans="2:11" ht="15" customHeight="1" x14ac:dyDescent="0.25">
      <c r="B83" s="53"/>
      <c r="C83" s="59"/>
      <c r="D83" s="59"/>
      <c r="E83" s="56"/>
      <c r="F83" s="56"/>
      <c r="G83" s="56"/>
      <c r="H83" s="60"/>
      <c r="I83" s="56"/>
      <c r="J83" s="57"/>
      <c r="K83" s="58"/>
    </row>
    <row r="84" spans="2:11" ht="15" customHeight="1" x14ac:dyDescent="0.25">
      <c r="B84" s="53"/>
      <c r="C84" s="59"/>
      <c r="D84" s="59"/>
      <c r="E84" s="56"/>
      <c r="F84" s="56"/>
      <c r="G84" s="56"/>
      <c r="H84" s="60"/>
      <c r="I84" s="56"/>
      <c r="J84" s="57"/>
      <c r="K84" s="58"/>
    </row>
    <row r="85" spans="2:11" ht="15" customHeight="1" x14ac:dyDescent="0.25">
      <c r="B85" s="53"/>
      <c r="C85" s="59"/>
      <c r="D85" s="59"/>
      <c r="E85" s="56"/>
      <c r="F85" s="56"/>
      <c r="G85" s="56"/>
      <c r="H85" s="60"/>
      <c r="I85" s="56"/>
      <c r="J85" s="57"/>
      <c r="K85" s="58"/>
    </row>
    <row r="86" spans="2:11" ht="15" customHeight="1" x14ac:dyDescent="0.25">
      <c r="B86" s="53"/>
      <c r="C86" s="59"/>
      <c r="D86" s="59"/>
      <c r="E86" s="56"/>
      <c r="F86" s="56"/>
      <c r="G86" s="56"/>
      <c r="H86" s="60"/>
      <c r="I86" s="56"/>
      <c r="J86" s="57"/>
      <c r="K86" s="58"/>
    </row>
    <row r="87" spans="2:11" ht="15" customHeight="1" x14ac:dyDescent="0.25">
      <c r="B87" s="53"/>
      <c r="C87" s="59"/>
      <c r="D87" s="59"/>
      <c r="E87" s="56"/>
      <c r="F87" s="56"/>
      <c r="G87" s="56"/>
      <c r="H87" s="60"/>
      <c r="I87" s="56"/>
      <c r="J87" s="57"/>
      <c r="K87" s="58"/>
    </row>
    <row r="88" spans="2:11" ht="15" customHeight="1" x14ac:dyDescent="0.25">
      <c r="B88" s="53"/>
      <c r="C88" s="59"/>
      <c r="D88" s="59"/>
      <c r="E88" s="56"/>
      <c r="F88" s="56"/>
      <c r="G88" s="56"/>
      <c r="H88" s="60"/>
      <c r="I88" s="56"/>
      <c r="J88" s="57"/>
      <c r="K88" s="58"/>
    </row>
    <row r="89" spans="2:11" ht="15" customHeight="1" x14ac:dyDescent="0.25">
      <c r="B89" s="53"/>
      <c r="C89" s="59"/>
      <c r="D89" s="59"/>
      <c r="E89" s="56"/>
      <c r="F89" s="56"/>
      <c r="G89" s="56"/>
      <c r="H89" s="60"/>
      <c r="I89" s="56"/>
      <c r="J89" s="57"/>
      <c r="K89" s="58"/>
    </row>
    <row r="90" spans="2:11" ht="15" customHeight="1" x14ac:dyDescent="0.25">
      <c r="B90" s="53"/>
      <c r="C90" s="59"/>
      <c r="D90" s="59"/>
      <c r="E90" s="56"/>
      <c r="F90" s="56"/>
      <c r="G90" s="56"/>
      <c r="H90" s="60"/>
      <c r="I90" s="56"/>
      <c r="J90" s="57"/>
      <c r="K90" s="58"/>
    </row>
    <row r="91" spans="2:11" ht="15" customHeight="1" x14ac:dyDescent="0.25">
      <c r="B91" s="53"/>
      <c r="C91" s="59"/>
      <c r="D91" s="59"/>
      <c r="E91" s="56"/>
      <c r="F91" s="56"/>
      <c r="G91" s="56"/>
      <c r="H91" s="60"/>
      <c r="I91" s="56"/>
      <c r="J91" s="57"/>
      <c r="K91" s="58"/>
    </row>
    <row r="92" spans="2:11" ht="15" customHeight="1" x14ac:dyDescent="0.25">
      <c r="B92" s="53"/>
      <c r="C92" s="59"/>
      <c r="D92" s="59"/>
      <c r="E92" s="56"/>
      <c r="F92" s="56"/>
      <c r="G92" s="56"/>
      <c r="H92" s="60"/>
      <c r="I92" s="56"/>
      <c r="J92" s="57"/>
      <c r="K92" s="58"/>
    </row>
    <row r="93" spans="2:11" ht="15" customHeight="1" x14ac:dyDescent="0.25">
      <c r="B93" s="53"/>
      <c r="C93" s="59"/>
      <c r="D93" s="59"/>
      <c r="E93" s="56"/>
      <c r="F93" s="56"/>
      <c r="G93" s="56"/>
      <c r="H93" s="60"/>
      <c r="I93" s="56"/>
      <c r="J93" s="57"/>
      <c r="K93" s="58"/>
    </row>
    <row r="94" spans="2:11" ht="15" customHeight="1" x14ac:dyDescent="0.25">
      <c r="B94" s="53"/>
      <c r="C94" s="59"/>
      <c r="D94" s="59"/>
      <c r="E94" s="56"/>
      <c r="F94" s="56"/>
      <c r="G94" s="56"/>
      <c r="H94" s="60"/>
      <c r="I94" s="56"/>
      <c r="J94" s="57"/>
      <c r="K94" s="58"/>
    </row>
    <row r="95" spans="2:11" ht="15" customHeight="1" x14ac:dyDescent="0.25">
      <c r="B95" s="53"/>
      <c r="C95" s="59"/>
      <c r="D95" s="59"/>
      <c r="E95" s="56"/>
      <c r="F95" s="56"/>
      <c r="G95" s="56"/>
      <c r="H95" s="60"/>
      <c r="I95" s="56"/>
      <c r="J95" s="57"/>
      <c r="K95" s="58"/>
    </row>
    <row r="96" spans="2:11" ht="15" customHeight="1" x14ac:dyDescent="0.25">
      <c r="B96" s="53"/>
      <c r="C96" s="59"/>
      <c r="D96" s="59"/>
      <c r="E96" s="56"/>
      <c r="F96" s="56"/>
      <c r="G96" s="56"/>
      <c r="H96" s="60"/>
      <c r="I96" s="56"/>
      <c r="J96" s="57"/>
      <c r="K96" s="58"/>
    </row>
    <row r="97" spans="2:11" ht="15" customHeight="1" x14ac:dyDescent="0.25">
      <c r="B97" s="53"/>
      <c r="C97" s="59"/>
      <c r="D97" s="59"/>
      <c r="E97" s="56"/>
      <c r="F97" s="56"/>
      <c r="G97" s="56"/>
      <c r="H97" s="60"/>
      <c r="I97" s="56"/>
      <c r="J97" s="57"/>
      <c r="K97" s="58"/>
    </row>
    <row r="98" spans="2:11" ht="15" customHeight="1" x14ac:dyDescent="0.25">
      <c r="B98" s="53"/>
      <c r="C98" s="59"/>
      <c r="D98" s="59"/>
      <c r="E98" s="56"/>
      <c r="F98" s="56"/>
      <c r="G98" s="56"/>
      <c r="H98" s="60"/>
      <c r="I98" s="56"/>
      <c r="J98" s="57"/>
      <c r="K98" s="58"/>
    </row>
    <row r="99" spans="2:11" ht="15" customHeight="1" x14ac:dyDescent="0.25">
      <c r="B99" s="53"/>
      <c r="C99" s="59"/>
      <c r="D99" s="59"/>
      <c r="E99" s="56"/>
      <c r="F99" s="56"/>
      <c r="G99" s="56"/>
      <c r="H99" s="60"/>
      <c r="I99" s="56"/>
      <c r="J99" s="57"/>
      <c r="K99" s="58"/>
    </row>
    <row r="100" spans="2:11" ht="15" customHeight="1" x14ac:dyDescent="0.25">
      <c r="B100" s="53"/>
      <c r="C100" s="61"/>
      <c r="D100" s="61"/>
      <c r="E100" s="62"/>
      <c r="F100" s="62"/>
      <c r="G100" s="62"/>
      <c r="H100" s="63"/>
      <c r="I100" s="62"/>
      <c r="J100" s="57"/>
      <c r="K100" s="58"/>
    </row>
    <row r="101" spans="2:11" ht="15" customHeight="1" x14ac:dyDescent="0.25">
      <c r="B101" s="53"/>
      <c r="C101" s="59"/>
      <c r="D101" s="59"/>
      <c r="E101" s="56"/>
      <c r="F101" s="56"/>
      <c r="G101" s="56"/>
      <c r="H101" s="60"/>
      <c r="I101" s="56"/>
      <c r="J101" s="57"/>
      <c r="K101" s="58"/>
    </row>
    <row r="102" spans="2:11" ht="15" customHeight="1" x14ac:dyDescent="0.25">
      <c r="B102" s="53"/>
      <c r="C102" s="59"/>
      <c r="D102" s="59"/>
      <c r="E102" s="56"/>
      <c r="F102" s="56"/>
      <c r="G102" s="56"/>
      <c r="H102" s="60"/>
      <c r="I102" s="56"/>
      <c r="J102" s="57"/>
      <c r="K102" s="58"/>
    </row>
    <row r="103" spans="2:11" ht="15" customHeight="1" x14ac:dyDescent="0.25">
      <c r="B103" s="53"/>
      <c r="C103" s="59"/>
      <c r="D103" s="59"/>
      <c r="E103" s="56"/>
      <c r="F103" s="56"/>
      <c r="G103" s="56"/>
      <c r="H103" s="60"/>
      <c r="I103" s="56"/>
      <c r="J103" s="57"/>
      <c r="K103" s="58"/>
    </row>
    <row r="104" spans="2:11" ht="15" customHeight="1" x14ac:dyDescent="0.25">
      <c r="B104" s="53"/>
      <c r="C104" s="59"/>
      <c r="D104" s="59"/>
      <c r="E104" s="56"/>
      <c r="F104" s="56"/>
      <c r="G104" s="56"/>
      <c r="H104" s="60"/>
      <c r="I104" s="56"/>
      <c r="J104" s="57"/>
      <c r="K104" s="58"/>
    </row>
    <row r="105" spans="2:11" ht="15" customHeight="1" x14ac:dyDescent="0.25">
      <c r="B105" s="53"/>
      <c r="C105" s="59"/>
      <c r="D105" s="59"/>
      <c r="E105" s="56"/>
      <c r="F105" s="56"/>
      <c r="G105" s="56"/>
      <c r="H105" s="60"/>
      <c r="I105" s="56"/>
      <c r="J105" s="57"/>
      <c r="K105" s="58"/>
    </row>
    <row r="106" spans="2:11" ht="15" customHeight="1" x14ac:dyDescent="0.25">
      <c r="B106" s="53"/>
      <c r="C106" s="59"/>
      <c r="D106" s="59"/>
      <c r="E106" s="56"/>
      <c r="F106" s="56"/>
      <c r="G106" s="56"/>
      <c r="H106" s="60"/>
      <c r="I106" s="56"/>
      <c r="J106" s="57"/>
      <c r="K106" s="58"/>
    </row>
    <row r="107" spans="2:11" ht="15" customHeight="1" x14ac:dyDescent="0.25">
      <c r="B107" s="53"/>
      <c r="C107" s="59"/>
      <c r="D107" s="59"/>
      <c r="E107" s="56"/>
      <c r="F107" s="56"/>
      <c r="G107" s="56"/>
      <c r="H107" s="60"/>
      <c r="I107" s="56"/>
      <c r="J107" s="57"/>
      <c r="K107" s="58"/>
    </row>
    <row r="108" spans="2:11" ht="15" customHeight="1" x14ac:dyDescent="0.25">
      <c r="B108" s="53"/>
      <c r="C108" s="59"/>
      <c r="D108" s="59"/>
      <c r="E108" s="56"/>
      <c r="F108" s="56"/>
      <c r="G108" s="56"/>
      <c r="H108" s="60"/>
      <c r="I108" s="56"/>
      <c r="J108" s="57"/>
      <c r="K108" s="58"/>
    </row>
    <row r="109" spans="2:11" ht="15" customHeight="1" x14ac:dyDescent="0.25">
      <c r="B109" s="53"/>
      <c r="C109" s="59"/>
      <c r="D109" s="59"/>
      <c r="E109" s="56"/>
      <c r="F109" s="56"/>
      <c r="G109" s="56"/>
      <c r="H109" s="60"/>
      <c r="I109" s="56"/>
      <c r="J109" s="57"/>
      <c r="K109" s="58"/>
    </row>
    <row r="110" spans="2:11" ht="15" customHeight="1" x14ac:dyDescent="0.25">
      <c r="B110" s="53"/>
      <c r="C110" s="59"/>
      <c r="D110" s="59"/>
      <c r="E110" s="56"/>
      <c r="F110" s="56"/>
      <c r="G110" s="56"/>
      <c r="H110" s="60"/>
      <c r="I110" s="56"/>
      <c r="J110" s="57"/>
      <c r="K110" s="58"/>
    </row>
    <row r="111" spans="2:11" ht="15" customHeight="1" x14ac:dyDescent="0.25">
      <c r="B111" s="53"/>
      <c r="C111" s="59"/>
      <c r="D111" s="59"/>
      <c r="E111" s="56"/>
      <c r="F111" s="56"/>
      <c r="G111" s="56"/>
      <c r="H111" s="60"/>
      <c r="I111" s="56"/>
      <c r="J111" s="57"/>
      <c r="K111" s="58"/>
    </row>
    <row r="112" spans="2:11" ht="15" customHeight="1" x14ac:dyDescent="0.25">
      <c r="B112" s="53"/>
      <c r="C112" s="59"/>
      <c r="D112" s="59"/>
      <c r="E112" s="56"/>
      <c r="F112" s="56"/>
      <c r="G112" s="56"/>
      <c r="H112" s="60"/>
      <c r="I112" s="56"/>
      <c r="J112" s="57"/>
      <c r="K112" s="58"/>
    </row>
    <row r="113" spans="2:11" ht="15" customHeight="1" x14ac:dyDescent="0.25">
      <c r="B113" s="53"/>
      <c r="C113" s="59"/>
      <c r="D113" s="59"/>
      <c r="E113" s="56"/>
      <c r="F113" s="56"/>
      <c r="G113" s="56"/>
      <c r="H113" s="60"/>
      <c r="I113" s="56"/>
      <c r="J113" s="57"/>
      <c r="K113" s="58"/>
    </row>
    <row r="114" spans="2:11" ht="15" customHeight="1" x14ac:dyDescent="0.25">
      <c r="B114" s="53"/>
      <c r="C114" s="59"/>
      <c r="D114" s="59"/>
      <c r="E114" s="56"/>
      <c r="F114" s="56"/>
      <c r="G114" s="56"/>
      <c r="H114" s="60"/>
      <c r="I114" s="56"/>
      <c r="J114" s="57"/>
      <c r="K114" s="58"/>
    </row>
    <row r="115" spans="2:11" ht="15" customHeight="1" x14ac:dyDescent="0.25">
      <c r="B115" s="53"/>
      <c r="C115" s="59"/>
      <c r="D115" s="59"/>
      <c r="E115" s="56"/>
      <c r="F115" s="56"/>
      <c r="G115" s="56"/>
      <c r="H115" s="60"/>
      <c r="I115" s="56"/>
      <c r="J115" s="57"/>
      <c r="K115" s="58"/>
    </row>
    <row r="116" spans="2:11" ht="15" customHeight="1" x14ac:dyDescent="0.25">
      <c r="B116" s="53"/>
      <c r="C116" s="59"/>
      <c r="D116" s="59"/>
      <c r="E116" s="56"/>
      <c r="F116" s="56"/>
      <c r="G116" s="56"/>
      <c r="H116" s="60"/>
      <c r="I116" s="56"/>
      <c r="J116" s="57"/>
      <c r="K116" s="58"/>
    </row>
    <row r="117" spans="2:11" ht="15" customHeight="1" x14ac:dyDescent="0.25">
      <c r="B117" s="53"/>
      <c r="C117" s="59"/>
      <c r="D117" s="59"/>
      <c r="E117" s="56"/>
      <c r="F117" s="56"/>
      <c r="G117" s="56"/>
      <c r="H117" s="60"/>
      <c r="I117" s="56"/>
      <c r="J117" s="57"/>
      <c r="K117" s="58"/>
    </row>
    <row r="118" spans="2:11" ht="15" customHeight="1" x14ac:dyDescent="0.25">
      <c r="B118" s="53"/>
      <c r="C118" s="59"/>
      <c r="D118" s="59"/>
      <c r="E118" s="56"/>
      <c r="F118" s="56"/>
      <c r="G118" s="56"/>
      <c r="H118" s="60"/>
      <c r="I118" s="56"/>
      <c r="J118" s="57"/>
      <c r="K118" s="58"/>
    </row>
    <row r="119" spans="2:11" ht="15" customHeight="1" x14ac:dyDescent="0.25">
      <c r="B119" s="53"/>
      <c r="C119" s="59"/>
      <c r="D119" s="59"/>
      <c r="E119" s="56"/>
      <c r="F119" s="56"/>
      <c r="G119" s="56"/>
      <c r="H119" s="60"/>
      <c r="I119" s="56"/>
      <c r="J119" s="57"/>
      <c r="K119" s="58"/>
    </row>
    <row r="120" spans="2:11" ht="15" customHeight="1" x14ac:dyDescent="0.25">
      <c r="B120" s="53"/>
      <c r="C120" s="59"/>
      <c r="D120" s="59"/>
      <c r="E120" s="56"/>
      <c r="F120" s="56"/>
      <c r="G120" s="56"/>
      <c r="H120" s="60"/>
      <c r="I120" s="56"/>
      <c r="J120" s="57"/>
      <c r="K120" s="58"/>
    </row>
    <row r="121" spans="2:11" ht="15" customHeight="1" x14ac:dyDescent="0.25">
      <c r="B121" s="53"/>
      <c r="C121" s="59"/>
      <c r="D121" s="59"/>
      <c r="E121" s="56"/>
      <c r="F121" s="56"/>
      <c r="G121" s="56"/>
      <c r="H121" s="60"/>
      <c r="I121" s="56"/>
      <c r="J121" s="57"/>
      <c r="K121" s="58"/>
    </row>
    <row r="122" spans="2:11" ht="15" customHeight="1" x14ac:dyDescent="0.25">
      <c r="B122" s="53"/>
      <c r="C122" s="59"/>
      <c r="D122" s="59"/>
      <c r="E122" s="56"/>
      <c r="F122" s="56"/>
      <c r="G122" s="56"/>
      <c r="H122" s="60"/>
      <c r="I122" s="56"/>
      <c r="J122" s="57"/>
      <c r="K122" s="58"/>
    </row>
    <row r="123" spans="2:11" ht="15" customHeight="1" x14ac:dyDescent="0.25">
      <c r="B123" s="53"/>
      <c r="C123" s="59"/>
      <c r="D123" s="59"/>
      <c r="E123" s="56"/>
      <c r="F123" s="56"/>
      <c r="G123" s="56"/>
      <c r="H123" s="60"/>
      <c r="I123" s="56"/>
      <c r="J123" s="57"/>
      <c r="K123" s="58"/>
    </row>
    <row r="124" spans="2:11" ht="15" customHeight="1" x14ac:dyDescent="0.25">
      <c r="B124" s="53"/>
      <c r="C124" s="59"/>
      <c r="D124" s="59"/>
      <c r="E124" s="56"/>
      <c r="F124" s="56"/>
      <c r="G124" s="56"/>
      <c r="H124" s="60"/>
      <c r="I124" s="56"/>
      <c r="J124" s="57"/>
      <c r="K124" s="58"/>
    </row>
    <row r="125" spans="2:11" ht="15" customHeight="1" x14ac:dyDescent="0.25">
      <c r="B125" s="53"/>
      <c r="C125" s="59"/>
      <c r="D125" s="59"/>
      <c r="E125" s="56"/>
      <c r="F125" s="56"/>
      <c r="G125" s="56"/>
      <c r="H125" s="60"/>
      <c r="I125" s="56"/>
      <c r="J125" s="57"/>
      <c r="K125" s="58"/>
    </row>
    <row r="126" spans="2:11" ht="15" customHeight="1" x14ac:dyDescent="0.25">
      <c r="B126" s="53"/>
      <c r="C126" s="59"/>
      <c r="D126" s="59"/>
      <c r="E126" s="56"/>
      <c r="F126" s="56"/>
      <c r="G126" s="56"/>
      <c r="H126" s="60"/>
      <c r="I126" s="56"/>
      <c r="J126" s="57"/>
      <c r="K126" s="58"/>
    </row>
    <row r="127" spans="2:11" ht="15" customHeight="1" x14ac:dyDescent="0.25">
      <c r="B127" s="53"/>
      <c r="C127" s="59"/>
      <c r="D127" s="59"/>
      <c r="E127" s="56"/>
      <c r="F127" s="56"/>
      <c r="G127" s="56"/>
      <c r="H127" s="60"/>
      <c r="I127" s="56"/>
      <c r="J127" s="57"/>
      <c r="K127" s="58"/>
    </row>
    <row r="128" spans="2:11" ht="15" customHeight="1" x14ac:dyDescent="0.25">
      <c r="B128" s="53"/>
      <c r="C128" s="59"/>
      <c r="D128" s="59"/>
      <c r="E128" s="56"/>
      <c r="F128" s="56"/>
      <c r="G128" s="56"/>
      <c r="H128" s="60"/>
      <c r="I128" s="56"/>
      <c r="J128" s="57"/>
      <c r="K128" s="58"/>
    </row>
    <row r="129" spans="2:11" ht="15" customHeight="1" x14ac:dyDescent="0.25">
      <c r="B129" s="53"/>
      <c r="C129" s="59"/>
      <c r="D129" s="59"/>
      <c r="E129" s="56"/>
      <c r="F129" s="56"/>
      <c r="G129" s="56"/>
      <c r="H129" s="60"/>
      <c r="I129" s="56"/>
      <c r="J129" s="57"/>
      <c r="K129" s="58"/>
    </row>
    <row r="130" spans="2:11" ht="15" customHeight="1" x14ac:dyDescent="0.25">
      <c r="B130" s="53"/>
      <c r="C130" s="59"/>
      <c r="D130" s="59"/>
      <c r="E130" s="56"/>
      <c r="F130" s="56"/>
      <c r="G130" s="56"/>
      <c r="H130" s="60"/>
      <c r="I130" s="56"/>
      <c r="J130" s="57"/>
      <c r="K130" s="58"/>
    </row>
    <row r="131" spans="2:11" ht="15" customHeight="1" x14ac:dyDescent="0.25">
      <c r="B131" s="53"/>
      <c r="C131" s="59"/>
      <c r="D131" s="59"/>
      <c r="E131" s="56"/>
      <c r="F131" s="56"/>
      <c r="G131" s="56"/>
      <c r="H131" s="60"/>
      <c r="I131" s="56"/>
      <c r="J131" s="57"/>
      <c r="K131" s="58"/>
    </row>
    <row r="132" spans="2:11" ht="15" customHeight="1" x14ac:dyDescent="0.25">
      <c r="B132" s="53"/>
      <c r="C132" s="59"/>
      <c r="D132" s="59"/>
      <c r="E132" s="56"/>
      <c r="F132" s="56"/>
      <c r="G132" s="56"/>
      <c r="H132" s="60"/>
      <c r="I132" s="56"/>
      <c r="J132" s="57"/>
      <c r="K132" s="58"/>
    </row>
    <row r="133" spans="2:11" ht="15" customHeight="1" x14ac:dyDescent="0.25">
      <c r="B133" s="53"/>
      <c r="C133" s="59"/>
      <c r="D133" s="59"/>
      <c r="E133" s="56"/>
      <c r="F133" s="56"/>
      <c r="G133" s="56"/>
      <c r="H133" s="60"/>
      <c r="I133" s="56"/>
      <c r="J133" s="57"/>
      <c r="K133" s="58"/>
    </row>
    <row r="134" spans="2:11" ht="15" customHeight="1" x14ac:dyDescent="0.25">
      <c r="B134" s="53"/>
      <c r="C134" s="59"/>
      <c r="D134" s="59"/>
      <c r="E134" s="56"/>
      <c r="F134" s="56"/>
      <c r="G134" s="56"/>
      <c r="H134" s="60"/>
      <c r="I134" s="56"/>
      <c r="J134" s="57"/>
      <c r="K134" s="58"/>
    </row>
    <row r="135" spans="2:11" ht="15" customHeight="1" x14ac:dyDescent="0.25">
      <c r="B135" s="53"/>
      <c r="C135" s="59"/>
      <c r="D135" s="59"/>
      <c r="E135" s="56"/>
      <c r="F135" s="56"/>
      <c r="G135" s="56"/>
      <c r="H135" s="60"/>
      <c r="I135" s="56"/>
      <c r="J135" s="57"/>
      <c r="K135" s="58"/>
    </row>
    <row r="136" spans="2:11" ht="15" customHeight="1" x14ac:dyDescent="0.25">
      <c r="B136" s="53"/>
      <c r="C136" s="59"/>
      <c r="D136" s="59"/>
      <c r="E136" s="56"/>
      <c r="F136" s="56"/>
      <c r="G136" s="56"/>
      <c r="H136" s="60"/>
      <c r="I136" s="56"/>
      <c r="J136" s="57"/>
      <c r="K136" s="58"/>
    </row>
    <row r="137" spans="2:11" ht="15" customHeight="1" x14ac:dyDescent="0.25">
      <c r="B137" s="53"/>
      <c r="C137" s="59"/>
      <c r="D137" s="59"/>
      <c r="E137" s="56"/>
      <c r="F137" s="56"/>
      <c r="G137" s="56"/>
      <c r="H137" s="60"/>
      <c r="I137" s="56"/>
      <c r="J137" s="57"/>
      <c r="K137" s="58"/>
    </row>
    <row r="138" spans="2:11" ht="15" customHeight="1" x14ac:dyDescent="0.25">
      <c r="B138" s="53"/>
      <c r="C138" s="59"/>
      <c r="D138" s="59"/>
      <c r="E138" s="56"/>
      <c r="F138" s="56"/>
      <c r="G138" s="56"/>
      <c r="H138" s="60"/>
      <c r="I138" s="56"/>
      <c r="J138" s="57"/>
      <c r="K138" s="58"/>
    </row>
    <row r="139" spans="2:11" ht="15" customHeight="1" x14ac:dyDescent="0.25">
      <c r="B139" s="53"/>
      <c r="C139" s="59"/>
      <c r="D139" s="59"/>
      <c r="E139" s="56"/>
      <c r="F139" s="56"/>
      <c r="G139" s="56"/>
      <c r="H139" s="60"/>
      <c r="I139" s="56"/>
      <c r="J139" s="57"/>
      <c r="K139" s="58"/>
    </row>
    <row r="140" spans="2:11" ht="15" customHeight="1" x14ac:dyDescent="0.25">
      <c r="B140" s="53"/>
      <c r="C140" s="59"/>
      <c r="D140" s="59"/>
      <c r="E140" s="56"/>
      <c r="F140" s="56"/>
      <c r="G140" s="56"/>
      <c r="H140" s="60"/>
      <c r="I140" s="56"/>
      <c r="J140" s="57"/>
      <c r="K140" s="58"/>
    </row>
    <row r="141" spans="2:11" ht="15" customHeight="1" x14ac:dyDescent="0.25">
      <c r="B141" s="53"/>
      <c r="C141" s="59"/>
      <c r="D141" s="59"/>
      <c r="E141" s="56"/>
      <c r="F141" s="56"/>
      <c r="G141" s="56"/>
      <c r="H141" s="60"/>
      <c r="I141" s="56"/>
      <c r="J141" s="57"/>
      <c r="K141" s="58"/>
    </row>
    <row r="142" spans="2:11" ht="15" customHeight="1" x14ac:dyDescent="0.25">
      <c r="B142" s="53"/>
      <c r="C142" s="59"/>
      <c r="D142" s="59"/>
      <c r="E142" s="56"/>
      <c r="F142" s="56"/>
      <c r="G142" s="56"/>
      <c r="H142" s="60"/>
      <c r="I142" s="56"/>
      <c r="J142" s="57"/>
      <c r="K142" s="58"/>
    </row>
    <row r="143" spans="2:11" ht="15" customHeight="1" x14ac:dyDescent="0.25">
      <c r="B143" s="53"/>
      <c r="C143" s="59"/>
      <c r="D143" s="59"/>
      <c r="E143" s="56"/>
      <c r="F143" s="56"/>
      <c r="G143" s="56"/>
      <c r="H143" s="60"/>
      <c r="I143" s="56"/>
      <c r="J143" s="57"/>
      <c r="K143" s="58"/>
    </row>
    <row r="144" spans="2:11" ht="15" customHeight="1" x14ac:dyDescent="0.25">
      <c r="B144" s="53"/>
      <c r="C144" s="59"/>
      <c r="D144" s="59"/>
      <c r="E144" s="56"/>
      <c r="F144" s="56"/>
      <c r="G144" s="56"/>
      <c r="H144" s="60"/>
      <c r="I144" s="56"/>
      <c r="J144" s="57"/>
      <c r="K144" s="58"/>
    </row>
    <row r="145" spans="2:11" ht="15" customHeight="1" x14ac:dyDescent="0.25">
      <c r="B145" s="53"/>
      <c r="C145" s="59"/>
      <c r="D145" s="59"/>
      <c r="E145" s="56"/>
      <c r="F145" s="56"/>
      <c r="G145" s="56"/>
      <c r="H145" s="60"/>
      <c r="I145" s="56"/>
      <c r="J145" s="57"/>
      <c r="K145" s="58"/>
    </row>
    <row r="146" spans="2:11" ht="15" customHeight="1" x14ac:dyDescent="0.25">
      <c r="B146" s="53"/>
      <c r="C146" s="59"/>
      <c r="D146" s="59"/>
      <c r="E146" s="56"/>
      <c r="F146" s="56"/>
      <c r="G146" s="56"/>
      <c r="H146" s="60"/>
      <c r="I146" s="56"/>
      <c r="J146" s="57"/>
      <c r="K146" s="58"/>
    </row>
    <row r="147" spans="2:11" ht="15" customHeight="1" x14ac:dyDescent="0.25">
      <c r="B147" s="64"/>
      <c r="C147" s="65"/>
      <c r="D147" s="65"/>
      <c r="E147" s="65"/>
      <c r="F147" s="65"/>
      <c r="G147" s="65"/>
      <c r="H147" s="65"/>
      <c r="I147" s="65"/>
      <c r="J147" s="65"/>
      <c r="K147" s="66"/>
    </row>
    <row r="148" spans="2:11" ht="7.35" customHeight="1" x14ac:dyDescent="0.25"/>
    <row r="149" spans="2:11" ht="23.1" customHeight="1" x14ac:dyDescent="0.25">
      <c r="B149" s="67"/>
      <c r="C149" s="67"/>
      <c r="D149" s="67"/>
      <c r="E149" s="67"/>
      <c r="F149" s="67"/>
      <c r="G149" s="67"/>
      <c r="H149" s="67"/>
      <c r="I149" s="67"/>
      <c r="J149" s="67"/>
      <c r="K149" s="67"/>
    </row>
  </sheetData>
  <sheetProtection algorithmName="SHA-512" hashValue="HVzTCFdcmF5EshQYdrYpP98RKOfLF7EG9Ox6OKHfpd8HM+0TMNUhBhsvXcmfGZDfp9b8f1pgvKv0X/Naw7Bfxg==" saltValue="DrkcpzB+IJEfzgcXwmPb4g==" spinCount="100000" sheet="1" objects="1" scenarios="1" autoFilter="0"/>
  <conditionalFormatting sqref="H47:H61">
    <cfRule type="expression" dxfId="137" priority="2">
      <formula>H47&gt;1</formula>
    </cfRule>
  </conditionalFormatting>
  <conditionalFormatting sqref="C47:H61">
    <cfRule type="expression" dxfId="136" priority="1">
      <formula>LEN($C47)&gt;0</formula>
    </cfRule>
  </conditionalFormatting>
  <dataValidations count="1">
    <dataValidation type="list" allowBlank="1" showInputMessage="1" showErrorMessage="1" sqref="N13" xr:uid="{363DCF99-6542-40EA-899D-F83143A02183}">
      <formula1>"2020,2021,2022,2023,2024,2025,2026,2027,2028,2029,2030"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81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1606D75-FF97-4542-AAEB-1B0A550564F0}">
          <x14:formula1>
            <xm:f>OFFSET(Calc!$BA$9,0,0,Calc!$AZ$7,1)</xm:f>
          </x14:formula1>
          <xm:sqref>D7</xm:sqref>
        </x14:dataValidation>
        <x14:dataValidation type="list" allowBlank="1" showInputMessage="1" showErrorMessage="1" xr:uid="{36E3E3E4-5CD3-4146-8268-EDC7629C8B56}">
          <x14:formula1>
            <xm:f>Calc!$AT$10:$AT$22</xm:f>
          </x14:formula1>
          <xm:sqref>D9</xm:sqref>
        </x14:dataValidation>
        <x14:dataValidation type="list" allowBlank="1" showInputMessage="1" showErrorMessage="1" xr:uid="{6C89400D-D875-4DF8-B7A2-C7DA77A30D0E}">
          <x14:formula1>
            <xm:f>Calc!$AN$11:$AN$22</xm:f>
          </x14:formula1>
          <xm:sqref>N14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D3BD4-A278-4124-A6F0-4E957228E5D0}">
  <sheetPr>
    <pageSetUpPr autoPageBreaks="0" fitToPage="1"/>
  </sheetPr>
  <dimension ref="B1:Q105"/>
  <sheetViews>
    <sheetView showGridLines="0" showRowColHeaders="0" zoomScaleNormal="100" zoomScaleSheetLayoutView="85" workbookViewId="0">
      <pane ySplit="5" topLeftCell="A6" activePane="bottomLeft" state="frozen"/>
      <selection pane="bottomLeft" activeCell="A6" sqref="A6"/>
    </sheetView>
  </sheetViews>
  <sheetFormatPr defaultColWidth="9.140625" defaultRowHeight="15" x14ac:dyDescent="0.25"/>
  <cols>
    <col min="1" max="1" width="3.7109375" style="29" customWidth="1"/>
    <col min="2" max="3" width="25.7109375" style="29" customWidth="1"/>
    <col min="4" max="15" width="10.7109375" style="38" customWidth="1"/>
    <col min="16" max="16" width="3.7109375" style="29" customWidth="1"/>
    <col min="17" max="20" width="9.140625" style="29" customWidth="1"/>
    <col min="21" max="16384" width="9.140625" style="29"/>
  </cols>
  <sheetData>
    <row r="1" spans="2:17" ht="6.75" customHeight="1" x14ac:dyDescent="0.25"/>
    <row r="2" spans="2:17" s="71" customFormat="1" ht="19.899999999999999" customHeight="1" x14ac:dyDescent="0.25">
      <c r="B2" s="172" t="s">
        <v>0</v>
      </c>
      <c r="C2" s="68"/>
      <c r="D2" s="69"/>
      <c r="E2" s="69"/>
      <c r="F2" s="69"/>
      <c r="G2" s="69"/>
      <c r="H2" s="69"/>
      <c r="I2" s="69"/>
      <c r="J2" s="69"/>
      <c r="K2" s="70"/>
      <c r="L2" s="70"/>
      <c r="M2" s="69"/>
      <c r="N2" s="69"/>
      <c r="O2" s="69"/>
    </row>
    <row r="3" spans="2:17" s="75" customFormat="1" ht="24" customHeight="1" x14ac:dyDescent="0.25">
      <c r="B3" s="173" t="s">
        <v>6</v>
      </c>
      <c r="C3" s="72"/>
      <c r="D3" s="73"/>
      <c r="E3" s="73"/>
      <c r="F3" s="73"/>
      <c r="G3" s="73"/>
      <c r="H3" s="73"/>
      <c r="I3" s="73"/>
      <c r="J3" s="73"/>
      <c r="K3" s="74"/>
      <c r="L3" s="74"/>
      <c r="M3" s="73"/>
      <c r="N3" s="73"/>
      <c r="O3" s="73"/>
    </row>
    <row r="4" spans="2:17" ht="5.0999999999999996" customHeight="1" x14ac:dyDescent="0.25"/>
    <row r="5" spans="2:17" ht="24.95" customHeight="1" x14ac:dyDescent="0.25">
      <c r="B5" s="76" t="s">
        <v>2</v>
      </c>
      <c r="C5" s="76" t="s">
        <v>16</v>
      </c>
      <c r="D5" s="77" t="str">
        <f>IFERROR(Calc!F9,"")</f>
        <v>Jan 2022</v>
      </c>
      <c r="E5" s="77" t="str">
        <f>IFERROR(Calc!G9,"")</f>
        <v>Feb 2022</v>
      </c>
      <c r="F5" s="77" t="str">
        <f>IFERROR(Calc!H9,"")</f>
        <v>Mar 2022</v>
      </c>
      <c r="G5" s="77" t="str">
        <f>IFERROR(Calc!I9,"")</f>
        <v>Apr 2022</v>
      </c>
      <c r="H5" s="77" t="str">
        <f>IFERROR(Calc!J9,"")</f>
        <v>May 2022</v>
      </c>
      <c r="I5" s="77" t="str">
        <f>IFERROR(Calc!K9,"")</f>
        <v>Jun 2022</v>
      </c>
      <c r="J5" s="77" t="str">
        <f>IFERROR(Calc!L9,"")</f>
        <v>Jul 2022</v>
      </c>
      <c r="K5" s="77" t="str">
        <f>IFERROR(Calc!M9,"")</f>
        <v>Aug 2022</v>
      </c>
      <c r="L5" s="77" t="str">
        <f>IFERROR(Calc!N9,"")</f>
        <v>Sep 2022</v>
      </c>
      <c r="M5" s="77" t="str">
        <f>IFERROR(Calc!O9,"")</f>
        <v>Oct 2022</v>
      </c>
      <c r="N5" s="77" t="str">
        <f>IFERROR(Calc!P9,"")</f>
        <v>Nov 2022</v>
      </c>
      <c r="O5" s="77" t="str">
        <f>IFERROR(Calc!Q9,"")</f>
        <v>Dec 2022</v>
      </c>
    </row>
    <row r="6" spans="2:17" ht="20.100000000000001" customHeight="1" x14ac:dyDescent="0.25">
      <c r="B6" s="78" t="s">
        <v>21</v>
      </c>
      <c r="C6" s="79" t="s">
        <v>22</v>
      </c>
      <c r="D6" s="80">
        <v>385</v>
      </c>
      <c r="E6" s="80">
        <v>437</v>
      </c>
      <c r="F6" s="80">
        <v>437</v>
      </c>
      <c r="G6" s="80">
        <v>437</v>
      </c>
      <c r="H6" s="80">
        <v>437</v>
      </c>
      <c r="I6" s="80">
        <v>499.4</v>
      </c>
      <c r="J6" s="80">
        <v>461.96</v>
      </c>
      <c r="K6" s="80">
        <v>428.26400000000001</v>
      </c>
      <c r="L6" s="80">
        <v>428.26400000000001</v>
      </c>
      <c r="M6" s="80">
        <v>428.26400000000001</v>
      </c>
      <c r="N6" s="80">
        <v>458.59039999999999</v>
      </c>
      <c r="O6" s="81">
        <v>458.59039999999999</v>
      </c>
      <c r="P6" s="32"/>
      <c r="Q6" s="32"/>
    </row>
    <row r="7" spans="2:17" ht="20.100000000000001" customHeight="1" x14ac:dyDescent="0.25">
      <c r="B7" s="82" t="s">
        <v>21</v>
      </c>
      <c r="C7" s="83" t="s">
        <v>23</v>
      </c>
      <c r="D7" s="84">
        <v>145</v>
      </c>
      <c r="E7" s="84">
        <v>146.1</v>
      </c>
      <c r="F7" s="84">
        <v>148.52000000000001</v>
      </c>
      <c r="G7" s="84">
        <v>148.52000000000001</v>
      </c>
      <c r="H7" s="84">
        <v>148.52000000000001</v>
      </c>
      <c r="I7" s="84">
        <v>148.52000000000001</v>
      </c>
      <c r="J7" s="84">
        <v>148.52000000000001</v>
      </c>
      <c r="K7" s="84">
        <v>145.61599999999999</v>
      </c>
      <c r="L7" s="84">
        <v>147.9392</v>
      </c>
      <c r="M7" s="84">
        <v>150.72703999999999</v>
      </c>
      <c r="N7" s="84">
        <v>154.07244800000001</v>
      </c>
      <c r="O7" s="85">
        <v>154.07244800000001</v>
      </c>
      <c r="P7" s="32"/>
    </row>
    <row r="8" spans="2:17" ht="20.100000000000001" customHeight="1" x14ac:dyDescent="0.25">
      <c r="B8" s="82" t="s">
        <v>21</v>
      </c>
      <c r="C8" s="83" t="s">
        <v>24</v>
      </c>
      <c r="D8" s="84">
        <v>457</v>
      </c>
      <c r="E8" s="84">
        <v>457</v>
      </c>
      <c r="F8" s="84">
        <v>433</v>
      </c>
      <c r="G8" s="84">
        <v>411.4</v>
      </c>
      <c r="H8" s="84">
        <v>372.52</v>
      </c>
      <c r="I8" s="84">
        <v>356.96800000000002</v>
      </c>
      <c r="J8" s="84">
        <v>370.96480000000003</v>
      </c>
      <c r="K8" s="84">
        <v>370.96480000000003</v>
      </c>
      <c r="L8" s="84">
        <v>340.17184000000003</v>
      </c>
      <c r="M8" s="84">
        <v>352.48902400000003</v>
      </c>
      <c r="N8" s="84">
        <v>379.58682880000003</v>
      </c>
      <c r="O8" s="85">
        <v>395.84551168000002</v>
      </c>
      <c r="P8" s="32"/>
    </row>
    <row r="9" spans="2:17" ht="20.100000000000001" customHeight="1" x14ac:dyDescent="0.25">
      <c r="B9" s="82" t="s">
        <v>21</v>
      </c>
      <c r="C9" s="83" t="s">
        <v>25</v>
      </c>
      <c r="D9" s="84">
        <v>211.61</v>
      </c>
      <c r="E9" s="84">
        <v>85.358000000000004</v>
      </c>
      <c r="F9" s="84">
        <v>109.48559999999999</v>
      </c>
      <c r="G9" s="84">
        <v>111.76703999999998</v>
      </c>
      <c r="H9" s="84">
        <v>86.478335999999985</v>
      </c>
      <c r="I9" s="84">
        <v>73.156607999999991</v>
      </c>
      <c r="J9" s="84">
        <v>67.665346559999989</v>
      </c>
      <c r="K9" s="84">
        <v>63.424069631999998</v>
      </c>
      <c r="L9" s="84">
        <v>54.399253708799996</v>
      </c>
      <c r="M9" s="84">
        <v>58.147473162239997</v>
      </c>
      <c r="N9" s="84">
        <v>51.176071102464</v>
      </c>
      <c r="O9" s="85">
        <v>43.395797562163196</v>
      </c>
      <c r="P9" s="32"/>
    </row>
    <row r="10" spans="2:17" ht="20.100000000000001" customHeight="1" x14ac:dyDescent="0.25">
      <c r="B10" s="82" t="s">
        <v>26</v>
      </c>
      <c r="C10" s="83" t="s">
        <v>27</v>
      </c>
      <c r="D10" s="84">
        <v>779</v>
      </c>
      <c r="E10" s="84">
        <v>896.7</v>
      </c>
      <c r="F10" s="84">
        <v>986.36999999999989</v>
      </c>
      <c r="G10" s="84">
        <v>1033.3399999999999</v>
      </c>
      <c r="H10" s="84">
        <v>981.673</v>
      </c>
      <c r="I10" s="84">
        <v>930.00599999999997</v>
      </c>
      <c r="J10" s="84">
        <v>1023.0065999999999</v>
      </c>
      <c r="K10" s="84">
        <v>1116.0072</v>
      </c>
      <c r="L10" s="84">
        <v>1004.40648</v>
      </c>
      <c r="M10" s="84">
        <v>892.80575999999996</v>
      </c>
      <c r="N10" s="84">
        <v>982.08633599999996</v>
      </c>
      <c r="O10" s="85">
        <v>1178.5036031999998</v>
      </c>
      <c r="P10" s="32"/>
    </row>
    <row r="11" spans="2:17" ht="20.100000000000001" customHeight="1" x14ac:dyDescent="0.25">
      <c r="B11" s="82" t="s">
        <v>26</v>
      </c>
      <c r="C11" s="83" t="s">
        <v>28</v>
      </c>
      <c r="D11" s="84">
        <v>238</v>
      </c>
      <c r="E11" s="84">
        <v>171</v>
      </c>
      <c r="F11" s="84">
        <v>162</v>
      </c>
      <c r="G11" s="84">
        <v>162</v>
      </c>
      <c r="H11" s="84">
        <v>145.80000000000001</v>
      </c>
      <c r="I11" s="84">
        <v>129.6</v>
      </c>
      <c r="J11" s="84">
        <v>142.56</v>
      </c>
      <c r="K11" s="84">
        <v>163.29599999999999</v>
      </c>
      <c r="L11" s="84">
        <v>162.51839999999999</v>
      </c>
      <c r="M11" s="84">
        <v>169.36127999999997</v>
      </c>
      <c r="N11" s="84">
        <v>184.75775999999996</v>
      </c>
      <c r="O11" s="85">
        <v>175.51987199999996</v>
      </c>
      <c r="P11" s="32"/>
    </row>
    <row r="12" spans="2:17" ht="20.100000000000001" customHeight="1" x14ac:dyDescent="0.25">
      <c r="B12" s="82" t="s">
        <v>26</v>
      </c>
      <c r="C12" s="83" t="s">
        <v>29</v>
      </c>
      <c r="D12" s="84">
        <v>426.08000000000004</v>
      </c>
      <c r="E12" s="84">
        <v>325.68</v>
      </c>
      <c r="F12" s="84">
        <v>276.88319999999999</v>
      </c>
      <c r="G12" s="84">
        <v>223.36127999999997</v>
      </c>
      <c r="H12" s="84">
        <v>215.80991999999998</v>
      </c>
      <c r="I12" s="84">
        <v>189.57887999999997</v>
      </c>
      <c r="J12" s="84">
        <v>159.67549439999999</v>
      </c>
      <c r="K12" s="84">
        <v>139.07220480000001</v>
      </c>
      <c r="L12" s="84">
        <v>129.37148927999999</v>
      </c>
      <c r="M12" s="84">
        <v>124.62414796799997</v>
      </c>
      <c r="N12" s="84">
        <v>119.60209612799999</v>
      </c>
      <c r="O12" s="85">
        <v>118.55905459199998</v>
      </c>
      <c r="P12" s="32"/>
    </row>
    <row r="13" spans="2:17" ht="20.100000000000001" customHeight="1" x14ac:dyDescent="0.25">
      <c r="B13" s="82" t="s">
        <v>30</v>
      </c>
      <c r="C13" s="83" t="s">
        <v>31</v>
      </c>
      <c r="D13" s="84">
        <v>600</v>
      </c>
      <c r="E13" s="84">
        <v>479.6</v>
      </c>
      <c r="F13" s="84">
        <v>549.36000000000013</v>
      </c>
      <c r="G13" s="84">
        <v>575.5200000000001</v>
      </c>
      <c r="H13" s="84">
        <v>575.5200000000001</v>
      </c>
      <c r="I13" s="84">
        <v>633.07200000000012</v>
      </c>
      <c r="J13" s="84">
        <v>725.15520000000015</v>
      </c>
      <c r="K13" s="84">
        <v>759.68640000000016</v>
      </c>
      <c r="L13" s="84">
        <v>835.65504000000021</v>
      </c>
      <c r="M13" s="84">
        <v>957.20486400000027</v>
      </c>
      <c r="N13" s="84">
        <v>1052.9253504000003</v>
      </c>
      <c r="O13" s="85">
        <v>1158.2178854400004</v>
      </c>
      <c r="P13" s="32"/>
    </row>
    <row r="14" spans="2:17" ht="20.100000000000001" customHeight="1" x14ac:dyDescent="0.25">
      <c r="B14" s="82" t="s">
        <v>30</v>
      </c>
      <c r="C14" s="83" t="s">
        <v>32</v>
      </c>
      <c r="D14" s="84">
        <v>573</v>
      </c>
      <c r="E14" s="84">
        <v>863.1</v>
      </c>
      <c r="F14" s="84">
        <v>949.41000000000008</v>
      </c>
      <c r="G14" s="84">
        <v>994.62000000000012</v>
      </c>
      <c r="H14" s="84">
        <v>895.15800000000013</v>
      </c>
      <c r="I14" s="84">
        <v>755.91120000000012</v>
      </c>
      <c r="J14" s="84">
        <v>751.93272000000013</v>
      </c>
      <c r="K14" s="84">
        <v>787.73904000000016</v>
      </c>
      <c r="L14" s="84">
        <v>866.51294400000006</v>
      </c>
      <c r="M14" s="84">
        <v>945.28684800000008</v>
      </c>
      <c r="N14" s="84">
        <v>850.75816320000013</v>
      </c>
      <c r="O14" s="85">
        <v>718.41800448000004</v>
      </c>
      <c r="P14" s="32"/>
    </row>
    <row r="15" spans="2:17" ht="20.100000000000001" customHeight="1" x14ac:dyDescent="0.25">
      <c r="B15" s="82" t="s">
        <v>30</v>
      </c>
      <c r="C15" s="83" t="s">
        <v>33</v>
      </c>
      <c r="D15" s="84">
        <v>339</v>
      </c>
      <c r="E15" s="84">
        <v>37.799999999999997</v>
      </c>
      <c r="F15" s="84">
        <v>41.58</v>
      </c>
      <c r="G15" s="84">
        <v>47.916000000000004</v>
      </c>
      <c r="H15" s="84">
        <v>49.6584</v>
      </c>
      <c r="I15" s="84">
        <v>51.749279999999999</v>
      </c>
      <c r="J15" s="84">
        <v>50.808384000000004</v>
      </c>
      <c r="K15" s="84">
        <v>42.9048576</v>
      </c>
      <c r="L15" s="84">
        <v>42.679042559999999</v>
      </c>
      <c r="M15" s="84">
        <v>40.240240128000003</v>
      </c>
      <c r="N15" s="84">
        <v>35.769102336000003</v>
      </c>
      <c r="O15" s="85">
        <v>37.557557452800005</v>
      </c>
      <c r="P15" s="32"/>
    </row>
    <row r="16" spans="2:17" ht="20.100000000000001" customHeight="1" x14ac:dyDescent="0.25">
      <c r="B16" s="82" t="s">
        <v>34</v>
      </c>
      <c r="C16" s="83" t="s">
        <v>35</v>
      </c>
      <c r="D16" s="84">
        <v>724</v>
      </c>
      <c r="E16" s="84">
        <v>660.6</v>
      </c>
      <c r="F16" s="84">
        <v>645.92000000000007</v>
      </c>
      <c r="G16" s="84">
        <v>775.10400000000004</v>
      </c>
      <c r="H16" s="84">
        <v>761.01119999999992</v>
      </c>
      <c r="I16" s="84">
        <v>744.09983999999986</v>
      </c>
      <c r="J16" s="84">
        <v>730.57075199999986</v>
      </c>
      <c r="K16" s="84">
        <v>714.33584639999981</v>
      </c>
      <c r="L16" s="84">
        <v>701.34792191999986</v>
      </c>
      <c r="M16" s="84">
        <v>685.76241254399986</v>
      </c>
      <c r="N16" s="84">
        <v>710.69922754559991</v>
      </c>
      <c r="O16" s="85">
        <v>740.62340554751995</v>
      </c>
      <c r="P16" s="32"/>
      <c r="Q16" s="32"/>
    </row>
    <row r="17" spans="2:17" ht="20.100000000000001" customHeight="1" x14ac:dyDescent="0.25">
      <c r="B17" s="82" t="s">
        <v>34</v>
      </c>
      <c r="C17" s="83" t="s">
        <v>36</v>
      </c>
      <c r="D17" s="84">
        <v>564</v>
      </c>
      <c r="E17" s="84">
        <v>769.5</v>
      </c>
      <c r="F17" s="84">
        <v>656.1</v>
      </c>
      <c r="G17" s="84">
        <v>641.52</v>
      </c>
      <c r="H17" s="84">
        <v>664.84799999999996</v>
      </c>
      <c r="I17" s="84">
        <v>598.36320000000001</v>
      </c>
      <c r="J17" s="84">
        <v>595.21392000000003</v>
      </c>
      <c r="K17" s="84">
        <v>685.913184</v>
      </c>
      <c r="L17" s="84">
        <v>710.85548160000008</v>
      </c>
      <c r="M17" s="84">
        <v>606.09783168000013</v>
      </c>
      <c r="N17" s="84">
        <v>511.81594675200006</v>
      </c>
      <c r="O17" s="85">
        <v>436.39043880960014</v>
      </c>
      <c r="P17" s="32"/>
      <c r="Q17" s="32"/>
    </row>
    <row r="18" spans="2:17" ht="20.100000000000001" customHeight="1" x14ac:dyDescent="0.25">
      <c r="B18" s="82"/>
      <c r="C18" s="83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5"/>
      <c r="P18" s="32"/>
      <c r="Q18" s="32"/>
    </row>
    <row r="19" spans="2:17" ht="20.100000000000001" customHeight="1" x14ac:dyDescent="0.25">
      <c r="B19" s="82"/>
      <c r="C19" s="83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5"/>
      <c r="P19" s="32"/>
      <c r="Q19" s="32"/>
    </row>
    <row r="20" spans="2:17" ht="20.100000000000001" customHeight="1" x14ac:dyDescent="0.25">
      <c r="B20" s="86"/>
      <c r="C20" s="87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9"/>
      <c r="P20" s="32"/>
      <c r="Q20" s="32"/>
    </row>
    <row r="21" spans="2:17" ht="20.100000000000001" customHeight="1" x14ac:dyDescent="0.25">
      <c r="B21" s="174"/>
      <c r="C21" s="174"/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  <c r="O21" s="175"/>
      <c r="P21" s="32"/>
      <c r="Q21" s="32"/>
    </row>
    <row r="22" spans="2:17" ht="20.100000000000001" customHeight="1" x14ac:dyDescent="0.25">
      <c r="B22" s="174"/>
      <c r="C22" s="174"/>
      <c r="D22" s="175"/>
      <c r="E22" s="175"/>
      <c r="F22" s="175"/>
      <c r="G22" s="175"/>
      <c r="H22" s="175"/>
      <c r="I22" s="175"/>
      <c r="J22" s="175"/>
      <c r="K22" s="175"/>
      <c r="L22" s="175"/>
      <c r="M22" s="175"/>
      <c r="N22" s="175"/>
      <c r="O22" s="175"/>
      <c r="P22" s="32"/>
      <c r="Q22" s="32"/>
    </row>
    <row r="23" spans="2:17" ht="20.100000000000001" customHeight="1" x14ac:dyDescent="0.25">
      <c r="B23" s="174"/>
      <c r="C23" s="174"/>
      <c r="D23" s="175"/>
      <c r="E23" s="175"/>
      <c r="F23" s="175"/>
      <c r="G23" s="175"/>
      <c r="H23" s="175"/>
      <c r="I23" s="175"/>
      <c r="J23" s="175"/>
      <c r="K23" s="175"/>
      <c r="L23" s="175"/>
      <c r="M23" s="175"/>
      <c r="N23" s="175"/>
      <c r="O23" s="175"/>
      <c r="P23" s="32"/>
      <c r="Q23" s="32"/>
    </row>
    <row r="24" spans="2:17" ht="20.100000000000001" customHeight="1" x14ac:dyDescent="0.25">
      <c r="B24" s="174"/>
      <c r="C24" s="174"/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  <c r="O24" s="175"/>
      <c r="P24" s="32"/>
      <c r="Q24" s="32"/>
    </row>
    <row r="25" spans="2:17" ht="20.100000000000001" customHeight="1" x14ac:dyDescent="0.25">
      <c r="B25" s="174"/>
      <c r="C25" s="174"/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32"/>
      <c r="Q25" s="32"/>
    </row>
    <row r="26" spans="2:17" ht="20.100000000000001" customHeight="1" x14ac:dyDescent="0.25">
      <c r="B26" s="174"/>
      <c r="C26" s="174"/>
      <c r="D26" s="175"/>
      <c r="E26" s="175"/>
      <c r="F26" s="175"/>
      <c r="G26" s="175"/>
      <c r="H26" s="175"/>
      <c r="I26" s="175"/>
      <c r="J26" s="175"/>
      <c r="K26" s="175"/>
      <c r="L26" s="175"/>
      <c r="M26" s="175"/>
      <c r="N26" s="175"/>
      <c r="O26" s="175"/>
      <c r="P26" s="32"/>
      <c r="Q26" s="32"/>
    </row>
    <row r="27" spans="2:17" ht="20.100000000000001" customHeight="1" x14ac:dyDescent="0.25">
      <c r="B27" s="174"/>
      <c r="C27" s="174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  <c r="O27" s="175"/>
      <c r="P27" s="32"/>
      <c r="Q27" s="32"/>
    </row>
    <row r="28" spans="2:17" ht="20.100000000000001" customHeight="1" x14ac:dyDescent="0.25">
      <c r="B28" s="174"/>
      <c r="C28" s="174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32"/>
      <c r="Q28" s="32"/>
    </row>
    <row r="29" spans="2:17" ht="20.100000000000001" customHeight="1" x14ac:dyDescent="0.25">
      <c r="B29" s="174"/>
      <c r="C29" s="174"/>
      <c r="D29" s="175"/>
      <c r="E29" s="175"/>
      <c r="F29" s="175"/>
      <c r="G29" s="175"/>
      <c r="H29" s="175"/>
      <c r="I29" s="175"/>
      <c r="J29" s="175"/>
      <c r="K29" s="175"/>
      <c r="L29" s="175"/>
      <c r="M29" s="175"/>
      <c r="N29" s="175"/>
      <c r="O29" s="175"/>
      <c r="P29" s="32"/>
      <c r="Q29" s="32"/>
    </row>
    <row r="30" spans="2:17" ht="20.100000000000001" customHeight="1" x14ac:dyDescent="0.25">
      <c r="B30" s="174"/>
      <c r="C30" s="174"/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32"/>
      <c r="Q30" s="32"/>
    </row>
    <row r="31" spans="2:17" ht="20.100000000000001" customHeight="1" x14ac:dyDescent="0.25">
      <c r="B31" s="174"/>
      <c r="C31" s="174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32"/>
      <c r="Q31" s="32"/>
    </row>
    <row r="32" spans="2:17" ht="20.100000000000001" customHeight="1" x14ac:dyDescent="0.25">
      <c r="B32" s="174"/>
      <c r="C32" s="174"/>
      <c r="D32" s="175"/>
      <c r="E32" s="175"/>
      <c r="F32" s="175"/>
      <c r="G32" s="175"/>
      <c r="H32" s="175"/>
      <c r="I32" s="175"/>
      <c r="J32" s="175"/>
      <c r="K32" s="175"/>
      <c r="L32" s="175"/>
      <c r="M32" s="175"/>
      <c r="N32" s="175"/>
      <c r="O32" s="175"/>
      <c r="P32" s="32"/>
      <c r="Q32" s="32"/>
    </row>
    <row r="33" spans="2:17" ht="20.100000000000001" customHeight="1" x14ac:dyDescent="0.25">
      <c r="B33" s="174"/>
      <c r="C33" s="174"/>
      <c r="D33" s="175"/>
      <c r="E33" s="175"/>
      <c r="F33" s="175"/>
      <c r="G33" s="175"/>
      <c r="H33" s="175"/>
      <c r="I33" s="175"/>
      <c r="J33" s="175"/>
      <c r="K33" s="175"/>
      <c r="L33" s="175"/>
      <c r="M33" s="175"/>
      <c r="N33" s="175"/>
      <c r="O33" s="175"/>
      <c r="P33" s="32"/>
      <c r="Q33" s="32"/>
    </row>
    <row r="34" spans="2:17" ht="20.100000000000001" customHeight="1" x14ac:dyDescent="0.25">
      <c r="B34" s="174"/>
      <c r="C34" s="174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32"/>
      <c r="Q34" s="32"/>
    </row>
    <row r="35" spans="2:17" ht="20.100000000000001" customHeight="1" x14ac:dyDescent="0.25">
      <c r="B35" s="174"/>
      <c r="C35" s="174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32"/>
      <c r="Q35" s="32"/>
    </row>
    <row r="36" spans="2:17" ht="20.100000000000001" customHeight="1" x14ac:dyDescent="0.25">
      <c r="B36" s="174"/>
      <c r="C36" s="174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32"/>
      <c r="Q36" s="32"/>
    </row>
    <row r="37" spans="2:17" ht="20.100000000000001" customHeight="1" x14ac:dyDescent="0.25">
      <c r="B37" s="174"/>
      <c r="C37" s="174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32"/>
      <c r="Q37" s="32"/>
    </row>
    <row r="38" spans="2:17" ht="20.100000000000001" customHeight="1" x14ac:dyDescent="0.25">
      <c r="B38" s="174"/>
      <c r="C38" s="174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</row>
    <row r="39" spans="2:17" ht="20.100000000000001" customHeight="1" x14ac:dyDescent="0.25">
      <c r="B39" s="174"/>
      <c r="C39" s="174"/>
      <c r="D39" s="175"/>
      <c r="E39" s="175"/>
      <c r="F39" s="175"/>
      <c r="G39" s="175"/>
      <c r="H39" s="175"/>
      <c r="I39" s="175"/>
      <c r="J39" s="175"/>
      <c r="K39" s="175"/>
      <c r="L39" s="175"/>
      <c r="M39" s="175"/>
      <c r="N39" s="175"/>
      <c r="O39" s="175"/>
    </row>
    <row r="40" spans="2:17" ht="20.100000000000001" customHeight="1" x14ac:dyDescent="0.25">
      <c r="B40" s="174"/>
      <c r="C40" s="174"/>
      <c r="D40" s="175"/>
      <c r="E40" s="175"/>
      <c r="F40" s="175"/>
      <c r="G40" s="175"/>
      <c r="H40" s="175"/>
      <c r="I40" s="175"/>
      <c r="J40" s="175"/>
      <c r="K40" s="175"/>
      <c r="L40" s="175"/>
      <c r="M40" s="175"/>
      <c r="N40" s="175"/>
      <c r="O40" s="175"/>
    </row>
    <row r="41" spans="2:17" ht="20.100000000000001" customHeight="1" x14ac:dyDescent="0.25">
      <c r="B41" s="174"/>
      <c r="C41" s="174"/>
      <c r="D41" s="175"/>
      <c r="E41" s="175"/>
      <c r="F41" s="175"/>
      <c r="G41" s="175"/>
      <c r="H41" s="175"/>
      <c r="I41" s="175"/>
      <c r="J41" s="175"/>
      <c r="K41" s="175"/>
      <c r="L41" s="175"/>
      <c r="M41" s="175"/>
      <c r="N41" s="175"/>
      <c r="O41" s="175"/>
    </row>
    <row r="42" spans="2:17" ht="20.100000000000001" customHeight="1" x14ac:dyDescent="0.25">
      <c r="B42" s="174"/>
      <c r="C42" s="174"/>
      <c r="D42" s="175"/>
      <c r="E42" s="175"/>
      <c r="F42" s="175"/>
      <c r="G42" s="175"/>
      <c r="H42" s="175"/>
      <c r="I42" s="175"/>
      <c r="J42" s="175"/>
      <c r="K42" s="175"/>
      <c r="L42" s="175"/>
      <c r="M42" s="175"/>
      <c r="N42" s="175"/>
      <c r="O42" s="175"/>
    </row>
    <row r="43" spans="2:17" ht="20.100000000000001" customHeight="1" x14ac:dyDescent="0.25">
      <c r="B43" s="174"/>
      <c r="C43" s="174"/>
      <c r="D43" s="175"/>
      <c r="E43" s="175"/>
      <c r="F43" s="175"/>
      <c r="G43" s="175"/>
      <c r="H43" s="175"/>
      <c r="I43" s="175"/>
      <c r="J43" s="175"/>
      <c r="K43" s="175"/>
      <c r="L43" s="175"/>
      <c r="M43" s="175"/>
      <c r="N43" s="175"/>
      <c r="O43" s="175"/>
    </row>
    <row r="44" spans="2:17" ht="20.100000000000001" customHeight="1" x14ac:dyDescent="0.25">
      <c r="B44" s="174"/>
      <c r="C44" s="174"/>
      <c r="D44" s="175"/>
      <c r="E44" s="175"/>
      <c r="F44" s="175"/>
      <c r="G44" s="175"/>
      <c r="H44" s="175"/>
      <c r="I44" s="175"/>
      <c r="J44" s="175"/>
      <c r="K44" s="175"/>
      <c r="L44" s="175"/>
      <c r="M44" s="175"/>
      <c r="N44" s="175"/>
      <c r="O44" s="175"/>
    </row>
    <row r="45" spans="2:17" ht="20.100000000000001" customHeight="1" x14ac:dyDescent="0.25">
      <c r="B45" s="174"/>
      <c r="C45" s="174"/>
      <c r="D45" s="175"/>
      <c r="E45" s="175"/>
      <c r="F45" s="175"/>
      <c r="G45" s="175"/>
      <c r="H45" s="175"/>
      <c r="I45" s="175"/>
      <c r="J45" s="175"/>
      <c r="K45" s="175"/>
      <c r="L45" s="175"/>
      <c r="M45" s="175"/>
      <c r="N45" s="175"/>
      <c r="O45" s="175"/>
    </row>
    <row r="46" spans="2:17" ht="20.100000000000001" customHeight="1" x14ac:dyDescent="0.25">
      <c r="B46" s="174"/>
      <c r="C46" s="174"/>
      <c r="D46" s="175"/>
      <c r="E46" s="175"/>
      <c r="F46" s="175"/>
      <c r="G46" s="175"/>
      <c r="H46" s="175"/>
      <c r="I46" s="175"/>
      <c r="J46" s="175"/>
      <c r="K46" s="175"/>
      <c r="L46" s="175"/>
      <c r="M46" s="175"/>
      <c r="N46" s="175"/>
      <c r="O46" s="175"/>
    </row>
    <row r="47" spans="2:17" ht="20.100000000000001" customHeight="1" x14ac:dyDescent="0.25">
      <c r="B47" s="174"/>
      <c r="C47" s="174"/>
      <c r="D47" s="175"/>
      <c r="E47" s="175"/>
      <c r="F47" s="175"/>
      <c r="G47" s="175"/>
      <c r="H47" s="175"/>
      <c r="I47" s="175"/>
      <c r="J47" s="175"/>
      <c r="K47" s="175"/>
      <c r="L47" s="175"/>
      <c r="M47" s="175"/>
      <c r="N47" s="175"/>
      <c r="O47" s="175"/>
    </row>
    <row r="48" spans="2:17" ht="20.100000000000001" customHeight="1" x14ac:dyDescent="0.25">
      <c r="B48" s="174"/>
      <c r="C48" s="174"/>
      <c r="D48" s="175"/>
      <c r="E48" s="175"/>
      <c r="F48" s="175"/>
      <c r="G48" s="175"/>
      <c r="H48" s="175"/>
      <c r="I48" s="175"/>
      <c r="J48" s="175"/>
      <c r="K48" s="175"/>
      <c r="L48" s="175"/>
      <c r="M48" s="175"/>
      <c r="N48" s="175"/>
      <c r="O48" s="175"/>
    </row>
    <row r="49" spans="2:15" ht="20.100000000000001" customHeight="1" x14ac:dyDescent="0.25">
      <c r="B49" s="174"/>
      <c r="C49" s="174"/>
      <c r="D49" s="175"/>
      <c r="E49" s="175"/>
      <c r="F49" s="175"/>
      <c r="G49" s="175"/>
      <c r="H49" s="175"/>
      <c r="I49" s="175"/>
      <c r="J49" s="175"/>
      <c r="K49" s="175"/>
      <c r="L49" s="175"/>
      <c r="M49" s="175"/>
      <c r="N49" s="175"/>
      <c r="O49" s="175"/>
    </row>
    <row r="50" spans="2:15" ht="20.100000000000001" customHeight="1" x14ac:dyDescent="0.25">
      <c r="B50" s="174"/>
      <c r="C50" s="174"/>
      <c r="D50" s="175"/>
      <c r="E50" s="175"/>
      <c r="F50" s="175"/>
      <c r="G50" s="175"/>
      <c r="H50" s="175"/>
      <c r="I50" s="175"/>
      <c r="J50" s="175"/>
      <c r="K50" s="175"/>
      <c r="L50" s="175"/>
      <c r="M50" s="175"/>
      <c r="N50" s="175"/>
      <c r="O50" s="175"/>
    </row>
    <row r="51" spans="2:15" ht="20.100000000000001" customHeight="1" x14ac:dyDescent="0.25">
      <c r="B51" s="174"/>
      <c r="C51" s="174"/>
      <c r="D51" s="175"/>
      <c r="E51" s="175"/>
      <c r="F51" s="175"/>
      <c r="G51" s="175"/>
      <c r="H51" s="175"/>
      <c r="I51" s="175"/>
      <c r="J51" s="175"/>
      <c r="K51" s="175"/>
      <c r="L51" s="175"/>
      <c r="M51" s="175"/>
      <c r="N51" s="175"/>
      <c r="O51" s="175"/>
    </row>
    <row r="52" spans="2:15" ht="20.100000000000001" customHeight="1" x14ac:dyDescent="0.25">
      <c r="B52" s="174"/>
      <c r="C52" s="174"/>
      <c r="D52" s="175"/>
      <c r="E52" s="175"/>
      <c r="F52" s="175"/>
      <c r="G52" s="175"/>
      <c r="H52" s="175"/>
      <c r="I52" s="175"/>
      <c r="J52" s="175"/>
      <c r="K52" s="175"/>
      <c r="L52" s="175"/>
      <c r="M52" s="175"/>
      <c r="N52" s="175"/>
      <c r="O52" s="175"/>
    </row>
    <row r="53" spans="2:15" ht="20.100000000000001" customHeight="1" x14ac:dyDescent="0.25">
      <c r="B53" s="174"/>
      <c r="C53" s="174"/>
      <c r="D53" s="175"/>
      <c r="E53" s="175"/>
      <c r="F53" s="175"/>
      <c r="G53" s="175"/>
      <c r="H53" s="175"/>
      <c r="I53" s="175"/>
      <c r="J53" s="175"/>
      <c r="K53" s="175"/>
      <c r="L53" s="175"/>
      <c r="M53" s="175"/>
      <c r="N53" s="175"/>
      <c r="O53" s="175"/>
    </row>
    <row r="54" spans="2:15" ht="20.100000000000001" customHeight="1" x14ac:dyDescent="0.25">
      <c r="B54" s="174"/>
      <c r="C54" s="174"/>
      <c r="D54" s="175"/>
      <c r="E54" s="175"/>
      <c r="F54" s="175"/>
      <c r="G54" s="175"/>
      <c r="H54" s="175"/>
      <c r="I54" s="175"/>
      <c r="J54" s="175"/>
      <c r="K54" s="175"/>
      <c r="L54" s="175"/>
      <c r="M54" s="175"/>
      <c r="N54" s="175"/>
      <c r="O54" s="175"/>
    </row>
    <row r="55" spans="2:15" ht="20.100000000000001" customHeight="1" x14ac:dyDescent="0.25">
      <c r="B55" s="174"/>
      <c r="C55" s="174"/>
      <c r="D55" s="175"/>
      <c r="E55" s="175"/>
      <c r="F55" s="175"/>
      <c r="G55" s="175"/>
      <c r="H55" s="175"/>
      <c r="I55" s="175"/>
      <c r="J55" s="175"/>
      <c r="K55" s="175"/>
      <c r="L55" s="175"/>
      <c r="M55" s="175"/>
      <c r="N55" s="175"/>
      <c r="O55" s="175"/>
    </row>
    <row r="56" spans="2:15" ht="20.100000000000001" customHeight="1" x14ac:dyDescent="0.25">
      <c r="B56" s="174"/>
      <c r="C56" s="174"/>
      <c r="D56" s="175"/>
      <c r="E56" s="175"/>
      <c r="F56" s="175"/>
      <c r="G56" s="175"/>
      <c r="H56" s="175"/>
      <c r="I56" s="175"/>
      <c r="J56" s="175"/>
      <c r="K56" s="175"/>
      <c r="L56" s="175"/>
      <c r="M56" s="175"/>
      <c r="N56" s="175"/>
      <c r="O56" s="175"/>
    </row>
    <row r="57" spans="2:15" ht="20.100000000000001" customHeight="1" x14ac:dyDescent="0.25">
      <c r="B57" s="174"/>
      <c r="C57" s="174"/>
      <c r="D57" s="175"/>
      <c r="E57" s="175"/>
      <c r="F57" s="175"/>
      <c r="G57" s="175"/>
      <c r="H57" s="175"/>
      <c r="I57" s="175"/>
      <c r="J57" s="175"/>
      <c r="K57" s="175"/>
      <c r="L57" s="175"/>
      <c r="M57" s="175"/>
      <c r="N57" s="175"/>
      <c r="O57" s="175"/>
    </row>
    <row r="58" spans="2:15" ht="20.100000000000001" customHeight="1" x14ac:dyDescent="0.25">
      <c r="B58" s="174"/>
      <c r="C58" s="174"/>
      <c r="D58" s="175"/>
      <c r="E58" s="175"/>
      <c r="F58" s="175"/>
      <c r="G58" s="175"/>
      <c r="H58" s="175"/>
      <c r="I58" s="175"/>
      <c r="J58" s="175"/>
      <c r="K58" s="175"/>
      <c r="L58" s="175"/>
      <c r="M58" s="175"/>
      <c r="N58" s="175"/>
      <c r="O58" s="175"/>
    </row>
    <row r="59" spans="2:15" ht="20.100000000000001" customHeight="1" x14ac:dyDescent="0.25">
      <c r="B59" s="176"/>
      <c r="C59" s="174"/>
      <c r="D59" s="177"/>
      <c r="E59" s="177"/>
      <c r="F59" s="177"/>
      <c r="G59" s="177"/>
      <c r="H59" s="177"/>
      <c r="I59" s="177"/>
      <c r="J59" s="177"/>
      <c r="K59" s="177"/>
      <c r="L59" s="177"/>
      <c r="M59" s="177"/>
      <c r="N59" s="177"/>
      <c r="O59" s="177"/>
    </row>
    <row r="60" spans="2:15" ht="20.100000000000001" customHeight="1" x14ac:dyDescent="0.25">
      <c r="B60" s="174"/>
      <c r="C60" s="174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</row>
    <row r="61" spans="2:15" ht="20.100000000000001" customHeight="1" x14ac:dyDescent="0.25">
      <c r="B61" s="174"/>
      <c r="C61" s="174"/>
      <c r="D61" s="175"/>
      <c r="E61" s="175"/>
      <c r="F61" s="175"/>
      <c r="G61" s="175"/>
      <c r="H61" s="175"/>
      <c r="I61" s="175"/>
      <c r="J61" s="175"/>
      <c r="K61" s="175"/>
      <c r="L61" s="175"/>
      <c r="M61" s="175"/>
      <c r="N61" s="175"/>
      <c r="O61" s="175"/>
    </row>
    <row r="62" spans="2:15" ht="20.100000000000001" customHeight="1" x14ac:dyDescent="0.25">
      <c r="B62" s="174"/>
      <c r="C62" s="174"/>
      <c r="D62" s="175"/>
      <c r="E62" s="175"/>
      <c r="F62" s="175"/>
      <c r="G62" s="175"/>
      <c r="H62" s="175"/>
      <c r="I62" s="175"/>
      <c r="J62" s="175"/>
      <c r="K62" s="175"/>
      <c r="L62" s="175"/>
      <c r="M62" s="175"/>
      <c r="N62" s="175"/>
      <c r="O62" s="175"/>
    </row>
    <row r="63" spans="2:15" ht="20.100000000000001" customHeight="1" x14ac:dyDescent="0.25">
      <c r="B63" s="174"/>
      <c r="C63" s="174"/>
      <c r="D63" s="175"/>
      <c r="E63" s="175"/>
      <c r="F63" s="175"/>
      <c r="G63" s="175"/>
      <c r="H63" s="175"/>
      <c r="I63" s="175"/>
      <c r="J63" s="175"/>
      <c r="K63" s="175"/>
      <c r="L63" s="175"/>
      <c r="M63" s="175"/>
      <c r="N63" s="175"/>
      <c r="O63" s="175"/>
    </row>
    <row r="64" spans="2:15" ht="20.100000000000001" customHeight="1" x14ac:dyDescent="0.25">
      <c r="B64" s="174"/>
      <c r="C64" s="174"/>
      <c r="D64" s="175"/>
      <c r="E64" s="175"/>
      <c r="F64" s="175"/>
      <c r="G64" s="175"/>
      <c r="H64" s="175"/>
      <c r="I64" s="175"/>
      <c r="J64" s="175"/>
      <c r="K64" s="175"/>
      <c r="L64" s="175"/>
      <c r="M64" s="175"/>
      <c r="N64" s="175"/>
      <c r="O64" s="175"/>
    </row>
    <row r="65" spans="2:15" ht="20.100000000000001" customHeight="1" x14ac:dyDescent="0.25">
      <c r="B65" s="174"/>
      <c r="C65" s="174"/>
      <c r="D65" s="175"/>
      <c r="E65" s="175"/>
      <c r="F65" s="175"/>
      <c r="G65" s="175"/>
      <c r="H65" s="175"/>
      <c r="I65" s="175"/>
      <c r="J65" s="175"/>
      <c r="K65" s="175"/>
      <c r="L65" s="175"/>
      <c r="M65" s="175"/>
      <c r="N65" s="175"/>
      <c r="O65" s="175"/>
    </row>
    <row r="66" spans="2:15" ht="20.100000000000001" customHeight="1" x14ac:dyDescent="0.25">
      <c r="B66" s="174"/>
      <c r="C66" s="174"/>
      <c r="D66" s="175"/>
      <c r="E66" s="175"/>
      <c r="F66" s="175"/>
      <c r="G66" s="175"/>
      <c r="H66" s="175"/>
      <c r="I66" s="175"/>
      <c r="J66" s="175"/>
      <c r="K66" s="175"/>
      <c r="L66" s="175"/>
      <c r="M66" s="175"/>
      <c r="N66" s="175"/>
      <c r="O66" s="175"/>
    </row>
    <row r="67" spans="2:15" ht="20.100000000000001" customHeight="1" x14ac:dyDescent="0.25">
      <c r="B67" s="174"/>
      <c r="C67" s="174"/>
      <c r="D67" s="175"/>
      <c r="E67" s="175"/>
      <c r="F67" s="175"/>
      <c r="G67" s="175"/>
      <c r="H67" s="175"/>
      <c r="I67" s="175"/>
      <c r="J67" s="175"/>
      <c r="K67" s="175"/>
      <c r="L67" s="175"/>
      <c r="M67" s="175"/>
      <c r="N67" s="175"/>
      <c r="O67" s="175"/>
    </row>
    <row r="68" spans="2:15" ht="20.100000000000001" customHeight="1" x14ac:dyDescent="0.25">
      <c r="B68" s="174"/>
      <c r="C68" s="174"/>
      <c r="D68" s="175"/>
      <c r="E68" s="175"/>
      <c r="F68" s="175"/>
      <c r="G68" s="175"/>
      <c r="H68" s="175"/>
      <c r="I68" s="175"/>
      <c r="J68" s="175"/>
      <c r="K68" s="175"/>
      <c r="L68" s="175"/>
      <c r="M68" s="175"/>
      <c r="N68" s="175"/>
      <c r="O68" s="175"/>
    </row>
    <row r="69" spans="2:15" ht="20.100000000000001" customHeight="1" x14ac:dyDescent="0.25">
      <c r="B69" s="174"/>
      <c r="C69" s="174"/>
      <c r="D69" s="175"/>
      <c r="E69" s="175"/>
      <c r="F69" s="175"/>
      <c r="G69" s="175"/>
      <c r="H69" s="175"/>
      <c r="I69" s="175"/>
      <c r="J69" s="175"/>
      <c r="K69" s="175"/>
      <c r="L69" s="175"/>
      <c r="M69" s="175"/>
      <c r="N69" s="175"/>
      <c r="O69" s="175"/>
    </row>
    <row r="70" spans="2:15" ht="20.100000000000001" customHeight="1" x14ac:dyDescent="0.25">
      <c r="B70" s="174"/>
      <c r="C70" s="174"/>
      <c r="D70" s="175"/>
      <c r="E70" s="175"/>
      <c r="F70" s="175"/>
      <c r="G70" s="175"/>
      <c r="H70" s="175"/>
      <c r="I70" s="175"/>
      <c r="J70" s="175"/>
      <c r="K70" s="175"/>
      <c r="L70" s="175"/>
      <c r="M70" s="175"/>
      <c r="N70" s="175"/>
      <c r="O70" s="175"/>
    </row>
    <row r="71" spans="2:15" ht="20.100000000000001" customHeight="1" x14ac:dyDescent="0.25">
      <c r="B71" s="174"/>
      <c r="C71" s="174"/>
      <c r="D71" s="175"/>
      <c r="E71" s="175"/>
      <c r="F71" s="175"/>
      <c r="G71" s="175"/>
      <c r="H71" s="175"/>
      <c r="I71" s="175"/>
      <c r="J71" s="175"/>
      <c r="K71" s="175"/>
      <c r="L71" s="175"/>
      <c r="M71" s="175"/>
      <c r="N71" s="175"/>
      <c r="O71" s="175"/>
    </row>
    <row r="72" spans="2:15" ht="20.100000000000001" customHeight="1" x14ac:dyDescent="0.25">
      <c r="B72" s="174"/>
      <c r="C72" s="174"/>
      <c r="D72" s="175"/>
      <c r="E72" s="175"/>
      <c r="F72" s="175"/>
      <c r="G72" s="175"/>
      <c r="H72" s="175"/>
      <c r="I72" s="175"/>
      <c r="J72" s="175"/>
      <c r="K72" s="175"/>
      <c r="L72" s="175"/>
      <c r="M72" s="175"/>
      <c r="N72" s="175"/>
      <c r="O72" s="175"/>
    </row>
    <row r="73" spans="2:15" ht="20.100000000000001" customHeight="1" x14ac:dyDescent="0.25">
      <c r="B73" s="174"/>
      <c r="C73" s="174"/>
      <c r="D73" s="175"/>
      <c r="E73" s="175"/>
      <c r="F73" s="175"/>
      <c r="G73" s="175"/>
      <c r="H73" s="175"/>
      <c r="I73" s="175"/>
      <c r="J73" s="175"/>
      <c r="K73" s="175"/>
      <c r="L73" s="175"/>
      <c r="M73" s="175"/>
      <c r="N73" s="175"/>
      <c r="O73" s="175"/>
    </row>
    <row r="74" spans="2:15" ht="20.100000000000001" customHeight="1" x14ac:dyDescent="0.25">
      <c r="B74" s="174"/>
      <c r="C74" s="174"/>
      <c r="D74" s="175"/>
      <c r="E74" s="175"/>
      <c r="F74" s="175"/>
      <c r="G74" s="175"/>
      <c r="H74" s="175"/>
      <c r="I74" s="175"/>
      <c r="J74" s="175"/>
      <c r="K74" s="175"/>
      <c r="L74" s="175"/>
      <c r="M74" s="175"/>
      <c r="N74" s="175"/>
      <c r="O74" s="175"/>
    </row>
    <row r="75" spans="2:15" ht="20.100000000000001" customHeight="1" x14ac:dyDescent="0.25">
      <c r="B75" s="174"/>
      <c r="C75" s="174"/>
      <c r="D75" s="175"/>
      <c r="E75" s="175"/>
      <c r="F75" s="175"/>
      <c r="G75" s="175"/>
      <c r="H75" s="175"/>
      <c r="I75" s="175"/>
      <c r="J75" s="175"/>
      <c r="K75" s="175"/>
      <c r="L75" s="175"/>
      <c r="M75" s="175"/>
      <c r="N75" s="175"/>
      <c r="O75" s="175"/>
    </row>
    <row r="76" spans="2:15" ht="20.100000000000001" customHeight="1" x14ac:dyDescent="0.25">
      <c r="B76" s="174"/>
      <c r="C76" s="174"/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</row>
    <row r="77" spans="2:15" ht="20.100000000000001" customHeight="1" x14ac:dyDescent="0.25">
      <c r="B77" s="174"/>
      <c r="C77" s="174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</row>
    <row r="78" spans="2:15" ht="20.100000000000001" customHeight="1" x14ac:dyDescent="0.25">
      <c r="B78" s="174"/>
      <c r="C78" s="174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</row>
    <row r="79" spans="2:15" ht="20.100000000000001" customHeight="1" x14ac:dyDescent="0.25">
      <c r="B79" s="174"/>
      <c r="C79" s="174"/>
      <c r="D79" s="175"/>
      <c r="E79" s="175"/>
      <c r="F79" s="175"/>
      <c r="G79" s="175"/>
      <c r="H79" s="175"/>
      <c r="I79" s="175"/>
      <c r="J79" s="175"/>
      <c r="K79" s="175"/>
      <c r="L79" s="175"/>
      <c r="M79" s="175"/>
      <c r="N79" s="175"/>
      <c r="O79" s="175"/>
    </row>
    <row r="80" spans="2:15" ht="20.100000000000001" customHeight="1" x14ac:dyDescent="0.25">
      <c r="B80" s="174"/>
      <c r="C80" s="174"/>
      <c r="D80" s="175"/>
      <c r="E80" s="175"/>
      <c r="F80" s="175"/>
      <c r="G80" s="175"/>
      <c r="H80" s="175"/>
      <c r="I80" s="175"/>
      <c r="J80" s="175"/>
      <c r="K80" s="175"/>
      <c r="L80" s="175"/>
      <c r="M80" s="175"/>
      <c r="N80" s="175"/>
      <c r="O80" s="175"/>
    </row>
    <row r="81" spans="2:15" ht="20.100000000000001" customHeight="1" x14ac:dyDescent="0.25">
      <c r="B81" s="174"/>
      <c r="C81" s="174"/>
      <c r="D81" s="175"/>
      <c r="E81" s="175"/>
      <c r="F81" s="175"/>
      <c r="G81" s="175"/>
      <c r="H81" s="175"/>
      <c r="I81" s="175"/>
      <c r="J81" s="175"/>
      <c r="K81" s="175"/>
      <c r="L81" s="175"/>
      <c r="M81" s="175"/>
      <c r="N81" s="175"/>
      <c r="O81" s="175"/>
    </row>
    <row r="82" spans="2:15" ht="20.100000000000001" customHeight="1" x14ac:dyDescent="0.25">
      <c r="B82" s="174"/>
      <c r="C82" s="174"/>
      <c r="D82" s="175"/>
      <c r="E82" s="175"/>
      <c r="F82" s="175"/>
      <c r="G82" s="175"/>
      <c r="H82" s="175"/>
      <c r="I82" s="175"/>
      <c r="J82" s="175"/>
      <c r="K82" s="175"/>
      <c r="L82" s="175"/>
      <c r="M82" s="175"/>
      <c r="N82" s="175"/>
      <c r="O82" s="175"/>
    </row>
    <row r="83" spans="2:15" ht="20.100000000000001" customHeight="1" x14ac:dyDescent="0.25">
      <c r="B83" s="174"/>
      <c r="C83" s="174"/>
      <c r="D83" s="175"/>
      <c r="E83" s="175"/>
      <c r="F83" s="175"/>
      <c r="G83" s="175"/>
      <c r="H83" s="175"/>
      <c r="I83" s="175"/>
      <c r="J83" s="175"/>
      <c r="K83" s="175"/>
      <c r="L83" s="175"/>
      <c r="M83" s="175"/>
      <c r="N83" s="175"/>
      <c r="O83" s="175"/>
    </row>
    <row r="84" spans="2:15" ht="20.100000000000001" customHeight="1" x14ac:dyDescent="0.25">
      <c r="B84" s="174"/>
      <c r="C84" s="174"/>
      <c r="D84" s="175"/>
      <c r="E84" s="175"/>
      <c r="F84" s="175"/>
      <c r="G84" s="175"/>
      <c r="H84" s="175"/>
      <c r="I84" s="175"/>
      <c r="J84" s="175"/>
      <c r="K84" s="175"/>
      <c r="L84" s="175"/>
      <c r="M84" s="175"/>
      <c r="N84" s="175"/>
      <c r="O84" s="175"/>
    </row>
    <row r="85" spans="2:15" ht="20.100000000000001" customHeight="1" x14ac:dyDescent="0.25">
      <c r="B85" s="174"/>
      <c r="C85" s="174"/>
      <c r="D85" s="175"/>
      <c r="E85" s="175"/>
      <c r="F85" s="175"/>
      <c r="G85" s="175"/>
      <c r="H85" s="175"/>
      <c r="I85" s="175"/>
      <c r="J85" s="175"/>
      <c r="K85" s="175"/>
      <c r="L85" s="175"/>
      <c r="M85" s="175"/>
      <c r="N85" s="175"/>
      <c r="O85" s="175"/>
    </row>
    <row r="86" spans="2:15" ht="20.100000000000001" customHeight="1" x14ac:dyDescent="0.25">
      <c r="B86" s="174"/>
      <c r="C86" s="174"/>
      <c r="D86" s="175"/>
      <c r="E86" s="175"/>
      <c r="F86" s="175"/>
      <c r="G86" s="175"/>
      <c r="H86" s="175"/>
      <c r="I86" s="175"/>
      <c r="J86" s="175"/>
      <c r="K86" s="175"/>
      <c r="L86" s="175"/>
      <c r="M86" s="175"/>
      <c r="N86" s="175"/>
      <c r="O86" s="175"/>
    </row>
    <row r="87" spans="2:15" ht="20.100000000000001" customHeight="1" x14ac:dyDescent="0.25">
      <c r="B87" s="174"/>
      <c r="C87" s="174"/>
      <c r="D87" s="175"/>
      <c r="E87" s="175"/>
      <c r="F87" s="175"/>
      <c r="G87" s="175"/>
      <c r="H87" s="175"/>
      <c r="I87" s="175"/>
      <c r="J87" s="175"/>
      <c r="K87" s="175"/>
      <c r="L87" s="175"/>
      <c r="M87" s="175"/>
      <c r="N87" s="175"/>
      <c r="O87" s="175"/>
    </row>
    <row r="88" spans="2:15" ht="20.100000000000001" customHeight="1" x14ac:dyDescent="0.25">
      <c r="B88" s="174"/>
      <c r="C88" s="174"/>
      <c r="D88" s="175"/>
      <c r="E88" s="175"/>
      <c r="F88" s="175"/>
      <c r="G88" s="175"/>
      <c r="H88" s="175"/>
      <c r="I88" s="175"/>
      <c r="J88" s="175"/>
      <c r="K88" s="175"/>
      <c r="L88" s="175"/>
      <c r="M88" s="175"/>
      <c r="N88" s="175"/>
      <c r="O88" s="175"/>
    </row>
    <row r="89" spans="2:15" ht="20.100000000000001" customHeight="1" x14ac:dyDescent="0.25">
      <c r="B89" s="174"/>
      <c r="C89" s="174"/>
      <c r="D89" s="175"/>
      <c r="E89" s="175"/>
      <c r="F89" s="175"/>
      <c r="G89" s="175"/>
      <c r="H89" s="175"/>
      <c r="I89" s="175"/>
      <c r="J89" s="175"/>
      <c r="K89" s="175"/>
      <c r="L89" s="175"/>
      <c r="M89" s="175"/>
      <c r="N89" s="175"/>
      <c r="O89" s="175"/>
    </row>
    <row r="90" spans="2:15" ht="20.100000000000001" customHeight="1" x14ac:dyDescent="0.25">
      <c r="B90" s="174"/>
      <c r="C90" s="174"/>
      <c r="D90" s="175"/>
      <c r="E90" s="175"/>
      <c r="F90" s="175"/>
      <c r="G90" s="175"/>
      <c r="H90" s="175"/>
      <c r="I90" s="175"/>
      <c r="J90" s="175"/>
      <c r="K90" s="175"/>
      <c r="L90" s="175"/>
      <c r="M90" s="175"/>
      <c r="N90" s="175"/>
      <c r="O90" s="175"/>
    </row>
    <row r="91" spans="2:15" ht="20.100000000000001" customHeight="1" x14ac:dyDescent="0.25">
      <c r="B91" s="174"/>
      <c r="C91" s="174"/>
      <c r="D91" s="175"/>
      <c r="E91" s="175"/>
      <c r="F91" s="175"/>
      <c r="G91" s="175"/>
      <c r="H91" s="175"/>
      <c r="I91" s="175"/>
      <c r="J91" s="175"/>
      <c r="K91" s="175"/>
      <c r="L91" s="175"/>
      <c r="M91" s="175"/>
      <c r="N91" s="175"/>
      <c r="O91" s="175"/>
    </row>
    <row r="92" spans="2:15" ht="20.100000000000001" customHeight="1" x14ac:dyDescent="0.25">
      <c r="B92" s="174"/>
      <c r="C92" s="174"/>
      <c r="D92" s="175"/>
      <c r="E92" s="175"/>
      <c r="F92" s="175"/>
      <c r="G92" s="175"/>
      <c r="H92" s="175"/>
      <c r="I92" s="175"/>
      <c r="J92" s="175"/>
      <c r="K92" s="175"/>
      <c r="L92" s="175"/>
      <c r="M92" s="175"/>
      <c r="N92" s="175"/>
      <c r="O92" s="175"/>
    </row>
    <row r="93" spans="2:15" ht="20.100000000000001" customHeight="1" x14ac:dyDescent="0.25">
      <c r="B93" s="174"/>
      <c r="C93" s="174"/>
      <c r="D93" s="175"/>
      <c r="E93" s="175"/>
      <c r="F93" s="175"/>
      <c r="G93" s="175"/>
      <c r="H93" s="175"/>
      <c r="I93" s="175"/>
      <c r="J93" s="175"/>
      <c r="K93" s="175"/>
      <c r="L93" s="175"/>
      <c r="M93" s="175"/>
      <c r="N93" s="175"/>
      <c r="O93" s="175"/>
    </row>
    <row r="94" spans="2:15" ht="20.100000000000001" customHeight="1" x14ac:dyDescent="0.25">
      <c r="B94" s="174"/>
      <c r="C94" s="174"/>
      <c r="D94" s="175"/>
      <c r="E94" s="175"/>
      <c r="F94" s="175"/>
      <c r="G94" s="175"/>
      <c r="H94" s="175"/>
      <c r="I94" s="175"/>
      <c r="J94" s="175"/>
      <c r="K94" s="175"/>
      <c r="L94" s="175"/>
      <c r="M94" s="175"/>
      <c r="N94" s="175"/>
      <c r="O94" s="175"/>
    </row>
    <row r="95" spans="2:15" ht="20.100000000000001" customHeight="1" x14ac:dyDescent="0.25">
      <c r="B95" s="174"/>
      <c r="C95" s="174"/>
      <c r="D95" s="175"/>
      <c r="E95" s="175"/>
      <c r="F95" s="175"/>
      <c r="G95" s="175"/>
      <c r="H95" s="175"/>
      <c r="I95" s="175"/>
      <c r="J95" s="175"/>
      <c r="K95" s="175"/>
      <c r="L95" s="175"/>
      <c r="M95" s="175"/>
      <c r="N95" s="175"/>
      <c r="O95" s="175"/>
    </row>
    <row r="96" spans="2:15" ht="20.100000000000001" customHeight="1" x14ac:dyDescent="0.25">
      <c r="B96" s="174"/>
      <c r="C96" s="174"/>
      <c r="D96" s="175"/>
      <c r="E96" s="175"/>
      <c r="F96" s="175"/>
      <c r="G96" s="175"/>
      <c r="H96" s="175"/>
      <c r="I96" s="175"/>
      <c r="J96" s="175"/>
      <c r="K96" s="175"/>
      <c r="L96" s="175"/>
      <c r="M96" s="175"/>
      <c r="N96" s="175"/>
      <c r="O96" s="175"/>
    </row>
    <row r="97" spans="2:15" ht="20.100000000000001" customHeight="1" x14ac:dyDescent="0.25">
      <c r="B97" s="174"/>
      <c r="C97" s="174"/>
      <c r="D97" s="175"/>
      <c r="E97" s="175"/>
      <c r="F97" s="175"/>
      <c r="G97" s="175"/>
      <c r="H97" s="175"/>
      <c r="I97" s="175"/>
      <c r="J97" s="175"/>
      <c r="K97" s="175"/>
      <c r="L97" s="175"/>
      <c r="M97" s="175"/>
      <c r="N97" s="175"/>
      <c r="O97" s="175"/>
    </row>
    <row r="98" spans="2:15" ht="20.100000000000001" customHeight="1" x14ac:dyDescent="0.25">
      <c r="B98" s="174"/>
      <c r="C98" s="174"/>
      <c r="D98" s="175"/>
      <c r="E98" s="175"/>
      <c r="F98" s="175"/>
      <c r="G98" s="175"/>
      <c r="H98" s="175"/>
      <c r="I98" s="175"/>
      <c r="J98" s="175"/>
      <c r="K98" s="175"/>
      <c r="L98" s="175"/>
      <c r="M98" s="175"/>
      <c r="N98" s="175"/>
      <c r="O98" s="175"/>
    </row>
    <row r="99" spans="2:15" ht="20.100000000000001" customHeight="1" x14ac:dyDescent="0.25">
      <c r="B99" s="174"/>
      <c r="C99" s="174"/>
      <c r="D99" s="175"/>
      <c r="E99" s="175"/>
      <c r="F99" s="175"/>
      <c r="G99" s="175"/>
      <c r="H99" s="175"/>
      <c r="I99" s="175"/>
      <c r="J99" s="175"/>
      <c r="K99" s="175"/>
      <c r="L99" s="175"/>
      <c r="M99" s="175"/>
      <c r="N99" s="175"/>
      <c r="O99" s="175"/>
    </row>
    <row r="100" spans="2:15" ht="20.100000000000001" customHeight="1" x14ac:dyDescent="0.25">
      <c r="B100" s="174"/>
      <c r="C100" s="174"/>
      <c r="D100" s="175"/>
      <c r="E100" s="175"/>
      <c r="F100" s="175"/>
      <c r="G100" s="175"/>
      <c r="H100" s="175"/>
      <c r="I100" s="175"/>
      <c r="J100" s="175"/>
      <c r="K100" s="175"/>
      <c r="L100" s="175"/>
      <c r="M100" s="175"/>
      <c r="N100" s="175"/>
      <c r="O100" s="175"/>
    </row>
    <row r="101" spans="2:15" ht="20.100000000000001" customHeight="1" x14ac:dyDescent="0.25">
      <c r="B101" s="174"/>
      <c r="C101" s="174"/>
      <c r="D101" s="175"/>
      <c r="E101" s="175"/>
      <c r="F101" s="175"/>
      <c r="G101" s="175"/>
      <c r="H101" s="175"/>
      <c r="I101" s="175"/>
      <c r="J101" s="175"/>
      <c r="K101" s="175"/>
      <c r="L101" s="175"/>
      <c r="M101" s="175"/>
      <c r="N101" s="175"/>
      <c r="O101" s="175"/>
    </row>
    <row r="102" spans="2:15" ht="20.100000000000001" customHeight="1" x14ac:dyDescent="0.25">
      <c r="B102" s="174"/>
      <c r="C102" s="174"/>
      <c r="D102" s="175"/>
      <c r="E102" s="175"/>
      <c r="F102" s="175"/>
      <c r="G102" s="175"/>
      <c r="H102" s="175"/>
      <c r="I102" s="175"/>
      <c r="J102" s="175"/>
      <c r="K102" s="175"/>
      <c r="L102" s="175"/>
      <c r="M102" s="175"/>
      <c r="N102" s="175"/>
      <c r="O102" s="175"/>
    </row>
    <row r="103" spans="2:15" ht="20.100000000000001" customHeight="1" x14ac:dyDescent="0.25">
      <c r="B103" s="174"/>
      <c r="C103" s="174"/>
      <c r="D103" s="175"/>
      <c r="E103" s="175"/>
      <c r="F103" s="175"/>
      <c r="G103" s="175"/>
      <c r="H103" s="175"/>
      <c r="I103" s="175"/>
      <c r="J103" s="175"/>
      <c r="K103" s="175"/>
      <c r="L103" s="175"/>
      <c r="M103" s="175"/>
      <c r="N103" s="175"/>
      <c r="O103" s="175"/>
    </row>
    <row r="104" spans="2:15" ht="20.100000000000001" customHeight="1" x14ac:dyDescent="0.25">
      <c r="B104" s="174"/>
      <c r="C104" s="174"/>
      <c r="D104" s="175"/>
      <c r="E104" s="175"/>
      <c r="F104" s="175"/>
      <c r="G104" s="175"/>
      <c r="H104" s="175"/>
      <c r="I104" s="175"/>
      <c r="J104" s="175"/>
      <c r="K104" s="175"/>
      <c r="L104" s="175"/>
      <c r="M104" s="175"/>
      <c r="N104" s="175"/>
      <c r="O104" s="175"/>
    </row>
    <row r="105" spans="2:15" ht="20.100000000000001" customHeight="1" x14ac:dyDescent="0.25">
      <c r="B105" s="174"/>
      <c r="C105" s="174"/>
      <c r="D105" s="175"/>
      <c r="E105" s="175"/>
      <c r="F105" s="175"/>
      <c r="G105" s="175"/>
      <c r="H105" s="175"/>
      <c r="I105" s="175"/>
      <c r="J105" s="175"/>
      <c r="K105" s="175"/>
      <c r="L105" s="175"/>
      <c r="M105" s="175"/>
      <c r="N105" s="175"/>
      <c r="O105" s="175"/>
    </row>
  </sheetData>
  <sheetProtection algorithmName="SHA-512" hashValue="Skt3deTKTdNpVnWPUflG/p50rfqzuGELyrSPyxACeM7fAlWOQA34k+ZUtYiwALmvZTunJ18IyjpFi93L0DzVoA==" saltValue="WN32a0qFcONcwCb30fGewA==" spinCount="100000" sheet="1" objects="1" scenarios="1" formatRows="0" insertRows="0" deleteRows="0"/>
  <phoneticPr fontId="29" type="noConversion"/>
  <printOptions horizontalCentered="1" gridLines="1"/>
  <pageMargins left="0.31496062992125984" right="0.31496062992125984" top="0.31496062992125984" bottom="0.31496062992125984" header="0.31496062992125984" footer="0.31496062992125984"/>
  <pageSetup paperSize="9" scale="54" fitToHeight="0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C03E4-6CE2-4EC6-92E7-ED167B64FAB7}">
  <sheetPr>
    <pageSetUpPr autoPageBreaks="0" fitToPage="1"/>
  </sheetPr>
  <dimension ref="B1:P105"/>
  <sheetViews>
    <sheetView showGridLines="0" showRowColHeaders="0" zoomScaleNormal="100" zoomScaleSheetLayoutView="85" workbookViewId="0">
      <pane ySplit="5" topLeftCell="A6" activePane="bottomLeft" state="frozen"/>
      <selection pane="bottomLeft" activeCell="A6" sqref="A6"/>
    </sheetView>
  </sheetViews>
  <sheetFormatPr defaultColWidth="9.140625" defaultRowHeight="15" x14ac:dyDescent="0.25"/>
  <cols>
    <col min="1" max="1" width="3.7109375" style="29" customWidth="1"/>
    <col min="2" max="3" width="25.7109375" style="29" customWidth="1"/>
    <col min="4" max="15" width="10.7109375" style="38" customWidth="1"/>
    <col min="16" max="16" width="3.7109375" style="29" customWidth="1"/>
    <col min="17" max="16384" width="9.140625" style="29"/>
  </cols>
  <sheetData>
    <row r="1" spans="2:16" ht="6.75" customHeight="1" x14ac:dyDescent="0.25"/>
    <row r="2" spans="2:16" s="71" customFormat="1" ht="19.899999999999999" customHeight="1" x14ac:dyDescent="0.25">
      <c r="B2" s="172" t="s">
        <v>0</v>
      </c>
      <c r="C2" s="68"/>
      <c r="D2" s="69"/>
      <c r="E2" s="69"/>
      <c r="F2" s="69"/>
      <c r="G2" s="69"/>
      <c r="H2" s="69"/>
      <c r="I2" s="69"/>
      <c r="J2" s="69"/>
      <c r="K2" s="70"/>
      <c r="L2" s="70"/>
      <c r="M2" s="69"/>
      <c r="N2" s="69"/>
      <c r="O2" s="69"/>
    </row>
    <row r="3" spans="2:16" s="75" customFormat="1" ht="24" customHeight="1" x14ac:dyDescent="0.25">
      <c r="B3" s="173" t="s">
        <v>12</v>
      </c>
      <c r="C3" s="72"/>
      <c r="D3" s="73"/>
      <c r="E3" s="73"/>
      <c r="F3" s="73"/>
      <c r="G3" s="73"/>
      <c r="H3" s="73"/>
      <c r="I3" s="73"/>
      <c r="J3" s="73"/>
      <c r="K3" s="74"/>
      <c r="L3" s="74"/>
      <c r="M3" s="73"/>
      <c r="N3" s="73"/>
      <c r="O3" s="73"/>
    </row>
    <row r="4" spans="2:16" ht="5.0999999999999996" customHeight="1" x14ac:dyDescent="0.25"/>
    <row r="5" spans="2:16" ht="24.95" customHeight="1" x14ac:dyDescent="0.25">
      <c r="B5" s="76" t="s">
        <v>2</v>
      </c>
      <c r="C5" s="76" t="s">
        <v>16</v>
      </c>
      <c r="D5" s="77" t="str">
        <f>IFERROR(Calc!F9,"")</f>
        <v>Jan 2022</v>
      </c>
      <c r="E5" s="77" t="str">
        <f>IFERROR(Calc!G9,"")</f>
        <v>Feb 2022</v>
      </c>
      <c r="F5" s="77" t="str">
        <f>IFERROR(Calc!H9,"")</f>
        <v>Mar 2022</v>
      </c>
      <c r="G5" s="77" t="str">
        <f>IFERROR(Calc!I9,"")</f>
        <v>Apr 2022</v>
      </c>
      <c r="H5" s="77" t="str">
        <f>IFERROR(Calc!J9,"")</f>
        <v>May 2022</v>
      </c>
      <c r="I5" s="77" t="str">
        <f>IFERROR(Calc!K9,"")</f>
        <v>Jun 2022</v>
      </c>
      <c r="J5" s="77" t="str">
        <f>IFERROR(Calc!L9,"")</f>
        <v>Jul 2022</v>
      </c>
      <c r="K5" s="77" t="str">
        <f>IFERROR(Calc!M9,"")</f>
        <v>Aug 2022</v>
      </c>
      <c r="L5" s="77" t="str">
        <f>IFERROR(Calc!N9,"")</f>
        <v>Sep 2022</v>
      </c>
      <c r="M5" s="77" t="str">
        <f>IFERROR(Calc!O9,"")</f>
        <v>Oct 2022</v>
      </c>
      <c r="N5" s="77" t="str">
        <f>IFERROR(Calc!P9,"")</f>
        <v>Nov 2022</v>
      </c>
      <c r="O5" s="77" t="str">
        <f>IFERROR(Calc!Q9,"")</f>
        <v>Dec 2022</v>
      </c>
    </row>
    <row r="6" spans="2:16" ht="20.100000000000001" customHeight="1" x14ac:dyDescent="0.25">
      <c r="B6" s="163" t="str">
        <f>IFERROR(IF(LEN(INDEX(Estimated!$B$6:$O$105,Calc!$B10,1))=0,"",INDEX(Estimated!$B$6:$O$105,Calc!$B10,1)),"")</f>
        <v>Employee Costs</v>
      </c>
      <c r="C6" s="164" t="str">
        <f>IFERROR(IF(LEN(INDEX(Estimated!$B$6:$O$105,Calc!$B10,2))=0,"",INDEX(Estimated!$B$6:$O$105,Calc!$B10,2)),"")</f>
        <v>International salaries</v>
      </c>
      <c r="D6" s="80">
        <v>260</v>
      </c>
      <c r="E6" s="80">
        <v>312</v>
      </c>
      <c r="F6" s="80">
        <v>312</v>
      </c>
      <c r="G6" s="80">
        <v>312</v>
      </c>
      <c r="H6" s="80">
        <v>312</v>
      </c>
      <c r="I6" s="80">
        <v>374.4</v>
      </c>
      <c r="J6" s="80">
        <v>336.96</v>
      </c>
      <c r="K6" s="80">
        <v>303.26400000000001</v>
      </c>
      <c r="L6" s="80">
        <v>303.26400000000001</v>
      </c>
      <c r="M6" s="80">
        <v>303.26400000000001</v>
      </c>
      <c r="N6" s="80">
        <v>333.59039999999999</v>
      </c>
      <c r="O6" s="81">
        <v>333.59039999999999</v>
      </c>
      <c r="P6" s="32"/>
    </row>
    <row r="7" spans="2:16" ht="20.100000000000001" customHeight="1" x14ac:dyDescent="0.25">
      <c r="B7" s="165" t="str">
        <f>IFERROR(IF(LEN(INDEX(Estimated!$B$6:$O$105,Calc!$B11,1))=0,"",INDEX(Estimated!$B$6:$O$105,Calc!$B11,1)),"")</f>
        <v>Employee Costs</v>
      </c>
      <c r="C7" s="166" t="str">
        <f>IFERROR(IF(LEN(INDEX(Estimated!$B$6:$O$105,Calc!$B11,2))=0,"",INDEX(Estimated!$B$6:$O$105,Calc!$B11,2)),"")</f>
        <v>India process Salaries</v>
      </c>
      <c r="D7" s="84">
        <v>11</v>
      </c>
      <c r="E7" s="84">
        <v>12.1</v>
      </c>
      <c r="F7" s="84">
        <v>14.52</v>
      </c>
      <c r="G7" s="84">
        <v>14.52</v>
      </c>
      <c r="H7" s="84">
        <v>14.52</v>
      </c>
      <c r="I7" s="84">
        <v>14.52</v>
      </c>
      <c r="J7" s="84">
        <v>14.52</v>
      </c>
      <c r="K7" s="84">
        <v>11.616</v>
      </c>
      <c r="L7" s="84">
        <v>13.9392</v>
      </c>
      <c r="M7" s="84">
        <v>16.727039999999999</v>
      </c>
      <c r="N7" s="84">
        <v>20.072447999999998</v>
      </c>
      <c r="O7" s="85">
        <v>20.072447999999998</v>
      </c>
      <c r="P7" s="32"/>
    </row>
    <row r="8" spans="2:16" ht="20.100000000000001" customHeight="1" x14ac:dyDescent="0.25">
      <c r="B8" s="165" t="str">
        <f>IFERROR(IF(LEN(INDEX(Estimated!$B$6:$O$105,Calc!$B12,1))=0,"",INDEX(Estimated!$B$6:$O$105,Calc!$B12,1)),"")</f>
        <v>Employee Costs</v>
      </c>
      <c r="C8" s="166" t="str">
        <f>IFERROR(IF(LEN(INDEX(Estimated!$B$6:$O$105,Calc!$B12,2))=0,"",INDEX(Estimated!$B$6:$O$105,Calc!$B12,2)),"")</f>
        <v>Other Salaries</v>
      </c>
      <c r="D8" s="84">
        <v>240</v>
      </c>
      <c r="E8" s="84">
        <v>240</v>
      </c>
      <c r="F8" s="84">
        <v>216</v>
      </c>
      <c r="G8" s="84">
        <v>194.4</v>
      </c>
      <c r="H8" s="84">
        <v>155.52000000000001</v>
      </c>
      <c r="I8" s="84">
        <v>139.96800000000002</v>
      </c>
      <c r="J8" s="84">
        <v>153.96480000000003</v>
      </c>
      <c r="K8" s="84">
        <v>153.96480000000003</v>
      </c>
      <c r="L8" s="84">
        <v>123.17184000000002</v>
      </c>
      <c r="M8" s="84">
        <v>135.48902400000003</v>
      </c>
      <c r="N8" s="84">
        <v>162.58682880000003</v>
      </c>
      <c r="O8" s="85">
        <v>178.84551168000002</v>
      </c>
      <c r="P8" s="32"/>
    </row>
    <row r="9" spans="2:16" ht="20.100000000000001" customHeight="1" x14ac:dyDescent="0.25">
      <c r="B9" s="165" t="str">
        <f>IFERROR(IF(LEN(INDEX(Estimated!$B$6:$O$105,Calc!$B13,1))=0,"",INDEX(Estimated!$B$6:$O$105,Calc!$B13,1)),"")</f>
        <v>Employee Costs</v>
      </c>
      <c r="C9" s="166" t="str">
        <f>IFERROR(IF(LEN(INDEX(Estimated!$B$6:$O$105,Calc!$B13,2))=0,"",INDEX(Estimated!$B$6:$O$105,Calc!$B13,2)),"")</f>
        <v>Employee Benefit Expenses</v>
      </c>
      <c r="D9" s="84">
        <v>43.61</v>
      </c>
      <c r="E9" s="84">
        <v>41.748000000000005</v>
      </c>
      <c r="F9" s="84">
        <v>67.737599999999986</v>
      </c>
      <c r="G9" s="84">
        <v>44.029439999999994</v>
      </c>
      <c r="H9" s="84">
        <v>42.448895999999998</v>
      </c>
      <c r="I9" s="84">
        <v>30.707711999999994</v>
      </c>
      <c r="J9" s="84">
        <v>36.957634559999995</v>
      </c>
      <c r="K9" s="84">
        <v>26.466435071999999</v>
      </c>
      <c r="L9" s="84">
        <v>27.932818636799997</v>
      </c>
      <c r="M9" s="84">
        <v>30.21465452544</v>
      </c>
      <c r="N9" s="84">
        <v>20.961416577024</v>
      </c>
      <c r="O9" s="85">
        <v>22.4343809851392</v>
      </c>
      <c r="P9" s="32"/>
    </row>
    <row r="10" spans="2:16" ht="20.100000000000001" customHeight="1" x14ac:dyDescent="0.25">
      <c r="B10" s="165" t="str">
        <f>IFERROR(IF(LEN(INDEX(Estimated!$B$6:$O$105,Calc!$B14,1))=0,"",INDEX(Estimated!$B$6:$O$105,Calc!$B14,1)),"")</f>
        <v>Office Costs</v>
      </c>
      <c r="C10" s="166" t="str">
        <f>IFERROR(IF(LEN(INDEX(Estimated!$B$6:$O$105,Calc!$B14,2))=0,"",INDEX(Estimated!$B$6:$O$105,Calc!$B14,2)),"")</f>
        <v>Security Charges</v>
      </c>
      <c r="D10" s="84">
        <v>427</v>
      </c>
      <c r="E10" s="84">
        <v>469.7</v>
      </c>
      <c r="F10" s="84">
        <v>516.66999999999996</v>
      </c>
      <c r="G10" s="84">
        <v>516.66999999999996</v>
      </c>
      <c r="H10" s="84">
        <v>465.00299999999999</v>
      </c>
      <c r="I10" s="84">
        <v>465.00299999999999</v>
      </c>
      <c r="J10" s="84">
        <v>558.00360000000001</v>
      </c>
      <c r="K10" s="84">
        <v>558.00360000000001</v>
      </c>
      <c r="L10" s="84">
        <v>446.40287999999998</v>
      </c>
      <c r="M10" s="84">
        <v>446.40287999999998</v>
      </c>
      <c r="N10" s="84">
        <v>535.68345599999998</v>
      </c>
      <c r="O10" s="85">
        <v>642.82014719999995</v>
      </c>
      <c r="P10" s="32"/>
    </row>
    <row r="11" spans="2:16" ht="20.100000000000001" customHeight="1" x14ac:dyDescent="0.25">
      <c r="B11" s="165" t="str">
        <f>IFERROR(IF(LEN(INDEX(Estimated!$B$6:$O$105,Calc!$B15,1))=0,"",INDEX(Estimated!$B$6:$O$105,Calc!$B15,1)),"")</f>
        <v>Office Costs</v>
      </c>
      <c r="C11" s="166" t="str">
        <f>IFERROR(IF(LEN(INDEX(Estimated!$B$6:$O$105,Calc!$B15,2))=0,"",INDEX(Estimated!$B$6:$O$105,Calc!$B15,2)),"")</f>
        <v>Office lease</v>
      </c>
      <c r="D11" s="84">
        <v>90</v>
      </c>
      <c r="E11" s="84">
        <v>81</v>
      </c>
      <c r="F11" s="84">
        <v>81</v>
      </c>
      <c r="G11" s="84">
        <v>81</v>
      </c>
      <c r="H11" s="84">
        <v>64.8</v>
      </c>
      <c r="I11" s="84">
        <v>64.8</v>
      </c>
      <c r="J11" s="84">
        <v>77.759999999999991</v>
      </c>
      <c r="K11" s="84">
        <v>85.535999999999987</v>
      </c>
      <c r="L11" s="84">
        <v>76.982399999999984</v>
      </c>
      <c r="M11" s="84">
        <v>92.378879999999981</v>
      </c>
      <c r="N11" s="84">
        <v>92.378879999999981</v>
      </c>
      <c r="O11" s="85">
        <v>83.140991999999983</v>
      </c>
      <c r="P11" s="32"/>
    </row>
    <row r="12" spans="2:16" ht="20.100000000000001" customHeight="1" x14ac:dyDescent="0.25">
      <c r="B12" s="165" t="str">
        <f>IFERROR(IF(LEN(INDEX(Estimated!$B$6:$O$105,Calc!$B16,1))=0,"",INDEX(Estimated!$B$6:$O$105,Calc!$B16,1)),"")</f>
        <v>Office Costs</v>
      </c>
      <c r="C12" s="166" t="str">
        <f>IFERROR(IF(LEN(INDEX(Estimated!$B$6:$O$105,Calc!$B16,2))=0,"",INDEX(Estimated!$B$6:$O$105,Calc!$B16,2)),"")</f>
        <v>Furniture Purchase</v>
      </c>
      <c r="D12" s="84">
        <v>160.08000000000001</v>
      </c>
      <c r="E12" s="84">
        <v>165.6</v>
      </c>
      <c r="F12" s="84">
        <v>111.28319999999999</v>
      </c>
      <c r="G12" s="84">
        <v>112.07807999999999</v>
      </c>
      <c r="H12" s="84">
        <v>103.73183999999999</v>
      </c>
      <c r="I12" s="84">
        <v>85.847039999999993</v>
      </c>
      <c r="J12" s="84">
        <v>73.828454399999998</v>
      </c>
      <c r="K12" s="84">
        <v>65.243750399999996</v>
      </c>
      <c r="L12" s="84">
        <v>64.127738879999981</v>
      </c>
      <c r="M12" s="84">
        <v>60.496409087999993</v>
      </c>
      <c r="N12" s="84">
        <v>59.105687039999992</v>
      </c>
      <c r="O12" s="85">
        <v>59.453367551999989</v>
      </c>
      <c r="P12" s="32"/>
    </row>
    <row r="13" spans="2:16" ht="20.100000000000001" customHeight="1" x14ac:dyDescent="0.25">
      <c r="B13" s="165" t="str">
        <f>IFERROR(IF(LEN(INDEX(Estimated!$B$6:$O$105,Calc!$B17,1))=0,"",INDEX(Estimated!$B$6:$O$105,Calc!$B17,1)),"")</f>
        <v>Vehicle Maintainance</v>
      </c>
      <c r="C13" s="166" t="str">
        <f>IFERROR(IF(LEN(INDEX(Estimated!$B$6:$O$105,Calc!$B17,2))=0,"",INDEX(Estimated!$B$6:$O$105,Calc!$B17,2)),"")</f>
        <v>Santro Petrol</v>
      </c>
      <c r="D13" s="84">
        <v>218</v>
      </c>
      <c r="E13" s="84">
        <v>261.60000000000002</v>
      </c>
      <c r="F13" s="84">
        <v>287.76000000000005</v>
      </c>
      <c r="G13" s="84">
        <v>287.76000000000005</v>
      </c>
      <c r="H13" s="84">
        <v>287.76000000000005</v>
      </c>
      <c r="I13" s="84">
        <v>345.31200000000007</v>
      </c>
      <c r="J13" s="84">
        <v>379.84320000000008</v>
      </c>
      <c r="K13" s="84">
        <v>379.84320000000008</v>
      </c>
      <c r="L13" s="84">
        <v>455.81184000000013</v>
      </c>
      <c r="M13" s="84">
        <v>501.39302400000014</v>
      </c>
      <c r="N13" s="84">
        <v>551.5323264000001</v>
      </c>
      <c r="O13" s="85">
        <v>606.68555904000016</v>
      </c>
      <c r="P13" s="32"/>
    </row>
    <row r="14" spans="2:16" ht="20.100000000000001" customHeight="1" x14ac:dyDescent="0.25">
      <c r="B14" s="165" t="str">
        <f>IFERROR(IF(LEN(INDEX(Estimated!$B$6:$O$105,Calc!$B18,1))=0,"",INDEX(Estimated!$B$6:$O$105,Calc!$B18,1)),"")</f>
        <v>Vehicle Maintainance</v>
      </c>
      <c r="C14" s="166" t="str">
        <f>IFERROR(IF(LEN(INDEX(Estimated!$B$6:$O$105,Calc!$B18,2))=0,"",INDEX(Estimated!$B$6:$O$105,Calc!$B18,2)),"")</f>
        <v>Santro Maintenance</v>
      </c>
      <c r="D14" s="84">
        <v>411</v>
      </c>
      <c r="E14" s="84">
        <v>452.1</v>
      </c>
      <c r="F14" s="84">
        <v>497.31000000000006</v>
      </c>
      <c r="G14" s="84">
        <v>497.31000000000006</v>
      </c>
      <c r="H14" s="84">
        <v>397.84800000000007</v>
      </c>
      <c r="I14" s="84">
        <v>358.06320000000005</v>
      </c>
      <c r="J14" s="84">
        <v>393.86952000000008</v>
      </c>
      <c r="K14" s="84">
        <v>393.86952000000008</v>
      </c>
      <c r="L14" s="84">
        <v>472.64342400000004</v>
      </c>
      <c r="M14" s="84">
        <v>472.64342400000004</v>
      </c>
      <c r="N14" s="84">
        <v>378.11473920000003</v>
      </c>
      <c r="O14" s="85">
        <v>340.30326528000006</v>
      </c>
      <c r="P14" s="32"/>
    </row>
    <row r="15" spans="2:16" ht="20.100000000000001" customHeight="1" x14ac:dyDescent="0.25">
      <c r="B15" s="165" t="str">
        <f>IFERROR(IF(LEN(INDEX(Estimated!$B$6:$O$105,Calc!$B19,1))=0,"",INDEX(Estimated!$B$6:$O$105,Calc!$B19,1)),"")</f>
        <v>Vehicle Maintainance</v>
      </c>
      <c r="C15" s="166" t="str">
        <f>IFERROR(IF(LEN(INDEX(Estimated!$B$6:$O$105,Calc!$B19,2))=0,"",INDEX(Estimated!$B$6:$O$105,Calc!$B19,2)),"")</f>
        <v>Micra Maintainance</v>
      </c>
      <c r="D15" s="84">
        <v>18</v>
      </c>
      <c r="E15" s="84">
        <v>19.8</v>
      </c>
      <c r="F15" s="84">
        <v>21.78</v>
      </c>
      <c r="G15" s="84">
        <v>26.136000000000003</v>
      </c>
      <c r="H15" s="84">
        <v>23.522400000000001</v>
      </c>
      <c r="I15" s="84">
        <v>28.226880000000001</v>
      </c>
      <c r="J15" s="84">
        <v>22.581504000000002</v>
      </c>
      <c r="K15" s="84">
        <v>20.323353600000001</v>
      </c>
      <c r="L15" s="84">
        <v>22.355688960000002</v>
      </c>
      <c r="M15" s="84">
        <v>17.884551168000002</v>
      </c>
      <c r="N15" s="84">
        <v>17.884551168000002</v>
      </c>
      <c r="O15" s="85">
        <v>19.673006284800003</v>
      </c>
      <c r="P15" s="32"/>
    </row>
    <row r="16" spans="2:16" ht="20.100000000000001" customHeight="1" x14ac:dyDescent="0.25">
      <c r="B16" s="165" t="str">
        <f>IFERROR(IF(LEN(INDEX(Estimated!$B$6:$O$105,Calc!$B20,1))=0,"",INDEX(Estimated!$B$6:$O$105,Calc!$B20,1)),"")</f>
        <v>Food and Beverages</v>
      </c>
      <c r="C16" s="166" t="str">
        <f>IFERROR(IF(LEN(INDEX(Estimated!$B$6:$O$105,Calc!$B20,2))=0,"",INDEX(Estimated!$B$6:$O$105,Calc!$B20,2)),"")</f>
        <v>Employee Food Expenses</v>
      </c>
      <c r="D16" s="84">
        <v>367</v>
      </c>
      <c r="E16" s="84">
        <v>293.60000000000002</v>
      </c>
      <c r="F16" s="84">
        <v>352.32000000000005</v>
      </c>
      <c r="G16" s="84">
        <v>422.78399999999999</v>
      </c>
      <c r="H16" s="84">
        <v>338.22719999999998</v>
      </c>
      <c r="I16" s="84">
        <v>405.87263999999993</v>
      </c>
      <c r="J16" s="84">
        <v>324.69811199999992</v>
      </c>
      <c r="K16" s="84">
        <v>389.63773439999989</v>
      </c>
      <c r="L16" s="84">
        <v>311.71018751999992</v>
      </c>
      <c r="M16" s="84">
        <v>374.05222502399994</v>
      </c>
      <c r="N16" s="84">
        <v>336.64700252159997</v>
      </c>
      <c r="O16" s="85">
        <v>403.97640302591998</v>
      </c>
      <c r="P16" s="32"/>
    </row>
    <row r="17" spans="2:16" ht="20.100000000000001" customHeight="1" x14ac:dyDescent="0.25">
      <c r="B17" s="165" t="str">
        <f>IFERROR(IF(LEN(INDEX(Estimated!$B$6:$O$105,Calc!$B21,1))=0,"",INDEX(Estimated!$B$6:$O$105,Calc!$B21,1)),"")</f>
        <v>Food and Beverages</v>
      </c>
      <c r="C17" s="166" t="str">
        <f>IFERROR(IF(LEN(INDEX(Estimated!$B$6:$O$105,Calc!$B21,2))=0,"",INDEX(Estimated!$B$6:$O$105,Calc!$B21,2)),"")</f>
        <v>Extra Food Expenses</v>
      </c>
      <c r="D17" s="84">
        <v>405</v>
      </c>
      <c r="E17" s="84">
        <v>364.5</v>
      </c>
      <c r="F17" s="84">
        <v>291.60000000000002</v>
      </c>
      <c r="G17" s="84">
        <v>349.92</v>
      </c>
      <c r="H17" s="84">
        <v>314.928</v>
      </c>
      <c r="I17" s="84">
        <v>283.43520000000001</v>
      </c>
      <c r="J17" s="84">
        <v>311.77872000000002</v>
      </c>
      <c r="K17" s="84">
        <v>374.13446400000004</v>
      </c>
      <c r="L17" s="84">
        <v>336.72101760000004</v>
      </c>
      <c r="M17" s="84">
        <v>269.37681408000003</v>
      </c>
      <c r="N17" s="84">
        <v>242.43913267200006</v>
      </c>
      <c r="O17" s="85">
        <v>193.95130613760006</v>
      </c>
      <c r="P17" s="32"/>
    </row>
    <row r="18" spans="2:16" ht="20.100000000000001" customHeight="1" x14ac:dyDescent="0.25">
      <c r="B18" s="165" t="str">
        <f>IFERROR(IF(LEN(INDEX(Estimated!$B$6:$O$105,Calc!$B22,1))=0,"",INDEX(Estimated!$B$6:$O$105,Calc!$B22,1)),"")</f>
        <v/>
      </c>
      <c r="C18" s="166" t="str">
        <f>IFERROR(IF(LEN(INDEX(Estimated!$B$6:$O$105,Calc!$B22,2))=0,"",INDEX(Estimated!$B$6:$O$105,Calc!$B22,2)),"")</f>
        <v/>
      </c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5"/>
      <c r="P18" s="32"/>
    </row>
    <row r="19" spans="2:16" ht="20.100000000000001" customHeight="1" x14ac:dyDescent="0.25">
      <c r="B19" s="165" t="str">
        <f>IFERROR(IF(LEN(INDEX(Estimated!$B$6:$O$105,Calc!$B23,1))=0,"",INDEX(Estimated!$B$6:$O$105,Calc!$B23,1)),"")</f>
        <v/>
      </c>
      <c r="C19" s="166" t="str">
        <f>IFERROR(IF(LEN(INDEX(Estimated!$B$6:$O$105,Calc!$B23,2))=0,"",INDEX(Estimated!$B$6:$O$105,Calc!$B23,2)),"")</f>
        <v/>
      </c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5"/>
      <c r="P19" s="32"/>
    </row>
    <row r="20" spans="2:16" ht="20.100000000000001" customHeight="1" x14ac:dyDescent="0.25">
      <c r="B20" s="167" t="str">
        <f>IFERROR(IF(LEN(INDEX(Estimated!$B$6:$O$105,Calc!$B24,1))=0,"",INDEX(Estimated!$B$6:$O$105,Calc!$B24,1)),"")</f>
        <v/>
      </c>
      <c r="C20" s="168" t="str">
        <f>IFERROR(IF(LEN(INDEX(Estimated!$B$6:$O$105,Calc!$B24,2))=0,"",INDEX(Estimated!$B$6:$O$105,Calc!$B24,2)),"")</f>
        <v/>
      </c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9"/>
      <c r="P20" s="32"/>
    </row>
    <row r="21" spans="2:16" ht="20.100000000000001" customHeight="1" x14ac:dyDescent="0.25">
      <c r="B21" s="178"/>
      <c r="C21" s="178"/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  <c r="O21" s="175"/>
      <c r="P21" s="32"/>
    </row>
    <row r="22" spans="2:16" ht="20.100000000000001" customHeight="1" x14ac:dyDescent="0.25">
      <c r="B22" s="178"/>
      <c r="C22" s="178"/>
      <c r="D22" s="175"/>
      <c r="E22" s="175"/>
      <c r="F22" s="175"/>
      <c r="G22" s="175"/>
      <c r="H22" s="175"/>
      <c r="I22" s="175"/>
      <c r="J22" s="175"/>
      <c r="K22" s="175"/>
      <c r="L22" s="175"/>
      <c r="M22" s="175"/>
      <c r="N22" s="175"/>
      <c r="O22" s="175"/>
      <c r="P22" s="32"/>
    </row>
    <row r="23" spans="2:16" ht="20.100000000000001" customHeight="1" x14ac:dyDescent="0.25">
      <c r="B23" s="178"/>
      <c r="C23" s="178"/>
      <c r="D23" s="175"/>
      <c r="E23" s="175"/>
      <c r="F23" s="175"/>
      <c r="G23" s="175"/>
      <c r="H23" s="175"/>
      <c r="I23" s="175"/>
      <c r="J23" s="175"/>
      <c r="K23" s="175"/>
      <c r="L23" s="175"/>
      <c r="M23" s="175"/>
      <c r="N23" s="175"/>
      <c r="O23" s="175"/>
      <c r="P23" s="32"/>
    </row>
    <row r="24" spans="2:16" ht="20.100000000000001" customHeight="1" x14ac:dyDescent="0.25">
      <c r="B24" s="178"/>
      <c r="C24" s="178"/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  <c r="O24" s="175"/>
      <c r="P24" s="32"/>
    </row>
    <row r="25" spans="2:16" ht="20.100000000000001" customHeight="1" x14ac:dyDescent="0.25">
      <c r="B25" s="178"/>
      <c r="C25" s="178"/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32"/>
    </row>
    <row r="26" spans="2:16" ht="20.100000000000001" customHeight="1" x14ac:dyDescent="0.25">
      <c r="B26" s="178"/>
      <c r="C26" s="178"/>
      <c r="D26" s="175"/>
      <c r="E26" s="175"/>
      <c r="F26" s="175"/>
      <c r="G26" s="175"/>
      <c r="H26" s="175"/>
      <c r="I26" s="175"/>
      <c r="J26" s="175"/>
      <c r="K26" s="175"/>
      <c r="L26" s="175"/>
      <c r="M26" s="175"/>
      <c r="N26" s="175"/>
      <c r="O26" s="175"/>
      <c r="P26" s="32"/>
    </row>
    <row r="27" spans="2:16" ht="20.100000000000001" customHeight="1" x14ac:dyDescent="0.25">
      <c r="B27" s="178"/>
      <c r="C27" s="178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  <c r="O27" s="175"/>
      <c r="P27" s="32"/>
    </row>
    <row r="28" spans="2:16" ht="20.100000000000001" customHeight="1" x14ac:dyDescent="0.25">
      <c r="B28" s="178"/>
      <c r="C28" s="178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32"/>
    </row>
    <row r="29" spans="2:16" ht="20.100000000000001" customHeight="1" x14ac:dyDescent="0.25">
      <c r="B29" s="178"/>
      <c r="C29" s="178"/>
      <c r="D29" s="175"/>
      <c r="E29" s="175"/>
      <c r="F29" s="175"/>
      <c r="G29" s="175"/>
      <c r="H29" s="175"/>
      <c r="I29" s="175"/>
      <c r="J29" s="175"/>
      <c r="K29" s="175"/>
      <c r="L29" s="175"/>
      <c r="M29" s="175"/>
      <c r="N29" s="175"/>
      <c r="O29" s="175"/>
      <c r="P29" s="32"/>
    </row>
    <row r="30" spans="2:16" ht="20.100000000000001" customHeight="1" x14ac:dyDescent="0.25">
      <c r="B30" s="178"/>
      <c r="C30" s="178"/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32"/>
    </row>
    <row r="31" spans="2:16" ht="20.100000000000001" customHeight="1" x14ac:dyDescent="0.25">
      <c r="B31" s="178"/>
      <c r="C31" s="178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32"/>
    </row>
    <row r="32" spans="2:16" ht="20.100000000000001" customHeight="1" x14ac:dyDescent="0.25">
      <c r="B32" s="178"/>
      <c r="C32" s="178"/>
      <c r="D32" s="175"/>
      <c r="E32" s="175"/>
      <c r="F32" s="175"/>
      <c r="G32" s="175"/>
      <c r="H32" s="175"/>
      <c r="I32" s="175"/>
      <c r="J32" s="175"/>
      <c r="K32" s="175"/>
      <c r="L32" s="175"/>
      <c r="M32" s="175"/>
      <c r="N32" s="175"/>
      <c r="O32" s="175"/>
      <c r="P32" s="32"/>
    </row>
    <row r="33" spans="2:16" ht="20.100000000000001" customHeight="1" x14ac:dyDescent="0.25">
      <c r="B33" s="178"/>
      <c r="C33" s="178"/>
      <c r="D33" s="175"/>
      <c r="E33" s="175"/>
      <c r="F33" s="175"/>
      <c r="G33" s="175"/>
      <c r="H33" s="175"/>
      <c r="I33" s="175"/>
      <c r="J33" s="175"/>
      <c r="K33" s="175"/>
      <c r="L33" s="175"/>
      <c r="M33" s="175"/>
      <c r="N33" s="175"/>
      <c r="O33" s="175"/>
      <c r="P33" s="32"/>
    </row>
    <row r="34" spans="2:16" ht="20.100000000000001" customHeight="1" x14ac:dyDescent="0.25">
      <c r="B34" s="178"/>
      <c r="C34" s="178"/>
      <c r="D34" s="175"/>
      <c r="E34" s="175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32"/>
    </row>
    <row r="35" spans="2:16" ht="20.100000000000001" customHeight="1" x14ac:dyDescent="0.25">
      <c r="B35" s="178"/>
      <c r="C35" s="178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32"/>
    </row>
    <row r="36" spans="2:16" ht="20.100000000000001" customHeight="1" x14ac:dyDescent="0.25">
      <c r="B36" s="178"/>
      <c r="C36" s="178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32"/>
    </row>
    <row r="37" spans="2:16" ht="20.100000000000001" customHeight="1" x14ac:dyDescent="0.25">
      <c r="B37" s="178"/>
      <c r="C37" s="178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32"/>
    </row>
    <row r="38" spans="2:16" ht="20.100000000000001" customHeight="1" x14ac:dyDescent="0.25">
      <c r="B38" s="178"/>
      <c r="C38" s="178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</row>
    <row r="39" spans="2:16" ht="20.100000000000001" customHeight="1" x14ac:dyDescent="0.25">
      <c r="B39" s="178"/>
      <c r="C39" s="178"/>
      <c r="D39" s="175"/>
      <c r="E39" s="175"/>
      <c r="F39" s="175"/>
      <c r="G39" s="175"/>
      <c r="H39" s="175"/>
      <c r="I39" s="175"/>
      <c r="J39" s="175"/>
      <c r="K39" s="175"/>
      <c r="L39" s="175"/>
      <c r="M39" s="175"/>
      <c r="N39" s="175"/>
      <c r="O39" s="175"/>
    </row>
    <row r="40" spans="2:16" ht="20.100000000000001" customHeight="1" x14ac:dyDescent="0.25">
      <c r="B40" s="178"/>
      <c r="C40" s="178"/>
      <c r="D40" s="175"/>
      <c r="E40" s="175"/>
      <c r="F40" s="175"/>
      <c r="G40" s="175"/>
      <c r="H40" s="175"/>
      <c r="I40" s="175"/>
      <c r="J40" s="175"/>
      <c r="K40" s="175"/>
      <c r="L40" s="175"/>
      <c r="M40" s="175"/>
      <c r="N40" s="175"/>
      <c r="O40" s="175"/>
    </row>
    <row r="41" spans="2:16" ht="20.100000000000001" customHeight="1" x14ac:dyDescent="0.25">
      <c r="B41" s="178"/>
      <c r="C41" s="178"/>
      <c r="D41" s="175"/>
      <c r="E41" s="175"/>
      <c r="F41" s="175"/>
      <c r="G41" s="175"/>
      <c r="H41" s="175"/>
      <c r="I41" s="175"/>
      <c r="J41" s="175"/>
      <c r="K41" s="175"/>
      <c r="L41" s="175"/>
      <c r="M41" s="175"/>
      <c r="N41" s="175"/>
      <c r="O41" s="175"/>
    </row>
    <row r="42" spans="2:16" ht="20.100000000000001" customHeight="1" x14ac:dyDescent="0.25">
      <c r="B42" s="178"/>
      <c r="C42" s="178"/>
      <c r="D42" s="175"/>
      <c r="E42" s="175"/>
      <c r="F42" s="175"/>
      <c r="G42" s="175"/>
      <c r="H42" s="175"/>
      <c r="I42" s="175"/>
      <c r="J42" s="175"/>
      <c r="K42" s="175"/>
      <c r="L42" s="175"/>
      <c r="M42" s="175"/>
      <c r="N42" s="175"/>
      <c r="O42" s="175"/>
    </row>
    <row r="43" spans="2:16" ht="20.100000000000001" customHeight="1" x14ac:dyDescent="0.25">
      <c r="B43" s="178"/>
      <c r="C43" s="178"/>
      <c r="D43" s="175"/>
      <c r="E43" s="175"/>
      <c r="F43" s="175"/>
      <c r="G43" s="175"/>
      <c r="H43" s="175"/>
      <c r="I43" s="175"/>
      <c r="J43" s="175"/>
      <c r="K43" s="175"/>
      <c r="L43" s="175"/>
      <c r="M43" s="175"/>
      <c r="N43" s="175"/>
      <c r="O43" s="175"/>
    </row>
    <row r="44" spans="2:16" ht="20.100000000000001" customHeight="1" x14ac:dyDescent="0.25">
      <c r="B44" s="178"/>
      <c r="C44" s="178"/>
      <c r="D44" s="175"/>
      <c r="E44" s="175"/>
      <c r="F44" s="175"/>
      <c r="G44" s="175"/>
      <c r="H44" s="175"/>
      <c r="I44" s="175"/>
      <c r="J44" s="175"/>
      <c r="K44" s="175"/>
      <c r="L44" s="175"/>
      <c r="M44" s="175"/>
      <c r="N44" s="175"/>
      <c r="O44" s="175"/>
    </row>
    <row r="45" spans="2:16" ht="20.100000000000001" customHeight="1" x14ac:dyDescent="0.25">
      <c r="B45" s="178"/>
      <c r="C45" s="178"/>
      <c r="D45" s="175"/>
      <c r="E45" s="175"/>
      <c r="F45" s="175"/>
      <c r="G45" s="175"/>
      <c r="H45" s="175"/>
      <c r="I45" s="175"/>
      <c r="J45" s="175"/>
      <c r="K45" s="175"/>
      <c r="L45" s="175"/>
      <c r="M45" s="175"/>
      <c r="N45" s="175"/>
      <c r="O45" s="175"/>
    </row>
    <row r="46" spans="2:16" ht="20.100000000000001" customHeight="1" x14ac:dyDescent="0.25">
      <c r="B46" s="178"/>
      <c r="C46" s="178"/>
      <c r="D46" s="175"/>
      <c r="E46" s="175"/>
      <c r="F46" s="175"/>
      <c r="G46" s="175"/>
      <c r="H46" s="175"/>
      <c r="I46" s="175"/>
      <c r="J46" s="175"/>
      <c r="K46" s="175"/>
      <c r="L46" s="175"/>
      <c r="M46" s="175"/>
      <c r="N46" s="175"/>
      <c r="O46" s="175"/>
    </row>
    <row r="47" spans="2:16" ht="20.100000000000001" customHeight="1" x14ac:dyDescent="0.25">
      <c r="B47" s="178"/>
      <c r="C47" s="178"/>
      <c r="D47" s="175"/>
      <c r="E47" s="175"/>
      <c r="F47" s="175"/>
      <c r="G47" s="175"/>
      <c r="H47" s="175"/>
      <c r="I47" s="175"/>
      <c r="J47" s="175"/>
      <c r="K47" s="175"/>
      <c r="L47" s="175"/>
      <c r="M47" s="175"/>
      <c r="N47" s="175"/>
      <c r="O47" s="175"/>
    </row>
    <row r="48" spans="2:16" ht="20.100000000000001" customHeight="1" x14ac:dyDescent="0.25">
      <c r="B48" s="178"/>
      <c r="C48" s="178"/>
      <c r="D48" s="175"/>
      <c r="E48" s="175"/>
      <c r="F48" s="175"/>
      <c r="G48" s="175"/>
      <c r="H48" s="175"/>
      <c r="I48" s="175"/>
      <c r="J48" s="175"/>
      <c r="K48" s="175"/>
      <c r="L48" s="175"/>
      <c r="M48" s="175"/>
      <c r="N48" s="175"/>
      <c r="O48" s="175"/>
    </row>
    <row r="49" spans="2:15" ht="20.100000000000001" customHeight="1" x14ac:dyDescent="0.25">
      <c r="B49" s="178"/>
      <c r="C49" s="178"/>
      <c r="D49" s="175"/>
      <c r="E49" s="175"/>
      <c r="F49" s="175"/>
      <c r="G49" s="175"/>
      <c r="H49" s="175"/>
      <c r="I49" s="175"/>
      <c r="J49" s="175"/>
      <c r="K49" s="175"/>
      <c r="L49" s="175"/>
      <c r="M49" s="175"/>
      <c r="N49" s="175"/>
      <c r="O49" s="175"/>
    </row>
    <row r="50" spans="2:15" ht="20.100000000000001" customHeight="1" x14ac:dyDescent="0.25">
      <c r="B50" s="178"/>
      <c r="C50" s="178"/>
      <c r="D50" s="175"/>
      <c r="E50" s="175"/>
      <c r="F50" s="175"/>
      <c r="G50" s="175"/>
      <c r="H50" s="175"/>
      <c r="I50" s="175"/>
      <c r="J50" s="175"/>
      <c r="K50" s="175"/>
      <c r="L50" s="175"/>
      <c r="M50" s="175"/>
      <c r="N50" s="175"/>
      <c r="O50" s="175"/>
    </row>
    <row r="51" spans="2:15" ht="20.100000000000001" customHeight="1" x14ac:dyDescent="0.25">
      <c r="B51" s="178"/>
      <c r="C51" s="178"/>
      <c r="D51" s="175"/>
      <c r="E51" s="175"/>
      <c r="F51" s="175"/>
      <c r="G51" s="175"/>
      <c r="H51" s="175"/>
      <c r="I51" s="175"/>
      <c r="J51" s="175"/>
      <c r="K51" s="175"/>
      <c r="L51" s="175"/>
      <c r="M51" s="175"/>
      <c r="N51" s="175"/>
      <c r="O51" s="175"/>
    </row>
    <row r="52" spans="2:15" ht="20.100000000000001" customHeight="1" x14ac:dyDescent="0.25">
      <c r="B52" s="178"/>
      <c r="C52" s="178"/>
      <c r="D52" s="175"/>
      <c r="E52" s="175"/>
      <c r="F52" s="175"/>
      <c r="G52" s="175"/>
      <c r="H52" s="175"/>
      <c r="I52" s="175"/>
      <c r="J52" s="175"/>
      <c r="K52" s="175"/>
      <c r="L52" s="175"/>
      <c r="M52" s="175"/>
      <c r="N52" s="175"/>
      <c r="O52" s="175"/>
    </row>
    <row r="53" spans="2:15" ht="20.100000000000001" customHeight="1" x14ac:dyDescent="0.25">
      <c r="B53" s="178"/>
      <c r="C53" s="178"/>
      <c r="D53" s="175"/>
      <c r="E53" s="175"/>
      <c r="F53" s="175"/>
      <c r="G53" s="175"/>
      <c r="H53" s="175"/>
      <c r="I53" s="175"/>
      <c r="J53" s="175"/>
      <c r="K53" s="175"/>
      <c r="L53" s="175"/>
      <c r="M53" s="175"/>
      <c r="N53" s="175"/>
      <c r="O53" s="175"/>
    </row>
    <row r="54" spans="2:15" ht="20.100000000000001" customHeight="1" x14ac:dyDescent="0.25">
      <c r="B54" s="178"/>
      <c r="C54" s="178"/>
      <c r="D54" s="175"/>
      <c r="E54" s="175"/>
      <c r="F54" s="175"/>
      <c r="G54" s="175"/>
      <c r="H54" s="175"/>
      <c r="I54" s="175"/>
      <c r="J54" s="175"/>
      <c r="K54" s="175"/>
      <c r="L54" s="175"/>
      <c r="M54" s="175"/>
      <c r="N54" s="175"/>
      <c r="O54" s="175"/>
    </row>
    <row r="55" spans="2:15" ht="20.100000000000001" customHeight="1" x14ac:dyDescent="0.25">
      <c r="B55" s="178"/>
      <c r="C55" s="178"/>
      <c r="D55" s="175"/>
      <c r="E55" s="175"/>
      <c r="F55" s="175"/>
      <c r="G55" s="175"/>
      <c r="H55" s="175"/>
      <c r="I55" s="175"/>
      <c r="J55" s="175"/>
      <c r="K55" s="175"/>
      <c r="L55" s="175"/>
      <c r="M55" s="175"/>
      <c r="N55" s="175"/>
      <c r="O55" s="175"/>
    </row>
    <row r="56" spans="2:15" ht="20.100000000000001" customHeight="1" x14ac:dyDescent="0.25">
      <c r="B56" s="178"/>
      <c r="C56" s="178"/>
      <c r="D56" s="175"/>
      <c r="E56" s="175"/>
      <c r="F56" s="175"/>
      <c r="G56" s="175"/>
      <c r="H56" s="175"/>
      <c r="I56" s="175"/>
      <c r="J56" s="175"/>
      <c r="K56" s="175"/>
      <c r="L56" s="175"/>
      <c r="M56" s="175"/>
      <c r="N56" s="175"/>
      <c r="O56" s="175"/>
    </row>
    <row r="57" spans="2:15" ht="20.100000000000001" customHeight="1" x14ac:dyDescent="0.25">
      <c r="B57" s="178"/>
      <c r="C57" s="178"/>
      <c r="D57" s="175"/>
      <c r="E57" s="175"/>
      <c r="F57" s="175"/>
      <c r="G57" s="175"/>
      <c r="H57" s="175"/>
      <c r="I57" s="175"/>
      <c r="J57" s="175"/>
      <c r="K57" s="175"/>
      <c r="L57" s="175"/>
      <c r="M57" s="175"/>
      <c r="N57" s="175"/>
      <c r="O57" s="175"/>
    </row>
    <row r="58" spans="2:15" ht="20.100000000000001" customHeight="1" x14ac:dyDescent="0.25">
      <c r="B58" s="178"/>
      <c r="C58" s="178"/>
      <c r="D58" s="175"/>
      <c r="E58" s="175"/>
      <c r="F58" s="175"/>
      <c r="G58" s="175"/>
      <c r="H58" s="175"/>
      <c r="I58" s="175"/>
      <c r="J58" s="175"/>
      <c r="K58" s="175"/>
      <c r="L58" s="175"/>
      <c r="M58" s="175"/>
      <c r="N58" s="175"/>
      <c r="O58" s="175"/>
    </row>
    <row r="59" spans="2:15" ht="20.100000000000001" customHeight="1" x14ac:dyDescent="0.25">
      <c r="B59" s="179"/>
      <c r="C59" s="179"/>
      <c r="D59" s="177"/>
      <c r="E59" s="177"/>
      <c r="F59" s="177"/>
      <c r="G59" s="177"/>
      <c r="H59" s="177"/>
      <c r="I59" s="177"/>
      <c r="J59" s="177"/>
      <c r="K59" s="177"/>
      <c r="L59" s="177"/>
      <c r="M59" s="177"/>
      <c r="N59" s="177"/>
      <c r="O59" s="177"/>
    </row>
    <row r="60" spans="2:15" ht="20.100000000000001" customHeight="1" x14ac:dyDescent="0.25">
      <c r="B60" s="178"/>
      <c r="C60" s="178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</row>
    <row r="61" spans="2:15" ht="20.100000000000001" customHeight="1" x14ac:dyDescent="0.25">
      <c r="B61" s="178"/>
      <c r="C61" s="178"/>
      <c r="D61" s="175"/>
      <c r="E61" s="175"/>
      <c r="F61" s="175"/>
      <c r="G61" s="175"/>
      <c r="H61" s="175"/>
      <c r="I61" s="175"/>
      <c r="J61" s="175"/>
      <c r="K61" s="175"/>
      <c r="L61" s="175"/>
      <c r="M61" s="175"/>
      <c r="N61" s="175"/>
      <c r="O61" s="175"/>
    </row>
    <row r="62" spans="2:15" ht="20.100000000000001" customHeight="1" x14ac:dyDescent="0.25">
      <c r="B62" s="178"/>
      <c r="C62" s="178"/>
      <c r="D62" s="175"/>
      <c r="E62" s="175"/>
      <c r="F62" s="175"/>
      <c r="G62" s="175"/>
      <c r="H62" s="175"/>
      <c r="I62" s="175"/>
      <c r="J62" s="175"/>
      <c r="K62" s="175"/>
      <c r="L62" s="175"/>
      <c r="M62" s="175"/>
      <c r="N62" s="175"/>
      <c r="O62" s="175"/>
    </row>
    <row r="63" spans="2:15" ht="20.100000000000001" customHeight="1" x14ac:dyDescent="0.25">
      <c r="B63" s="178"/>
      <c r="C63" s="178"/>
      <c r="D63" s="175"/>
      <c r="E63" s="175"/>
      <c r="F63" s="175"/>
      <c r="G63" s="175"/>
      <c r="H63" s="175"/>
      <c r="I63" s="175"/>
      <c r="J63" s="175"/>
      <c r="K63" s="175"/>
      <c r="L63" s="175"/>
      <c r="M63" s="175"/>
      <c r="N63" s="175"/>
      <c r="O63" s="175"/>
    </row>
    <row r="64" spans="2:15" ht="20.100000000000001" customHeight="1" x14ac:dyDescent="0.25">
      <c r="B64" s="178"/>
      <c r="C64" s="178"/>
      <c r="D64" s="175"/>
      <c r="E64" s="175"/>
      <c r="F64" s="175"/>
      <c r="G64" s="175"/>
      <c r="H64" s="175"/>
      <c r="I64" s="175"/>
      <c r="J64" s="175"/>
      <c r="K64" s="175"/>
      <c r="L64" s="175"/>
      <c r="M64" s="175"/>
      <c r="N64" s="175"/>
      <c r="O64" s="175"/>
    </row>
    <row r="65" spans="2:15" ht="20.100000000000001" customHeight="1" x14ac:dyDescent="0.25">
      <c r="B65" s="178"/>
      <c r="C65" s="178"/>
      <c r="D65" s="175"/>
      <c r="E65" s="175"/>
      <c r="F65" s="175"/>
      <c r="G65" s="175"/>
      <c r="H65" s="175"/>
      <c r="I65" s="175"/>
      <c r="J65" s="175"/>
      <c r="K65" s="175"/>
      <c r="L65" s="175"/>
      <c r="M65" s="175"/>
      <c r="N65" s="175"/>
      <c r="O65" s="175"/>
    </row>
    <row r="66" spans="2:15" ht="20.100000000000001" customHeight="1" x14ac:dyDescent="0.25">
      <c r="B66" s="178"/>
      <c r="C66" s="178"/>
      <c r="D66" s="175"/>
      <c r="E66" s="175"/>
      <c r="F66" s="175"/>
      <c r="G66" s="175"/>
      <c r="H66" s="175"/>
      <c r="I66" s="175"/>
      <c r="J66" s="175"/>
      <c r="K66" s="175"/>
      <c r="L66" s="175"/>
      <c r="M66" s="175"/>
      <c r="N66" s="175"/>
      <c r="O66" s="175"/>
    </row>
    <row r="67" spans="2:15" ht="20.100000000000001" customHeight="1" x14ac:dyDescent="0.25">
      <c r="B67" s="178"/>
      <c r="C67" s="178"/>
      <c r="D67" s="175"/>
      <c r="E67" s="175"/>
      <c r="F67" s="175"/>
      <c r="G67" s="175"/>
      <c r="H67" s="175"/>
      <c r="I67" s="175"/>
      <c r="J67" s="175"/>
      <c r="K67" s="175"/>
      <c r="L67" s="175"/>
      <c r="M67" s="175"/>
      <c r="N67" s="175"/>
      <c r="O67" s="175"/>
    </row>
    <row r="68" spans="2:15" ht="20.100000000000001" customHeight="1" x14ac:dyDescent="0.25">
      <c r="B68" s="178"/>
      <c r="C68" s="178"/>
      <c r="D68" s="175"/>
      <c r="E68" s="175"/>
      <c r="F68" s="175"/>
      <c r="G68" s="175"/>
      <c r="H68" s="175"/>
      <c r="I68" s="175"/>
      <c r="J68" s="175"/>
      <c r="K68" s="175"/>
      <c r="L68" s="175"/>
      <c r="M68" s="175"/>
      <c r="N68" s="175"/>
      <c r="O68" s="175"/>
    </row>
    <row r="69" spans="2:15" ht="20.100000000000001" customHeight="1" x14ac:dyDescent="0.25">
      <c r="B69" s="178"/>
      <c r="C69" s="178"/>
      <c r="D69" s="175"/>
      <c r="E69" s="175"/>
      <c r="F69" s="175"/>
      <c r="G69" s="175"/>
      <c r="H69" s="175"/>
      <c r="I69" s="175"/>
      <c r="J69" s="175"/>
      <c r="K69" s="175"/>
      <c r="L69" s="175"/>
      <c r="M69" s="175"/>
      <c r="N69" s="175"/>
      <c r="O69" s="175"/>
    </row>
    <row r="70" spans="2:15" ht="20.100000000000001" customHeight="1" x14ac:dyDescent="0.25">
      <c r="B70" s="178"/>
      <c r="C70" s="178"/>
      <c r="D70" s="175"/>
      <c r="E70" s="175"/>
      <c r="F70" s="175"/>
      <c r="G70" s="175"/>
      <c r="H70" s="175"/>
      <c r="I70" s="175"/>
      <c r="J70" s="175"/>
      <c r="K70" s="175"/>
      <c r="L70" s="175"/>
      <c r="M70" s="175"/>
      <c r="N70" s="175"/>
      <c r="O70" s="175"/>
    </row>
    <row r="71" spans="2:15" ht="20.100000000000001" customHeight="1" x14ac:dyDescent="0.25">
      <c r="B71" s="178"/>
      <c r="C71" s="178"/>
      <c r="D71" s="175"/>
      <c r="E71" s="175"/>
      <c r="F71" s="175"/>
      <c r="G71" s="175"/>
      <c r="H71" s="175"/>
      <c r="I71" s="175"/>
      <c r="J71" s="175"/>
      <c r="K71" s="175"/>
      <c r="L71" s="175"/>
      <c r="M71" s="175"/>
      <c r="N71" s="175"/>
      <c r="O71" s="175"/>
    </row>
    <row r="72" spans="2:15" ht="20.100000000000001" customHeight="1" x14ac:dyDescent="0.25">
      <c r="B72" s="178"/>
      <c r="C72" s="178"/>
      <c r="D72" s="175"/>
      <c r="E72" s="175"/>
      <c r="F72" s="175"/>
      <c r="G72" s="175"/>
      <c r="H72" s="175"/>
      <c r="I72" s="175"/>
      <c r="J72" s="175"/>
      <c r="K72" s="175"/>
      <c r="L72" s="175"/>
      <c r="M72" s="175"/>
      <c r="N72" s="175"/>
      <c r="O72" s="175"/>
    </row>
    <row r="73" spans="2:15" ht="20.100000000000001" customHeight="1" x14ac:dyDescent="0.25">
      <c r="B73" s="178"/>
      <c r="C73" s="178"/>
      <c r="D73" s="175"/>
      <c r="E73" s="175"/>
      <c r="F73" s="175"/>
      <c r="G73" s="175"/>
      <c r="H73" s="175"/>
      <c r="I73" s="175"/>
      <c r="J73" s="175"/>
      <c r="K73" s="175"/>
      <c r="L73" s="175"/>
      <c r="M73" s="175"/>
      <c r="N73" s="175"/>
      <c r="O73" s="175"/>
    </row>
    <row r="74" spans="2:15" ht="20.100000000000001" customHeight="1" x14ac:dyDescent="0.25">
      <c r="B74" s="178"/>
      <c r="C74" s="178"/>
      <c r="D74" s="175"/>
      <c r="E74" s="175"/>
      <c r="F74" s="175"/>
      <c r="G74" s="175"/>
      <c r="H74" s="175"/>
      <c r="I74" s="175"/>
      <c r="J74" s="175"/>
      <c r="K74" s="175"/>
      <c r="L74" s="175"/>
      <c r="M74" s="175"/>
      <c r="N74" s="175"/>
      <c r="O74" s="175"/>
    </row>
    <row r="75" spans="2:15" ht="20.100000000000001" customHeight="1" x14ac:dyDescent="0.25">
      <c r="B75" s="178"/>
      <c r="C75" s="178"/>
      <c r="D75" s="175"/>
      <c r="E75" s="175"/>
      <c r="F75" s="175"/>
      <c r="G75" s="175"/>
      <c r="H75" s="175"/>
      <c r="I75" s="175"/>
      <c r="J75" s="175"/>
      <c r="K75" s="175"/>
      <c r="L75" s="175"/>
      <c r="M75" s="175"/>
      <c r="N75" s="175"/>
      <c r="O75" s="175"/>
    </row>
    <row r="76" spans="2:15" ht="20.100000000000001" customHeight="1" x14ac:dyDescent="0.25">
      <c r="B76" s="178"/>
      <c r="C76" s="178"/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</row>
    <row r="77" spans="2:15" ht="20.100000000000001" customHeight="1" x14ac:dyDescent="0.25">
      <c r="B77" s="178"/>
      <c r="C77" s="178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</row>
    <row r="78" spans="2:15" ht="20.100000000000001" customHeight="1" x14ac:dyDescent="0.25">
      <c r="B78" s="178"/>
      <c r="C78" s="178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</row>
    <row r="79" spans="2:15" ht="20.100000000000001" customHeight="1" x14ac:dyDescent="0.25">
      <c r="B79" s="178"/>
      <c r="C79" s="178"/>
      <c r="D79" s="175"/>
      <c r="E79" s="175"/>
      <c r="F79" s="175"/>
      <c r="G79" s="175"/>
      <c r="H79" s="175"/>
      <c r="I79" s="175"/>
      <c r="J79" s="175"/>
      <c r="K79" s="175"/>
      <c r="L79" s="175"/>
      <c r="M79" s="175"/>
      <c r="N79" s="175"/>
      <c r="O79" s="175"/>
    </row>
    <row r="80" spans="2:15" ht="20.100000000000001" customHeight="1" x14ac:dyDescent="0.25">
      <c r="B80" s="178"/>
      <c r="C80" s="178"/>
      <c r="D80" s="175"/>
      <c r="E80" s="175"/>
      <c r="F80" s="175"/>
      <c r="G80" s="175"/>
      <c r="H80" s="175"/>
      <c r="I80" s="175"/>
      <c r="J80" s="175"/>
      <c r="K80" s="175"/>
      <c r="L80" s="175"/>
      <c r="M80" s="175"/>
      <c r="N80" s="175"/>
      <c r="O80" s="175"/>
    </row>
    <row r="81" spans="2:15" ht="20.100000000000001" customHeight="1" x14ac:dyDescent="0.25">
      <c r="B81" s="178"/>
      <c r="C81" s="178"/>
      <c r="D81" s="175"/>
      <c r="E81" s="175"/>
      <c r="F81" s="175"/>
      <c r="G81" s="175"/>
      <c r="H81" s="175"/>
      <c r="I81" s="175"/>
      <c r="J81" s="175"/>
      <c r="K81" s="175"/>
      <c r="L81" s="175"/>
      <c r="M81" s="175"/>
      <c r="N81" s="175"/>
      <c r="O81" s="175"/>
    </row>
    <row r="82" spans="2:15" ht="20.100000000000001" customHeight="1" x14ac:dyDescent="0.25">
      <c r="B82" s="178"/>
      <c r="C82" s="178"/>
      <c r="D82" s="175"/>
      <c r="E82" s="175"/>
      <c r="F82" s="175"/>
      <c r="G82" s="175"/>
      <c r="H82" s="175"/>
      <c r="I82" s="175"/>
      <c r="J82" s="175"/>
      <c r="K82" s="175"/>
      <c r="L82" s="175"/>
      <c r="M82" s="175"/>
      <c r="N82" s="175"/>
      <c r="O82" s="175"/>
    </row>
    <row r="83" spans="2:15" ht="20.100000000000001" customHeight="1" x14ac:dyDescent="0.25">
      <c r="B83" s="178"/>
      <c r="C83" s="178"/>
      <c r="D83" s="175"/>
      <c r="E83" s="175"/>
      <c r="F83" s="175"/>
      <c r="G83" s="175"/>
      <c r="H83" s="175"/>
      <c r="I83" s="175"/>
      <c r="J83" s="175"/>
      <c r="K83" s="175"/>
      <c r="L83" s="175"/>
      <c r="M83" s="175"/>
      <c r="N83" s="175"/>
      <c r="O83" s="175"/>
    </row>
    <row r="84" spans="2:15" ht="20.100000000000001" customHeight="1" x14ac:dyDescent="0.25">
      <c r="B84" s="178"/>
      <c r="C84" s="178"/>
      <c r="D84" s="175"/>
      <c r="E84" s="175"/>
      <c r="F84" s="175"/>
      <c r="G84" s="175"/>
      <c r="H84" s="175"/>
      <c r="I84" s="175"/>
      <c r="J84" s="175"/>
      <c r="K84" s="175"/>
      <c r="L84" s="175"/>
      <c r="M84" s="175"/>
      <c r="N84" s="175"/>
      <c r="O84" s="175"/>
    </row>
    <row r="85" spans="2:15" ht="20.100000000000001" customHeight="1" x14ac:dyDescent="0.25">
      <c r="B85" s="178"/>
      <c r="C85" s="178"/>
      <c r="D85" s="175"/>
      <c r="E85" s="175"/>
      <c r="F85" s="175"/>
      <c r="G85" s="175"/>
      <c r="H85" s="175"/>
      <c r="I85" s="175"/>
      <c r="J85" s="175"/>
      <c r="K85" s="175"/>
      <c r="L85" s="175"/>
      <c r="M85" s="175"/>
      <c r="N85" s="175"/>
      <c r="O85" s="175"/>
    </row>
    <row r="86" spans="2:15" ht="20.100000000000001" customHeight="1" x14ac:dyDescent="0.25">
      <c r="B86" s="178"/>
      <c r="C86" s="178"/>
      <c r="D86" s="175"/>
      <c r="E86" s="175"/>
      <c r="F86" s="175"/>
      <c r="G86" s="175"/>
      <c r="H86" s="175"/>
      <c r="I86" s="175"/>
      <c r="J86" s="175"/>
      <c r="K86" s="175"/>
      <c r="L86" s="175"/>
      <c r="M86" s="175"/>
      <c r="N86" s="175"/>
      <c r="O86" s="175"/>
    </row>
    <row r="87" spans="2:15" ht="20.100000000000001" customHeight="1" x14ac:dyDescent="0.25">
      <c r="B87" s="178"/>
      <c r="C87" s="178"/>
      <c r="D87" s="175"/>
      <c r="E87" s="175"/>
      <c r="F87" s="175"/>
      <c r="G87" s="175"/>
      <c r="H87" s="175"/>
      <c r="I87" s="175"/>
      <c r="J87" s="175"/>
      <c r="K87" s="175"/>
      <c r="L87" s="175"/>
      <c r="M87" s="175"/>
      <c r="N87" s="175"/>
      <c r="O87" s="175"/>
    </row>
    <row r="88" spans="2:15" ht="20.100000000000001" customHeight="1" x14ac:dyDescent="0.25">
      <c r="B88" s="178"/>
      <c r="C88" s="178"/>
      <c r="D88" s="175"/>
      <c r="E88" s="175"/>
      <c r="F88" s="175"/>
      <c r="G88" s="175"/>
      <c r="H88" s="175"/>
      <c r="I88" s="175"/>
      <c r="J88" s="175"/>
      <c r="K88" s="175"/>
      <c r="L88" s="175"/>
      <c r="M88" s="175"/>
      <c r="N88" s="175"/>
      <c r="O88" s="175"/>
    </row>
    <row r="89" spans="2:15" ht="20.100000000000001" customHeight="1" x14ac:dyDescent="0.25">
      <c r="B89" s="178"/>
      <c r="C89" s="178"/>
      <c r="D89" s="175"/>
      <c r="E89" s="175"/>
      <c r="F89" s="175"/>
      <c r="G89" s="175"/>
      <c r="H89" s="175"/>
      <c r="I89" s="175"/>
      <c r="J89" s="175"/>
      <c r="K89" s="175"/>
      <c r="L89" s="175"/>
      <c r="M89" s="175"/>
      <c r="N89" s="175"/>
      <c r="O89" s="175"/>
    </row>
    <row r="90" spans="2:15" ht="20.100000000000001" customHeight="1" x14ac:dyDescent="0.25">
      <c r="B90" s="178"/>
      <c r="C90" s="178"/>
      <c r="D90" s="175"/>
      <c r="E90" s="175"/>
      <c r="F90" s="175"/>
      <c r="G90" s="175"/>
      <c r="H90" s="175"/>
      <c r="I90" s="175"/>
      <c r="J90" s="175"/>
      <c r="K90" s="175"/>
      <c r="L90" s="175"/>
      <c r="M90" s="175"/>
      <c r="N90" s="175"/>
      <c r="O90" s="175"/>
    </row>
    <row r="91" spans="2:15" ht="20.100000000000001" customHeight="1" x14ac:dyDescent="0.25">
      <c r="B91" s="178"/>
      <c r="C91" s="178"/>
      <c r="D91" s="175"/>
      <c r="E91" s="175"/>
      <c r="F91" s="175"/>
      <c r="G91" s="175"/>
      <c r="H91" s="175"/>
      <c r="I91" s="175"/>
      <c r="J91" s="175"/>
      <c r="K91" s="175"/>
      <c r="L91" s="175"/>
      <c r="M91" s="175"/>
      <c r="N91" s="175"/>
      <c r="O91" s="175"/>
    </row>
    <row r="92" spans="2:15" ht="20.100000000000001" customHeight="1" x14ac:dyDescent="0.25">
      <c r="B92" s="178"/>
      <c r="C92" s="178"/>
      <c r="D92" s="175"/>
      <c r="E92" s="175"/>
      <c r="F92" s="175"/>
      <c r="G92" s="175"/>
      <c r="H92" s="175"/>
      <c r="I92" s="175"/>
      <c r="J92" s="175"/>
      <c r="K92" s="175"/>
      <c r="L92" s="175"/>
      <c r="M92" s="175"/>
      <c r="N92" s="175"/>
      <c r="O92" s="175"/>
    </row>
    <row r="93" spans="2:15" ht="20.100000000000001" customHeight="1" x14ac:dyDescent="0.25">
      <c r="B93" s="178"/>
      <c r="C93" s="178"/>
      <c r="D93" s="175"/>
      <c r="E93" s="175"/>
      <c r="F93" s="175"/>
      <c r="G93" s="175"/>
      <c r="H93" s="175"/>
      <c r="I93" s="175"/>
      <c r="J93" s="175"/>
      <c r="K93" s="175"/>
      <c r="L93" s="175"/>
      <c r="M93" s="175"/>
      <c r="N93" s="175"/>
      <c r="O93" s="175"/>
    </row>
    <row r="94" spans="2:15" ht="20.100000000000001" customHeight="1" x14ac:dyDescent="0.25">
      <c r="B94" s="178"/>
      <c r="C94" s="178"/>
      <c r="D94" s="175"/>
      <c r="E94" s="175"/>
      <c r="F94" s="175"/>
      <c r="G94" s="175"/>
      <c r="H94" s="175"/>
      <c r="I94" s="175"/>
      <c r="J94" s="175"/>
      <c r="K94" s="175"/>
      <c r="L94" s="175"/>
      <c r="M94" s="175"/>
      <c r="N94" s="175"/>
      <c r="O94" s="175"/>
    </row>
    <row r="95" spans="2:15" ht="20.100000000000001" customHeight="1" x14ac:dyDescent="0.25">
      <c r="B95" s="178"/>
      <c r="C95" s="178"/>
      <c r="D95" s="175"/>
      <c r="E95" s="175"/>
      <c r="F95" s="175"/>
      <c r="G95" s="175"/>
      <c r="H95" s="175"/>
      <c r="I95" s="175"/>
      <c r="J95" s="175"/>
      <c r="K95" s="175"/>
      <c r="L95" s="175"/>
      <c r="M95" s="175"/>
      <c r="N95" s="175"/>
      <c r="O95" s="175"/>
    </row>
    <row r="96" spans="2:15" ht="20.100000000000001" customHeight="1" x14ac:dyDescent="0.25">
      <c r="B96" s="178"/>
      <c r="C96" s="178"/>
      <c r="D96" s="175"/>
      <c r="E96" s="175"/>
      <c r="F96" s="175"/>
      <c r="G96" s="175"/>
      <c r="H96" s="175"/>
      <c r="I96" s="175"/>
      <c r="J96" s="175"/>
      <c r="K96" s="175"/>
      <c r="L96" s="175"/>
      <c r="M96" s="175"/>
      <c r="N96" s="175"/>
      <c r="O96" s="175"/>
    </row>
    <row r="97" spans="2:15" ht="20.100000000000001" customHeight="1" x14ac:dyDescent="0.25">
      <c r="B97" s="178"/>
      <c r="C97" s="178"/>
      <c r="D97" s="175"/>
      <c r="E97" s="175"/>
      <c r="F97" s="175"/>
      <c r="G97" s="175"/>
      <c r="H97" s="175"/>
      <c r="I97" s="175"/>
      <c r="J97" s="175"/>
      <c r="K97" s="175"/>
      <c r="L97" s="175"/>
      <c r="M97" s="175"/>
      <c r="N97" s="175"/>
      <c r="O97" s="175"/>
    </row>
    <row r="98" spans="2:15" ht="20.100000000000001" customHeight="1" x14ac:dyDescent="0.25">
      <c r="B98" s="178"/>
      <c r="C98" s="178"/>
      <c r="D98" s="175"/>
      <c r="E98" s="175"/>
      <c r="F98" s="175"/>
      <c r="G98" s="175"/>
      <c r="H98" s="175"/>
      <c r="I98" s="175"/>
      <c r="J98" s="175"/>
      <c r="K98" s="175"/>
      <c r="L98" s="175"/>
      <c r="M98" s="175"/>
      <c r="N98" s="175"/>
      <c r="O98" s="175"/>
    </row>
    <row r="99" spans="2:15" ht="20.100000000000001" customHeight="1" x14ac:dyDescent="0.25">
      <c r="B99" s="178"/>
      <c r="C99" s="178"/>
      <c r="D99" s="175"/>
      <c r="E99" s="175"/>
      <c r="F99" s="175"/>
      <c r="G99" s="175"/>
      <c r="H99" s="175"/>
      <c r="I99" s="175"/>
      <c r="J99" s="175"/>
      <c r="K99" s="175"/>
      <c r="L99" s="175"/>
      <c r="M99" s="175"/>
      <c r="N99" s="175"/>
      <c r="O99" s="175"/>
    </row>
    <row r="100" spans="2:15" ht="20.100000000000001" customHeight="1" x14ac:dyDescent="0.25">
      <c r="B100" s="178"/>
      <c r="C100" s="178"/>
      <c r="D100" s="175"/>
      <c r="E100" s="175"/>
      <c r="F100" s="175"/>
      <c r="G100" s="175"/>
      <c r="H100" s="175"/>
      <c r="I100" s="175"/>
      <c r="J100" s="175"/>
      <c r="K100" s="175"/>
      <c r="L100" s="175"/>
      <c r="M100" s="175"/>
      <c r="N100" s="175"/>
      <c r="O100" s="175"/>
    </row>
    <row r="101" spans="2:15" ht="20.100000000000001" customHeight="1" x14ac:dyDescent="0.25">
      <c r="B101" s="178"/>
      <c r="C101" s="178"/>
      <c r="D101" s="175"/>
      <c r="E101" s="175"/>
      <c r="F101" s="175"/>
      <c r="G101" s="175"/>
      <c r="H101" s="175"/>
      <c r="I101" s="175"/>
      <c r="J101" s="175"/>
      <c r="K101" s="175"/>
      <c r="L101" s="175"/>
      <c r="M101" s="175"/>
      <c r="N101" s="175"/>
      <c r="O101" s="175"/>
    </row>
    <row r="102" spans="2:15" ht="20.100000000000001" customHeight="1" x14ac:dyDescent="0.25">
      <c r="B102" s="178"/>
      <c r="C102" s="178"/>
      <c r="D102" s="175"/>
      <c r="E102" s="175"/>
      <c r="F102" s="175"/>
      <c r="G102" s="175"/>
      <c r="H102" s="175"/>
      <c r="I102" s="175"/>
      <c r="J102" s="175"/>
      <c r="K102" s="175"/>
      <c r="L102" s="175"/>
      <c r="M102" s="175"/>
      <c r="N102" s="175"/>
      <c r="O102" s="175"/>
    </row>
    <row r="103" spans="2:15" ht="20.100000000000001" customHeight="1" x14ac:dyDescent="0.25">
      <c r="B103" s="178"/>
      <c r="C103" s="178"/>
      <c r="D103" s="175"/>
      <c r="E103" s="175"/>
      <c r="F103" s="175"/>
      <c r="G103" s="175"/>
      <c r="H103" s="175"/>
      <c r="I103" s="175"/>
      <c r="J103" s="175"/>
      <c r="K103" s="175"/>
      <c r="L103" s="175"/>
      <c r="M103" s="175"/>
      <c r="N103" s="175"/>
      <c r="O103" s="175"/>
    </row>
    <row r="104" spans="2:15" ht="20.100000000000001" customHeight="1" x14ac:dyDescent="0.25">
      <c r="B104" s="178"/>
      <c r="C104" s="178"/>
      <c r="D104" s="175"/>
      <c r="E104" s="175"/>
      <c r="F104" s="175"/>
      <c r="G104" s="175"/>
      <c r="H104" s="175"/>
      <c r="I104" s="175"/>
      <c r="J104" s="175"/>
      <c r="K104" s="175"/>
      <c r="L104" s="175"/>
      <c r="M104" s="175"/>
      <c r="N104" s="175"/>
      <c r="O104" s="175"/>
    </row>
    <row r="105" spans="2:15" ht="20.100000000000001" customHeight="1" x14ac:dyDescent="0.25">
      <c r="B105" s="178"/>
      <c r="C105" s="178"/>
      <c r="D105" s="175"/>
      <c r="E105" s="175"/>
      <c r="F105" s="175"/>
      <c r="G105" s="175"/>
      <c r="H105" s="175"/>
      <c r="I105" s="175"/>
      <c r="J105" s="175"/>
      <c r="K105" s="175"/>
      <c r="L105" s="175"/>
      <c r="M105" s="175"/>
      <c r="N105" s="175"/>
      <c r="O105" s="175"/>
    </row>
  </sheetData>
  <sheetProtection algorithmName="SHA-512" hashValue="mVc+mdVJk2iIda1pNqZBPDlEho0+a1qtPhYJrhyPUULXenGLzb5yB/R+23nmt4UTnORHIBA/FI6VNAYb3sBKyw==" saltValue="fKKveVkFNM66tJWtYTA2Tw==" spinCount="100000" sheet="1" objects="1" scenarios="1" formatRows="0" insertRows="0" deleteRows="0"/>
  <printOptions horizontalCentered="1" gridLines="1"/>
  <pageMargins left="0.31496062992125984" right="0.31496062992125984" top="0.31496062992125984" bottom="0.31496062992125984" header="0.31496062992125984" footer="0.31496062992125984"/>
  <pageSetup paperSize="9" scale="54" fitToHeight="0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667B8-01CD-4198-BF8B-1E81413AD17E}">
  <dimension ref="B4:BH31"/>
  <sheetViews>
    <sheetView showGridLines="0" showRowColHeaders="0" workbookViewId="0">
      <pane ySplit="9" topLeftCell="A10" activePane="bottomLeft" state="frozen"/>
      <selection pane="bottomLeft" activeCell="A10" sqref="A10"/>
    </sheetView>
  </sheetViews>
  <sheetFormatPr defaultRowHeight="15" x14ac:dyDescent="0.25"/>
  <cols>
    <col min="1" max="1" width="9.140625" style="92"/>
    <col min="2" max="3" width="11" style="90" customWidth="1"/>
    <col min="4" max="4" width="26.5703125" style="91" customWidth="1"/>
    <col min="5" max="5" width="31.140625" style="91" customWidth="1"/>
    <col min="6" max="11" width="11" style="92" customWidth="1"/>
    <col min="12" max="29" width="12" style="92" customWidth="1"/>
    <col min="30" max="30" width="5.7109375" style="92" customWidth="1"/>
    <col min="31" max="31" width="13.7109375" style="92" customWidth="1"/>
    <col min="32" max="32" width="11" style="92" customWidth="1"/>
    <col min="33" max="33" width="5.7109375" style="92" customWidth="1"/>
    <col min="34" max="37" width="20.7109375" style="93" customWidth="1"/>
    <col min="38" max="38" width="5.7109375" style="92" customWidth="1"/>
    <col min="39" max="39" width="13.5703125" style="92" customWidth="1"/>
    <col min="40" max="40" width="12.140625" style="92" customWidth="1"/>
    <col min="41" max="41" width="13" style="92" customWidth="1"/>
    <col min="42" max="42" width="5.7109375" style="92" customWidth="1"/>
    <col min="43" max="43" width="12.85546875" style="92" customWidth="1"/>
    <col min="44" max="44" width="13.85546875" style="92" customWidth="1"/>
    <col min="45" max="45" width="9.140625" style="92"/>
    <col min="46" max="46" width="13" style="92" customWidth="1"/>
    <col min="47" max="47" width="15.42578125" style="92" customWidth="1"/>
    <col min="48" max="49" width="13.85546875" style="92" customWidth="1"/>
    <col min="50" max="50" width="5.7109375" style="92" customWidth="1"/>
    <col min="51" max="53" width="25.7109375" style="92" customWidth="1"/>
    <col min="54" max="54" width="5.7109375" style="92" customWidth="1"/>
    <col min="55" max="55" width="32.85546875" style="92" customWidth="1"/>
    <col min="56" max="56" width="14.85546875" style="92" customWidth="1"/>
    <col min="57" max="57" width="9.140625" style="92"/>
    <col min="58" max="59" width="28.140625" style="92" customWidth="1"/>
    <col min="60" max="60" width="18.140625" style="92" customWidth="1"/>
    <col min="61" max="16384" width="9.140625" style="92"/>
  </cols>
  <sheetData>
    <row r="4" spans="2:60" x14ac:dyDescent="0.25">
      <c r="AH4" s="94" t="s">
        <v>37</v>
      </c>
      <c r="AI4" s="94"/>
      <c r="AJ4" s="94"/>
      <c r="AK4" s="94"/>
    </row>
    <row r="5" spans="2:60" x14ac:dyDescent="0.25">
      <c r="AY5" s="95" t="s">
        <v>38</v>
      </c>
      <c r="AZ5" s="95"/>
      <c r="BA5" s="95"/>
      <c r="BC5" s="95" t="s">
        <v>39</v>
      </c>
      <c r="BD5" s="95"/>
      <c r="BF5" s="95" t="s">
        <v>40</v>
      </c>
      <c r="BG5" s="95"/>
      <c r="BH5" s="95"/>
    </row>
    <row r="6" spans="2:60" x14ac:dyDescent="0.25">
      <c r="AH6" s="96" t="s">
        <v>41</v>
      </c>
      <c r="AI6" s="139">
        <f>IFERROR(IF(OR(Dashboard!$D$9="",Dashboard!$D$9="All"),0,MATCH(Dashboard!$D$9,Calc!$AT$11:$AT$22,0)),0)</f>
        <v>0</v>
      </c>
      <c r="AJ6" s="96" t="s">
        <v>42</v>
      </c>
      <c r="AK6" s="139">
        <f>IFERROR(COUNTIF(C10:C24,"1"),100)</f>
        <v>12</v>
      </c>
      <c r="AQ6" s="95" t="s">
        <v>43</v>
      </c>
      <c r="AR6" s="95"/>
      <c r="AS6" s="95"/>
      <c r="AT6" s="95"/>
      <c r="AU6" s="95"/>
      <c r="AV6" s="95"/>
      <c r="AW6" s="95"/>
    </row>
    <row r="7" spans="2:60" x14ac:dyDescent="0.25">
      <c r="B7" s="97" t="s">
        <v>44</v>
      </c>
      <c r="C7" s="98"/>
      <c r="D7" s="98"/>
      <c r="E7" s="99"/>
      <c r="F7" s="100" t="s">
        <v>45</v>
      </c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1" t="s">
        <v>46</v>
      </c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H7" s="96" t="s">
        <v>47</v>
      </c>
      <c r="AI7" s="96" t="s">
        <v>48</v>
      </c>
      <c r="AJ7" s="102"/>
      <c r="AK7" s="103"/>
      <c r="AY7" s="104" t="s">
        <v>49</v>
      </c>
      <c r="AZ7" s="140">
        <f>IFERROR(COUNTIF(BA10:BA24,"?*")+1,1)</f>
        <v>5</v>
      </c>
      <c r="BA7" s="105"/>
      <c r="BC7" s="104" t="s">
        <v>50</v>
      </c>
      <c r="BD7" s="140">
        <f>IFERROR(COUNTIF($BC$10:$BC$24,"?*"),"")</f>
        <v>12</v>
      </c>
    </row>
    <row r="8" spans="2:60" x14ac:dyDescent="0.25">
      <c r="B8" s="106"/>
      <c r="C8" s="107" t="s">
        <v>51</v>
      </c>
      <c r="D8" s="169">
        <f>IFERROR(MATCH(D9,Estimated!$B$5:$O$5,0),1)</f>
        <v>1</v>
      </c>
      <c r="E8" s="169">
        <f>IFERROR(MATCH(E9,Estimated!$B$5:$O$5,0),1)</f>
        <v>2</v>
      </c>
      <c r="F8" s="169">
        <f>IFERROR(MATCH(F9,Estimated!$B$5:$O$5,0),1)</f>
        <v>3</v>
      </c>
      <c r="G8" s="169">
        <f>IFERROR(MATCH(G9,Estimated!$B$5:$O$5,0),1)</f>
        <v>4</v>
      </c>
      <c r="H8" s="169">
        <f>IFERROR(MATCH(H9,Estimated!$B$5:$O$5,0),1)</f>
        <v>5</v>
      </c>
      <c r="I8" s="169">
        <f>IFERROR(MATCH(I9,Estimated!$B$5:$O$5,0),1)</f>
        <v>6</v>
      </c>
      <c r="J8" s="169">
        <f>IFERROR(MATCH(J9,Estimated!$B$5:$O$5,0),1)</f>
        <v>7</v>
      </c>
      <c r="K8" s="169">
        <f>IFERROR(MATCH(K9,Estimated!$B$5:$O$5,0),1)</f>
        <v>8</v>
      </c>
      <c r="L8" s="169">
        <f>IFERROR(MATCH(L9,Estimated!$B$5:$O$5,0),1)</f>
        <v>9</v>
      </c>
      <c r="M8" s="169">
        <f>IFERROR(MATCH(M9,Estimated!$B$5:$O$5,0),1)</f>
        <v>10</v>
      </c>
      <c r="N8" s="169">
        <f>IFERROR(MATCH(N9,Estimated!$B$5:$O$5,0),1)</f>
        <v>11</v>
      </c>
      <c r="O8" s="169">
        <f>IFERROR(MATCH(O9,Estimated!$B$5:$O$5,0),1)</f>
        <v>12</v>
      </c>
      <c r="P8" s="169">
        <f>IFERROR(MATCH(P9,Estimated!$B$5:$O$5,0),1)</f>
        <v>13</v>
      </c>
      <c r="Q8" s="169">
        <f>IFERROR(MATCH(Q9,Estimated!$B$5:$O$5,0),1)</f>
        <v>14</v>
      </c>
      <c r="R8" s="169">
        <f>IFERROR(MATCH(R9,Actual!$B$5:$O$5,0),1)</f>
        <v>3</v>
      </c>
      <c r="S8" s="169">
        <f>IFERROR(MATCH(S9,Actual!$B$5:$O$5,0),1)</f>
        <v>4</v>
      </c>
      <c r="T8" s="169">
        <f>IFERROR(MATCH(T9,Actual!$B$5:$O$5,0),1)</f>
        <v>5</v>
      </c>
      <c r="U8" s="169">
        <f>IFERROR(MATCH(U9,Actual!$B$5:$O$5,0),1)</f>
        <v>6</v>
      </c>
      <c r="V8" s="169">
        <f>IFERROR(MATCH(V9,Actual!$B$5:$O$5,0),1)</f>
        <v>7</v>
      </c>
      <c r="W8" s="169">
        <f>IFERROR(MATCH(W9,Actual!$B$5:$O$5,0),1)</f>
        <v>8</v>
      </c>
      <c r="X8" s="169">
        <f>IFERROR(MATCH(X9,Actual!$B$5:$O$5,0),1)</f>
        <v>9</v>
      </c>
      <c r="Y8" s="169">
        <f>IFERROR(MATCH(Y9,Actual!$B$5:$O$5,0),1)</f>
        <v>10</v>
      </c>
      <c r="Z8" s="169">
        <f>IFERROR(MATCH(Z9,Actual!$B$5:$O$5,0),1)</f>
        <v>11</v>
      </c>
      <c r="AA8" s="169">
        <f>IFERROR(MATCH(AA9,Actual!$B$5:$O$5,0),1)</f>
        <v>12</v>
      </c>
      <c r="AB8" s="169">
        <f>IFERROR(MATCH(AB9,Actual!$B$5:$O$5,0),1)</f>
        <v>13</v>
      </c>
      <c r="AC8" s="169">
        <f>IFERROR(MATCH(AC9,Actual!$B$5:$O$5,0),1)</f>
        <v>14</v>
      </c>
      <c r="AE8" s="108" t="s">
        <v>52</v>
      </c>
      <c r="AF8" s="109"/>
      <c r="AH8" s="139">
        <f>AI6+4</f>
        <v>4</v>
      </c>
      <c r="AI8" s="139">
        <f>IFERROR(AH8+12,"")</f>
        <v>16</v>
      </c>
      <c r="AJ8" s="102"/>
      <c r="AK8" s="110"/>
      <c r="AQ8" s="111" t="s">
        <v>53</v>
      </c>
      <c r="AR8" s="112"/>
      <c r="AS8" s="112"/>
      <c r="AT8" s="113"/>
      <c r="AU8" s="114" t="s">
        <v>54</v>
      </c>
      <c r="AV8" s="115"/>
      <c r="AY8" s="116" t="s">
        <v>55</v>
      </c>
      <c r="AZ8" s="116" t="s">
        <v>56</v>
      </c>
      <c r="BA8" s="116" t="s">
        <v>57</v>
      </c>
      <c r="BB8" s="117"/>
      <c r="BC8" s="116" t="s">
        <v>55</v>
      </c>
      <c r="BD8" s="116" t="s">
        <v>46</v>
      </c>
      <c r="BF8" s="104" t="s">
        <v>58</v>
      </c>
      <c r="BG8" s="104"/>
      <c r="BH8" s="140">
        <f>IFERROR(COUNTIF($BG$10:$BG$24,"?*"),100)</f>
        <v>12</v>
      </c>
    </row>
    <row r="9" spans="2:60" x14ac:dyDescent="0.25">
      <c r="B9" s="107" t="s">
        <v>59</v>
      </c>
      <c r="C9" s="107" t="s">
        <v>60</v>
      </c>
      <c r="D9" s="141" t="str">
        <f>Estimated!B5</f>
        <v>Expense Category</v>
      </c>
      <c r="E9" s="141" t="str">
        <f>Estimated!C5</f>
        <v>Expense Type</v>
      </c>
      <c r="F9" s="142" t="str">
        <f>AT11</f>
        <v>Jan 2022</v>
      </c>
      <c r="G9" s="142" t="str">
        <f>AT12</f>
        <v>Feb 2022</v>
      </c>
      <c r="H9" s="142" t="str">
        <f>AT13</f>
        <v>Mar 2022</v>
      </c>
      <c r="I9" s="142" t="str">
        <f>AT14</f>
        <v>Apr 2022</v>
      </c>
      <c r="J9" s="142" t="str">
        <f>AT15</f>
        <v>May 2022</v>
      </c>
      <c r="K9" s="142" t="str">
        <f>AT16</f>
        <v>Jun 2022</v>
      </c>
      <c r="L9" s="142" t="str">
        <f>AT17</f>
        <v>Jul 2022</v>
      </c>
      <c r="M9" s="142" t="str">
        <f>AT18</f>
        <v>Aug 2022</v>
      </c>
      <c r="N9" s="142" t="str">
        <f>AT19</f>
        <v>Sep 2022</v>
      </c>
      <c r="O9" s="142" t="str">
        <f>AT20</f>
        <v>Oct 2022</v>
      </c>
      <c r="P9" s="142" t="str">
        <f>AT21</f>
        <v>Nov 2022</v>
      </c>
      <c r="Q9" s="142" t="str">
        <f>AT22</f>
        <v>Dec 2022</v>
      </c>
      <c r="R9" s="142" t="str">
        <f>F9</f>
        <v>Jan 2022</v>
      </c>
      <c r="S9" s="142" t="str">
        <f t="shared" ref="S9:AC9" si="0">G9</f>
        <v>Feb 2022</v>
      </c>
      <c r="T9" s="142" t="str">
        <f t="shared" si="0"/>
        <v>Mar 2022</v>
      </c>
      <c r="U9" s="142" t="str">
        <f t="shared" si="0"/>
        <v>Apr 2022</v>
      </c>
      <c r="V9" s="142" t="str">
        <f t="shared" si="0"/>
        <v>May 2022</v>
      </c>
      <c r="W9" s="142" t="str">
        <f t="shared" si="0"/>
        <v>Jun 2022</v>
      </c>
      <c r="X9" s="142" t="str">
        <f t="shared" si="0"/>
        <v>Jul 2022</v>
      </c>
      <c r="Y9" s="142" t="str">
        <f t="shared" si="0"/>
        <v>Aug 2022</v>
      </c>
      <c r="Z9" s="142" t="str">
        <f t="shared" si="0"/>
        <v>Sep 2022</v>
      </c>
      <c r="AA9" s="142" t="str">
        <f t="shared" si="0"/>
        <v>Oct 2022</v>
      </c>
      <c r="AB9" s="142" t="str">
        <f t="shared" si="0"/>
        <v>Nov 2022</v>
      </c>
      <c r="AC9" s="142" t="str">
        <f t="shared" si="0"/>
        <v>Dec 2022</v>
      </c>
      <c r="AE9" s="118" t="s">
        <v>61</v>
      </c>
      <c r="AF9" s="118" t="s">
        <v>62</v>
      </c>
      <c r="AH9" s="119" t="s">
        <v>45</v>
      </c>
      <c r="AI9" s="119" t="s">
        <v>46</v>
      </c>
      <c r="AJ9" s="119" t="s">
        <v>19</v>
      </c>
      <c r="AK9" s="119" t="s">
        <v>63</v>
      </c>
      <c r="AM9" s="111" t="s">
        <v>64</v>
      </c>
      <c r="AN9" s="112"/>
      <c r="AO9" s="113"/>
      <c r="AQ9" s="107" t="s">
        <v>65</v>
      </c>
      <c r="AR9" s="107" t="s">
        <v>66</v>
      </c>
      <c r="AS9" s="107" t="s">
        <v>67</v>
      </c>
      <c r="AT9" s="107" t="s">
        <v>68</v>
      </c>
      <c r="AU9" s="120">
        <v>4</v>
      </c>
      <c r="AV9" s="120">
        <v>16</v>
      </c>
      <c r="AY9" s="105"/>
      <c r="AZ9" s="105"/>
      <c r="BA9" s="105" t="s">
        <v>3</v>
      </c>
      <c r="BB9" s="117"/>
      <c r="BC9" s="105" t="s">
        <v>3</v>
      </c>
      <c r="BD9" s="105"/>
      <c r="BF9" s="116" t="s">
        <v>69</v>
      </c>
      <c r="BG9" s="116" t="s">
        <v>56</v>
      </c>
      <c r="BH9" s="116" t="s">
        <v>46</v>
      </c>
    </row>
    <row r="10" spans="2:60" x14ac:dyDescent="0.25">
      <c r="B10" s="121">
        <v>1</v>
      </c>
      <c r="C10" s="143">
        <f t="shared" ref="C10:C24" si="1">IFERROR(IF(OR(LEN(D10)=0,LEN(E10)=0),0,1),0)</f>
        <v>1</v>
      </c>
      <c r="D10" s="144" t="str">
        <f>IFERROR(IF(LEN(INDEX(Estimated!$B$6:$O$20,$B10,D$8))=0,"",INDEX(Estimated!$B$6:$O$20,$B10,D$8)),"")</f>
        <v>Employee Costs</v>
      </c>
      <c r="E10" s="144" t="str">
        <f>IFERROR(IF(LEN(INDEX(Estimated!$B$6:$O$20,$B10,E$8))=0,"",INDEX(Estimated!$B$6:$O$20,$B10,E$8)),"")</f>
        <v>International salaries</v>
      </c>
      <c r="F10" s="145">
        <f>IFERROR(INDEX(Estimated!$B$6:$O$20,$B10,F$8),0)</f>
        <v>385</v>
      </c>
      <c r="G10" s="145">
        <f>IFERROR(INDEX(Estimated!$B$6:$O$20,$B10,G$8),0)</f>
        <v>437</v>
      </c>
      <c r="H10" s="145">
        <f>IFERROR(INDEX(Estimated!$B$6:$O$20,$B10,H$8),0)</f>
        <v>437</v>
      </c>
      <c r="I10" s="145">
        <f>IFERROR(INDEX(Estimated!$B$6:$O$20,$B10,I$8),0)</f>
        <v>437</v>
      </c>
      <c r="J10" s="145">
        <f>IFERROR(INDEX(Estimated!$B$6:$O$20,$B10,J$8),0)</f>
        <v>437</v>
      </c>
      <c r="K10" s="145">
        <f>IFERROR(INDEX(Estimated!$B$6:$O$20,$B10,K$8),0)</f>
        <v>499.4</v>
      </c>
      <c r="L10" s="145">
        <f>IFERROR(INDEX(Estimated!$B$6:$O$20,$B10,L$8),0)</f>
        <v>461.96</v>
      </c>
      <c r="M10" s="145">
        <f>IFERROR(INDEX(Estimated!$B$6:$O$20,$B10,M$8),0)</f>
        <v>428.26400000000001</v>
      </c>
      <c r="N10" s="145">
        <f>IFERROR(INDEX(Estimated!$B$6:$O$20,$B10,N$8),0)</f>
        <v>428.26400000000001</v>
      </c>
      <c r="O10" s="145">
        <f>IFERROR(INDEX(Estimated!$B$6:$O$20,$B10,O$8),0)</f>
        <v>428.26400000000001</v>
      </c>
      <c r="P10" s="145">
        <f>IFERROR(INDEX(Estimated!$B$6:$O$20,$B10,P$8),0)</f>
        <v>458.59039999999999</v>
      </c>
      <c r="Q10" s="145">
        <f>IFERROR(INDEX(Estimated!$B$6:$O$20,$B10,Q$8),0)</f>
        <v>458.59039999999999</v>
      </c>
      <c r="R10" s="145">
        <f>IFERROR(INDEX(Actual!$B$6:$O$20,$B10,R$8),0)</f>
        <v>260</v>
      </c>
      <c r="S10" s="145">
        <f>IFERROR(INDEX(Actual!$B$6:$O$20,$B10,S$8),0)</f>
        <v>312</v>
      </c>
      <c r="T10" s="145">
        <f>IFERROR(INDEX(Actual!$B$6:$O$20,$B10,T$8),0)</f>
        <v>312</v>
      </c>
      <c r="U10" s="145">
        <f>IFERROR(INDEX(Actual!$B$6:$O$20,$B10,U$8),0)</f>
        <v>312</v>
      </c>
      <c r="V10" s="145">
        <f>IFERROR(INDEX(Actual!$B$6:$O$20,$B10,V$8),0)</f>
        <v>312</v>
      </c>
      <c r="W10" s="145">
        <f>IFERROR(INDEX(Actual!$B$6:$O$20,$B10,W$8),0)</f>
        <v>374.4</v>
      </c>
      <c r="X10" s="145">
        <f>IFERROR(INDEX(Actual!$B$6:$O$20,$B10,X$8),0)</f>
        <v>336.96</v>
      </c>
      <c r="Y10" s="145">
        <f>IFERROR(INDEX(Actual!$B$6:$O$20,$B10,Y$8),0)</f>
        <v>303.26400000000001</v>
      </c>
      <c r="Z10" s="145">
        <f>IFERROR(INDEX(Actual!$B$6:$O$20,$B10,Z$8),0)</f>
        <v>303.26400000000001</v>
      </c>
      <c r="AA10" s="145">
        <f>IFERROR(INDEX(Actual!$B$6:$O$20,$B10,AA$8),0)</f>
        <v>303.26400000000001</v>
      </c>
      <c r="AB10" s="145">
        <f>IFERROR(INDEX(Actual!$B$6:$O$20,$B10,AB$8),0)</f>
        <v>333.59039999999999</v>
      </c>
      <c r="AC10" s="145">
        <f>IFERROR(INDEX(Actual!$B$6:$O$20,$B10,AC$8),0)</f>
        <v>333.59039999999999</v>
      </c>
      <c r="AE10" s="146">
        <f>IFERROR(IF(OR(Dashboard!$D$7="",Dashboard!$D$7="All"),1,IF(Dashboard!$D$7=Calc!D10,1,0)),0)</f>
        <v>1</v>
      </c>
      <c r="AF10" s="146">
        <f t="shared" ref="AF10:AF24" si="2">IFERROR(AE10*C10,"")</f>
        <v>1</v>
      </c>
      <c r="AH10" s="147">
        <f t="shared" ref="AH10:AH24" si="3">IFERROR(IF($AI$6=0,SUM(F10:Q10),INDEX($B$10:$AC$24,$B10,AH$8)),"")</f>
        <v>5296.3328000000001</v>
      </c>
      <c r="AI10" s="147">
        <f t="shared" ref="AI10:AI24" si="4">IFERROR(IF($AI$6=0,SUM(R10:AC10),INDEX($B$10:$AC$24,$B10,AI$8)),"")</f>
        <v>3796.3328000000006</v>
      </c>
      <c r="AJ10" s="147">
        <f>IFERROR(AI10-AH10,"")</f>
        <v>-1499.9999999999995</v>
      </c>
      <c r="AK10" s="148">
        <f>IFERROR(AI10/AH10,"")</f>
        <v>0.71678516878697662</v>
      </c>
      <c r="AM10" s="106">
        <v>0</v>
      </c>
      <c r="AN10" s="106"/>
      <c r="AO10" s="106"/>
      <c r="AQ10" s="105"/>
      <c r="AR10" s="105"/>
      <c r="AS10" s="105"/>
      <c r="AT10" s="106" t="s">
        <v>3</v>
      </c>
      <c r="AU10" s="107" t="s">
        <v>45</v>
      </c>
      <c r="AV10" s="107" t="s">
        <v>46</v>
      </c>
      <c r="AW10" s="107" t="s">
        <v>70</v>
      </c>
      <c r="AY10" s="149" t="str">
        <f t="shared" ref="AY10:AY24" si="5">IFERROR(IF(LEN(INDEX($B$10:$AC$24,$B10,3))=0,"",INDEX($B$10:$AC$24,$B10,3)),"")</f>
        <v>Employee Costs</v>
      </c>
      <c r="AZ10" s="149" t="str">
        <f>IFERROR(IF(COUNTIF($AY$10:$AY10,AY10)&gt;1,"",AY10),"")</f>
        <v>Employee Costs</v>
      </c>
      <c r="BA10" s="149" t="str">
        <f t="array" ref="BA10">IFERROR(INDEX($AZ$10:$AZ$24,SMALL(IF(LEN($AZ$10:$AZ$24)&gt;0,ROW($AZ$10:$AZ$24)-ROW(INDEX($AZ$10:$AZ$24,1,1))+1),$B10)),"")</f>
        <v>Employee Costs</v>
      </c>
      <c r="BB10" s="122"/>
      <c r="BC10" s="149" t="str">
        <f t="shared" ref="BC10:BC24" si="6">IFERROR(IF(LEN(INDEX($B$10:$AC$24,$B10,4))=0,"",INDEX($B$10:$AC$24,$B10,4)),"")</f>
        <v>International salaries</v>
      </c>
      <c r="BD10" s="145">
        <f>IFERROR(AE10*AI10,"")</f>
        <v>3796.3328000000006</v>
      </c>
      <c r="BF10" s="149" t="str">
        <f t="array" ref="BF10">IFERROR(INDEX($BC$10:$BC$24,SMALL(IF($BD$10:$BD$24&gt;0,ROW($BC$10:$BC$24)-ROW(INDEX($BC$10:$BC$24,1,1))+1),$B10)),"")</f>
        <v>International salaries</v>
      </c>
      <c r="BG10" s="149" t="str">
        <f>IFERROR(IF(COUNTIF($BF$10:$BF10,BF10)&gt;1,"",BF10),"")</f>
        <v>International salaries</v>
      </c>
      <c r="BH10" s="145">
        <f>IFERROR(SUMIF($BC$10:$BC$24,BG10,$BD$10:$BD$24),"")</f>
        <v>3796.3328000000006</v>
      </c>
    </row>
    <row r="11" spans="2:60" x14ac:dyDescent="0.25">
      <c r="B11" s="121">
        <v>2</v>
      </c>
      <c r="C11" s="143">
        <f t="shared" si="1"/>
        <v>1</v>
      </c>
      <c r="D11" s="144" t="str">
        <f>IFERROR(IF(LEN(INDEX(Estimated!$B$6:$O$20,$B11,D$8))=0,"",INDEX(Estimated!$B$6:$O$20,$B11,D$8)),"")</f>
        <v>Employee Costs</v>
      </c>
      <c r="E11" s="144" t="str">
        <f>IFERROR(IF(LEN(INDEX(Estimated!$B$6:$O$20,$B11,E$8))=0,"",INDEX(Estimated!$B$6:$O$20,$B11,E$8)),"")</f>
        <v>India process Salaries</v>
      </c>
      <c r="F11" s="145">
        <f>IFERROR(INDEX(Estimated!$B$6:$O$20,$B11,F$8),0)</f>
        <v>145</v>
      </c>
      <c r="G11" s="145">
        <f>IFERROR(INDEX(Estimated!$B$6:$O$20,$B11,G$8),0)</f>
        <v>146.1</v>
      </c>
      <c r="H11" s="145">
        <f>IFERROR(INDEX(Estimated!$B$6:$O$20,$B11,H$8),0)</f>
        <v>148.52000000000001</v>
      </c>
      <c r="I11" s="145">
        <f>IFERROR(INDEX(Estimated!$B$6:$O$20,$B11,I$8),0)</f>
        <v>148.52000000000001</v>
      </c>
      <c r="J11" s="145">
        <f>IFERROR(INDEX(Estimated!$B$6:$O$20,$B11,J$8),0)</f>
        <v>148.52000000000001</v>
      </c>
      <c r="K11" s="145">
        <f>IFERROR(INDEX(Estimated!$B$6:$O$20,$B11,K$8),0)</f>
        <v>148.52000000000001</v>
      </c>
      <c r="L11" s="145">
        <f>IFERROR(INDEX(Estimated!$B$6:$O$20,$B11,L$8),0)</f>
        <v>148.52000000000001</v>
      </c>
      <c r="M11" s="145">
        <f>IFERROR(INDEX(Estimated!$B$6:$O$20,$B11,M$8),0)</f>
        <v>145.61599999999999</v>
      </c>
      <c r="N11" s="145">
        <f>IFERROR(INDEX(Estimated!$B$6:$O$20,$B11,N$8),0)</f>
        <v>147.9392</v>
      </c>
      <c r="O11" s="145">
        <f>IFERROR(INDEX(Estimated!$B$6:$O$20,$B11,O$8),0)</f>
        <v>150.72703999999999</v>
      </c>
      <c r="P11" s="145">
        <f>IFERROR(INDEX(Estimated!$B$6:$O$20,$B11,P$8),0)</f>
        <v>154.07244800000001</v>
      </c>
      <c r="Q11" s="145">
        <f>IFERROR(INDEX(Estimated!$B$6:$O$20,$B11,Q$8),0)</f>
        <v>154.07244800000001</v>
      </c>
      <c r="R11" s="145">
        <f>IFERROR(INDEX(Actual!$B$6:$O$20,$B11,R$8),0)</f>
        <v>11</v>
      </c>
      <c r="S11" s="145">
        <f>IFERROR(INDEX(Actual!$B$6:$O$20,$B11,S$8),0)</f>
        <v>12.1</v>
      </c>
      <c r="T11" s="145">
        <f>IFERROR(INDEX(Actual!$B$6:$O$20,$B11,T$8),0)</f>
        <v>14.52</v>
      </c>
      <c r="U11" s="145">
        <f>IFERROR(INDEX(Actual!$B$6:$O$20,$B11,U$8),0)</f>
        <v>14.52</v>
      </c>
      <c r="V11" s="145">
        <f>IFERROR(INDEX(Actual!$B$6:$O$20,$B11,V$8),0)</f>
        <v>14.52</v>
      </c>
      <c r="W11" s="145">
        <f>IFERROR(INDEX(Actual!$B$6:$O$20,$B11,W$8),0)</f>
        <v>14.52</v>
      </c>
      <c r="X11" s="145">
        <f>IFERROR(INDEX(Actual!$B$6:$O$20,$B11,X$8),0)</f>
        <v>14.52</v>
      </c>
      <c r="Y11" s="145">
        <f>IFERROR(INDEX(Actual!$B$6:$O$20,$B11,Y$8),0)</f>
        <v>11.616</v>
      </c>
      <c r="Z11" s="145">
        <f>IFERROR(INDEX(Actual!$B$6:$O$20,$B11,Z$8),0)</f>
        <v>13.9392</v>
      </c>
      <c r="AA11" s="145">
        <f>IFERROR(INDEX(Actual!$B$6:$O$20,$B11,AA$8),0)</f>
        <v>16.727039999999999</v>
      </c>
      <c r="AB11" s="145">
        <f>IFERROR(INDEX(Actual!$B$6:$O$20,$B11,AB$8),0)</f>
        <v>20.072447999999998</v>
      </c>
      <c r="AC11" s="145">
        <f>IFERROR(INDEX(Actual!$B$6:$O$20,$B11,AC$8),0)</f>
        <v>20.072447999999998</v>
      </c>
      <c r="AE11" s="146">
        <f>IFERROR(IF(OR(Dashboard!$D$7="",Dashboard!$D$7="All"),1,IF(Dashboard!$D$7=Calc!D11,1,0)),0)</f>
        <v>1</v>
      </c>
      <c r="AF11" s="146">
        <f t="shared" si="2"/>
        <v>1</v>
      </c>
      <c r="AH11" s="147">
        <f t="shared" si="3"/>
        <v>1786.1271360000001</v>
      </c>
      <c r="AI11" s="147">
        <f t="shared" si="4"/>
        <v>178.12713600000001</v>
      </c>
      <c r="AJ11" s="147">
        <f t="shared" ref="AJ11:AJ24" si="7">IFERROR(AI11-AH11,"")</f>
        <v>-1608</v>
      </c>
      <c r="AK11" s="148">
        <f t="shared" ref="AK11:AK24" si="8">IFERROR(AI11/AH11,"")</f>
        <v>9.9728139397127435E-2</v>
      </c>
      <c r="AM11" s="106">
        <v>1</v>
      </c>
      <c r="AN11" s="106" t="s">
        <v>9</v>
      </c>
      <c r="AO11" s="106" t="s">
        <v>71</v>
      </c>
      <c r="AQ11" s="150">
        <f t="shared" ref="AQ11:AQ22" si="9">IFERROR(DATE($AN$27,MATCH($AN$28,$AN$11:$AN$22,0)+AM10,1),"")</f>
        <v>44562</v>
      </c>
      <c r="AR11" s="143" t="str">
        <f>IFERROR(INDEX($AO$11:$AO$22,MONTH(AQ11)),"")</f>
        <v>Jan</v>
      </c>
      <c r="AS11" s="143">
        <f>IFERROR(YEAR(AQ11),"")</f>
        <v>2022</v>
      </c>
      <c r="AT11" s="143" t="str">
        <f>IFERROR(AR11&amp;" "&amp;AS11,"")</f>
        <v>Jan 2022</v>
      </c>
      <c r="AU11" s="145">
        <f t="array" aca="1" ref="AU11" ca="1">IFERROR(SUMPRODUCT(($AF$10:$AF$24)*(OFFSET($A$10,0,$AM11+AU$9,15,1))),"")</f>
        <v>5441.6900000000005</v>
      </c>
      <c r="AV11" s="145">
        <f t="array" aca="1" ref="AV11" ca="1">IFERROR(SUMPRODUCT(($AF$10:$AF$24)*(OFFSET($A$10,0,$AM11+AV$9,15,1))),"")</f>
        <v>2650.69</v>
      </c>
      <c r="AW11" s="151">
        <f ca="1">IFERROR(AV11/AU11,"")</f>
        <v>0.48710786538740719</v>
      </c>
      <c r="AY11" s="149" t="str">
        <f t="shared" si="5"/>
        <v>Employee Costs</v>
      </c>
      <c r="AZ11" s="149" t="str">
        <f>IFERROR(IF(COUNTIF($AY$10:$AY11,AY11)&gt;1,"",AY11),"")</f>
        <v/>
      </c>
      <c r="BA11" s="149" t="str">
        <f t="array" ref="BA11">IFERROR(INDEX($AZ$10:$AZ$24,SMALL(IF(LEN($AZ$10:$AZ$24)&gt;0,ROW($AZ$10:$AZ$24)-ROW(INDEX($AZ$10:$AZ$24,1,1))+1),$B11)),"")</f>
        <v>Office Costs</v>
      </c>
      <c r="BB11" s="122"/>
      <c r="BC11" s="149" t="str">
        <f t="shared" si="6"/>
        <v>India process Salaries</v>
      </c>
      <c r="BD11" s="145">
        <f t="shared" ref="BD11:BD22" si="10">IFERROR(AE11*AI11,"")</f>
        <v>178.12713600000001</v>
      </c>
      <c r="BF11" s="149" t="str">
        <f t="array" ref="BF11">IFERROR(INDEX($BC$10:$BC$24,SMALL(IF($BD$10:$BD$24&gt;0,ROW($BC$10:$BC$24)-ROW(INDEX($BC$10:$BC$24,1,1))+1),$B11)),"")</f>
        <v>India process Salaries</v>
      </c>
      <c r="BG11" s="149" t="str">
        <f>IFERROR(IF(COUNTIF($BF$10:$BF11,BF11)&gt;1,"",BF11),"")</f>
        <v>India process Salaries</v>
      </c>
      <c r="BH11" s="145">
        <f t="shared" ref="BH11:BH24" si="11">IFERROR(SUMIF($BC$10:$BC$24,BG11,$BD$10:$BD$24),"")</f>
        <v>178.12713600000001</v>
      </c>
    </row>
    <row r="12" spans="2:60" x14ac:dyDescent="0.25">
      <c r="B12" s="121">
        <v>3</v>
      </c>
      <c r="C12" s="143">
        <f t="shared" si="1"/>
        <v>1</v>
      </c>
      <c r="D12" s="144" t="str">
        <f>IFERROR(IF(LEN(INDEX(Estimated!$B$6:$O$20,$B12,D$8))=0,"",INDEX(Estimated!$B$6:$O$20,$B12,D$8)),"")</f>
        <v>Employee Costs</v>
      </c>
      <c r="E12" s="144" t="str">
        <f>IFERROR(IF(LEN(INDEX(Estimated!$B$6:$O$20,$B12,E$8))=0,"",INDEX(Estimated!$B$6:$O$20,$B12,E$8)),"")</f>
        <v>Other Salaries</v>
      </c>
      <c r="F12" s="145">
        <f>IFERROR(INDEX(Estimated!$B$6:$O$20,$B12,F$8),0)</f>
        <v>457</v>
      </c>
      <c r="G12" s="145">
        <f>IFERROR(INDEX(Estimated!$B$6:$O$20,$B12,G$8),0)</f>
        <v>457</v>
      </c>
      <c r="H12" s="145">
        <f>IFERROR(INDEX(Estimated!$B$6:$O$20,$B12,H$8),0)</f>
        <v>433</v>
      </c>
      <c r="I12" s="145">
        <f>IFERROR(INDEX(Estimated!$B$6:$O$20,$B12,I$8),0)</f>
        <v>411.4</v>
      </c>
      <c r="J12" s="145">
        <f>IFERROR(INDEX(Estimated!$B$6:$O$20,$B12,J$8),0)</f>
        <v>372.52</v>
      </c>
      <c r="K12" s="145">
        <f>IFERROR(INDEX(Estimated!$B$6:$O$20,$B12,K$8),0)</f>
        <v>356.96800000000002</v>
      </c>
      <c r="L12" s="145">
        <f>IFERROR(INDEX(Estimated!$B$6:$O$20,$B12,L$8),0)</f>
        <v>370.96480000000003</v>
      </c>
      <c r="M12" s="145">
        <f>IFERROR(INDEX(Estimated!$B$6:$O$20,$B12,M$8),0)</f>
        <v>370.96480000000003</v>
      </c>
      <c r="N12" s="145">
        <f>IFERROR(INDEX(Estimated!$B$6:$O$20,$B12,N$8),0)</f>
        <v>340.17184000000003</v>
      </c>
      <c r="O12" s="145">
        <f>IFERROR(INDEX(Estimated!$B$6:$O$20,$B12,O$8),0)</f>
        <v>352.48902400000003</v>
      </c>
      <c r="P12" s="145">
        <f>IFERROR(INDEX(Estimated!$B$6:$O$20,$B12,P$8),0)</f>
        <v>379.58682880000003</v>
      </c>
      <c r="Q12" s="145">
        <f>IFERROR(INDEX(Estimated!$B$6:$O$20,$B12,Q$8),0)</f>
        <v>395.84551168000002</v>
      </c>
      <c r="R12" s="145">
        <f>IFERROR(INDEX(Actual!$B$6:$O$20,$B12,R$8),0)</f>
        <v>240</v>
      </c>
      <c r="S12" s="145">
        <f>IFERROR(INDEX(Actual!$B$6:$O$20,$B12,S$8),0)</f>
        <v>240</v>
      </c>
      <c r="T12" s="145">
        <f>IFERROR(INDEX(Actual!$B$6:$O$20,$B12,T$8),0)</f>
        <v>216</v>
      </c>
      <c r="U12" s="145">
        <f>IFERROR(INDEX(Actual!$B$6:$O$20,$B12,U$8),0)</f>
        <v>194.4</v>
      </c>
      <c r="V12" s="145">
        <f>IFERROR(INDEX(Actual!$B$6:$O$20,$B12,V$8),0)</f>
        <v>155.52000000000001</v>
      </c>
      <c r="W12" s="145">
        <f>IFERROR(INDEX(Actual!$B$6:$O$20,$B12,W$8),0)</f>
        <v>139.96800000000002</v>
      </c>
      <c r="X12" s="145">
        <f>IFERROR(INDEX(Actual!$B$6:$O$20,$B12,X$8),0)</f>
        <v>153.96480000000003</v>
      </c>
      <c r="Y12" s="145">
        <f>IFERROR(INDEX(Actual!$B$6:$O$20,$B12,Y$8),0)</f>
        <v>153.96480000000003</v>
      </c>
      <c r="Z12" s="145">
        <f>IFERROR(INDEX(Actual!$B$6:$O$20,$B12,Z$8),0)</f>
        <v>123.17184000000002</v>
      </c>
      <c r="AA12" s="145">
        <f>IFERROR(INDEX(Actual!$B$6:$O$20,$B12,AA$8),0)</f>
        <v>135.48902400000003</v>
      </c>
      <c r="AB12" s="145">
        <f>IFERROR(INDEX(Actual!$B$6:$O$20,$B12,AB$8),0)</f>
        <v>162.58682880000003</v>
      </c>
      <c r="AC12" s="145">
        <f>IFERROR(INDEX(Actual!$B$6:$O$20,$B12,AC$8),0)</f>
        <v>178.84551168000002</v>
      </c>
      <c r="AE12" s="146">
        <f>IFERROR(IF(OR(Dashboard!$D$7="",Dashboard!$D$7="All"),1,IF(Dashboard!$D$7=Calc!D12,1,0)),0)</f>
        <v>1</v>
      </c>
      <c r="AF12" s="146">
        <f t="shared" si="2"/>
        <v>1</v>
      </c>
      <c r="AH12" s="147">
        <f t="shared" si="3"/>
        <v>4697.9108044799996</v>
      </c>
      <c r="AI12" s="147">
        <f t="shared" si="4"/>
        <v>2093.91080448</v>
      </c>
      <c r="AJ12" s="147">
        <f t="shared" si="7"/>
        <v>-2603.9999999999995</v>
      </c>
      <c r="AK12" s="148">
        <f t="shared" si="8"/>
        <v>0.44571106000633615</v>
      </c>
      <c r="AM12" s="106">
        <v>2</v>
      </c>
      <c r="AN12" s="106" t="s">
        <v>72</v>
      </c>
      <c r="AO12" s="106" t="s">
        <v>73</v>
      </c>
      <c r="AQ12" s="150">
        <f t="shared" si="9"/>
        <v>44593</v>
      </c>
      <c r="AR12" s="143" t="str">
        <f t="shared" ref="AR12:AR22" si="12">IFERROR(INDEX($AO$11:$AO$22,MONTH(AQ12)),"")</f>
        <v>Feb</v>
      </c>
      <c r="AS12" s="143">
        <f t="shared" ref="AS12:AS22" si="13">IFERROR(YEAR(AQ12),"")</f>
        <v>2022</v>
      </c>
      <c r="AT12" s="143" t="str">
        <f t="shared" ref="AT12:AT22" si="14">IFERROR(AR12&amp;" "&amp;AS12,"")</f>
        <v>Feb 2022</v>
      </c>
      <c r="AU12" s="145">
        <f t="array" aca="1" ref="AU12" ca="1">IFERROR(SUMPRODUCT(($AF$10:$AF$24)*(OFFSET($A$10,0,$AM12+AU$9,15,1))),"")</f>
        <v>5329.4380000000001</v>
      </c>
      <c r="AV12" s="145">
        <f t="array" aca="1" ref="AV12" ca="1">IFERROR(SUMPRODUCT(($AF$10:$AF$24)*(OFFSET($A$10,0,$AM12+AV$9,15,1))),"")</f>
        <v>2713.748</v>
      </c>
      <c r="AW12" s="151">
        <f t="shared" ref="AW12:AW22" ca="1" si="15">IFERROR(AV12/AU12,"")</f>
        <v>0.5091996566992617</v>
      </c>
      <c r="AY12" s="149" t="str">
        <f t="shared" si="5"/>
        <v>Employee Costs</v>
      </c>
      <c r="AZ12" s="149" t="str">
        <f>IFERROR(IF(COUNTIF($AY$10:$AY12,AY12)&gt;1,"",AY12),"")</f>
        <v/>
      </c>
      <c r="BA12" s="149" t="str">
        <f t="array" ref="BA12">IFERROR(INDEX($AZ$10:$AZ$24,SMALL(IF(LEN($AZ$10:$AZ$24)&gt;0,ROW($AZ$10:$AZ$24)-ROW(INDEX($AZ$10:$AZ$24,1,1))+1),$B12)),"")</f>
        <v>Vehicle Maintainance</v>
      </c>
      <c r="BB12" s="122"/>
      <c r="BC12" s="149" t="str">
        <f t="shared" si="6"/>
        <v>Other Salaries</v>
      </c>
      <c r="BD12" s="145">
        <f t="shared" si="10"/>
        <v>2093.91080448</v>
      </c>
      <c r="BF12" s="149" t="str">
        <f t="array" ref="BF12">IFERROR(INDEX($BC$10:$BC$24,SMALL(IF($BD$10:$BD$24&gt;0,ROW($BC$10:$BC$24)-ROW(INDEX($BC$10:$BC$24,1,1))+1),$B12)),"")</f>
        <v>Other Salaries</v>
      </c>
      <c r="BG12" s="149" t="str">
        <f>IFERROR(IF(COUNTIF($BF$10:$BF12,BF12)&gt;1,"",BF12),"")</f>
        <v>Other Salaries</v>
      </c>
      <c r="BH12" s="145">
        <f t="shared" si="11"/>
        <v>2093.91080448</v>
      </c>
    </row>
    <row r="13" spans="2:60" x14ac:dyDescent="0.25">
      <c r="B13" s="121">
        <v>4</v>
      </c>
      <c r="C13" s="143">
        <f t="shared" si="1"/>
        <v>1</v>
      </c>
      <c r="D13" s="144" t="str">
        <f>IFERROR(IF(LEN(INDEX(Estimated!$B$6:$O$20,$B13,D$8))=0,"",INDEX(Estimated!$B$6:$O$20,$B13,D$8)),"")</f>
        <v>Employee Costs</v>
      </c>
      <c r="E13" s="144" t="str">
        <f>IFERROR(IF(LEN(INDEX(Estimated!$B$6:$O$20,$B13,E$8))=0,"",INDEX(Estimated!$B$6:$O$20,$B13,E$8)),"")</f>
        <v>Employee Benefit Expenses</v>
      </c>
      <c r="F13" s="145">
        <f>IFERROR(INDEX(Estimated!$B$6:$O$20,$B13,F$8),0)</f>
        <v>211.61</v>
      </c>
      <c r="G13" s="145">
        <f>IFERROR(INDEX(Estimated!$B$6:$O$20,$B13,G$8),0)</f>
        <v>85.358000000000004</v>
      </c>
      <c r="H13" s="145">
        <f>IFERROR(INDEX(Estimated!$B$6:$O$20,$B13,H$8),0)</f>
        <v>109.48559999999999</v>
      </c>
      <c r="I13" s="145">
        <f>IFERROR(INDEX(Estimated!$B$6:$O$20,$B13,I$8),0)</f>
        <v>111.76703999999998</v>
      </c>
      <c r="J13" s="145">
        <f>IFERROR(INDEX(Estimated!$B$6:$O$20,$B13,J$8),0)</f>
        <v>86.478335999999985</v>
      </c>
      <c r="K13" s="145">
        <f>IFERROR(INDEX(Estimated!$B$6:$O$20,$B13,K$8),0)</f>
        <v>73.156607999999991</v>
      </c>
      <c r="L13" s="145">
        <f>IFERROR(INDEX(Estimated!$B$6:$O$20,$B13,L$8),0)</f>
        <v>67.665346559999989</v>
      </c>
      <c r="M13" s="145">
        <f>IFERROR(INDEX(Estimated!$B$6:$O$20,$B13,M$8),0)</f>
        <v>63.424069631999998</v>
      </c>
      <c r="N13" s="145">
        <f>IFERROR(INDEX(Estimated!$B$6:$O$20,$B13,N$8),0)</f>
        <v>54.399253708799996</v>
      </c>
      <c r="O13" s="145">
        <f>IFERROR(INDEX(Estimated!$B$6:$O$20,$B13,O$8),0)</f>
        <v>58.147473162239997</v>
      </c>
      <c r="P13" s="145">
        <f>IFERROR(INDEX(Estimated!$B$6:$O$20,$B13,P$8),0)</f>
        <v>51.176071102464</v>
      </c>
      <c r="Q13" s="145">
        <f>IFERROR(INDEX(Estimated!$B$6:$O$20,$B13,Q$8),0)</f>
        <v>43.395797562163196</v>
      </c>
      <c r="R13" s="145">
        <f>IFERROR(INDEX(Actual!$B$6:$O$20,$B13,R$8),0)</f>
        <v>43.61</v>
      </c>
      <c r="S13" s="145">
        <f>IFERROR(INDEX(Actual!$B$6:$O$20,$B13,S$8),0)</f>
        <v>41.748000000000005</v>
      </c>
      <c r="T13" s="145">
        <f>IFERROR(INDEX(Actual!$B$6:$O$20,$B13,T$8),0)</f>
        <v>67.737599999999986</v>
      </c>
      <c r="U13" s="145">
        <f>IFERROR(INDEX(Actual!$B$6:$O$20,$B13,U$8),0)</f>
        <v>44.029439999999994</v>
      </c>
      <c r="V13" s="145">
        <f>IFERROR(INDEX(Actual!$B$6:$O$20,$B13,V$8),0)</f>
        <v>42.448895999999998</v>
      </c>
      <c r="W13" s="145">
        <f>IFERROR(INDEX(Actual!$B$6:$O$20,$B13,W$8),0)</f>
        <v>30.707711999999994</v>
      </c>
      <c r="X13" s="145">
        <f>IFERROR(INDEX(Actual!$B$6:$O$20,$B13,X$8),0)</f>
        <v>36.957634559999995</v>
      </c>
      <c r="Y13" s="145">
        <f>IFERROR(INDEX(Actual!$B$6:$O$20,$B13,Y$8),0)</f>
        <v>26.466435071999999</v>
      </c>
      <c r="Z13" s="145">
        <f>IFERROR(INDEX(Actual!$B$6:$O$20,$B13,Z$8),0)</f>
        <v>27.932818636799997</v>
      </c>
      <c r="AA13" s="145">
        <f>IFERROR(INDEX(Actual!$B$6:$O$20,$B13,AA$8),0)</f>
        <v>30.21465452544</v>
      </c>
      <c r="AB13" s="145">
        <f>IFERROR(INDEX(Actual!$B$6:$O$20,$B13,AB$8),0)</f>
        <v>20.961416577024</v>
      </c>
      <c r="AC13" s="145">
        <f>IFERROR(INDEX(Actual!$B$6:$O$20,$B13,AC$8),0)</f>
        <v>22.4343809851392</v>
      </c>
      <c r="AE13" s="146">
        <f>IFERROR(IF(OR(Dashboard!$D$7="",Dashboard!$D$7="All"),1,IF(Dashboard!$D$7=Calc!D13,1,0)),0)</f>
        <v>1</v>
      </c>
      <c r="AF13" s="146">
        <f t="shared" si="2"/>
        <v>1</v>
      </c>
      <c r="AH13" s="147">
        <f t="shared" si="3"/>
        <v>1016.0635957276671</v>
      </c>
      <c r="AI13" s="147">
        <f t="shared" si="4"/>
        <v>435.24898835640317</v>
      </c>
      <c r="AJ13" s="147">
        <f t="shared" si="7"/>
        <v>-580.81460737126395</v>
      </c>
      <c r="AK13" s="148">
        <f t="shared" si="8"/>
        <v>0.42836786022699097</v>
      </c>
      <c r="AM13" s="106">
        <v>3</v>
      </c>
      <c r="AN13" s="106" t="s">
        <v>74</v>
      </c>
      <c r="AO13" s="106" t="s">
        <v>75</v>
      </c>
      <c r="AQ13" s="150">
        <f t="shared" si="9"/>
        <v>44621</v>
      </c>
      <c r="AR13" s="143" t="str">
        <f t="shared" si="12"/>
        <v>Mar</v>
      </c>
      <c r="AS13" s="143">
        <f t="shared" si="13"/>
        <v>2022</v>
      </c>
      <c r="AT13" s="143" t="str">
        <f t="shared" si="14"/>
        <v>Mar 2022</v>
      </c>
      <c r="AU13" s="145">
        <f t="array" aca="1" ref="AU13" ca="1">IFERROR(SUMPRODUCT(($AF$10:$AF$24)*(OFFSET($A$10,0,$AM13+AU$9,15,1))),"")</f>
        <v>5395.6288000000004</v>
      </c>
      <c r="AV13" s="145">
        <f t="array" aca="1" ref="AV13" ca="1">IFERROR(SUMPRODUCT(($AF$10:$AF$24)*(OFFSET($A$10,0,$AM13+AV$9,15,1))),"")</f>
        <v>2769.9808000000003</v>
      </c>
      <c r="AW13" s="151">
        <f t="shared" ca="1" si="15"/>
        <v>0.51337497494267958</v>
      </c>
      <c r="AY13" s="149" t="str">
        <f t="shared" si="5"/>
        <v>Employee Costs</v>
      </c>
      <c r="AZ13" s="149" t="str">
        <f>IFERROR(IF(COUNTIF($AY$10:$AY13,AY13)&gt;1,"",AY13),"")</f>
        <v/>
      </c>
      <c r="BA13" s="149" t="str">
        <f t="array" ref="BA13">IFERROR(INDEX($AZ$10:$AZ$24,SMALL(IF(LEN($AZ$10:$AZ$24)&gt;0,ROW($AZ$10:$AZ$24)-ROW(INDEX($AZ$10:$AZ$24,1,1))+1),$B13)),"")</f>
        <v>Food and Beverages</v>
      </c>
      <c r="BB13" s="122"/>
      <c r="BC13" s="149" t="str">
        <f t="shared" si="6"/>
        <v>Employee Benefit Expenses</v>
      </c>
      <c r="BD13" s="145">
        <f t="shared" si="10"/>
        <v>435.24898835640317</v>
      </c>
      <c r="BF13" s="149" t="str">
        <f t="array" ref="BF13">IFERROR(INDEX($BC$10:$BC$24,SMALL(IF($BD$10:$BD$24&gt;0,ROW($BC$10:$BC$24)-ROW(INDEX($BC$10:$BC$24,1,1))+1),$B13)),"")</f>
        <v>Employee Benefit Expenses</v>
      </c>
      <c r="BG13" s="149" t="str">
        <f>IFERROR(IF(COUNTIF($BF$10:$BF13,BF13)&gt;1,"",BF13),"")</f>
        <v>Employee Benefit Expenses</v>
      </c>
      <c r="BH13" s="145">
        <f t="shared" si="11"/>
        <v>435.24898835640317</v>
      </c>
    </row>
    <row r="14" spans="2:60" x14ac:dyDescent="0.25">
      <c r="B14" s="121">
        <v>5</v>
      </c>
      <c r="C14" s="143">
        <f t="shared" si="1"/>
        <v>1</v>
      </c>
      <c r="D14" s="144" t="str">
        <f>IFERROR(IF(LEN(INDEX(Estimated!$B$6:$O$20,$B14,D$8))=0,"",INDEX(Estimated!$B$6:$O$20,$B14,D$8)),"")</f>
        <v>Office Costs</v>
      </c>
      <c r="E14" s="144" t="str">
        <f>IFERROR(IF(LEN(INDEX(Estimated!$B$6:$O$20,$B14,E$8))=0,"",INDEX(Estimated!$B$6:$O$20,$B14,E$8)),"")</f>
        <v>Security Charges</v>
      </c>
      <c r="F14" s="145">
        <f>IFERROR(INDEX(Estimated!$B$6:$O$20,$B14,F$8),0)</f>
        <v>779</v>
      </c>
      <c r="G14" s="145">
        <f>IFERROR(INDEX(Estimated!$B$6:$O$20,$B14,G$8),0)</f>
        <v>896.7</v>
      </c>
      <c r="H14" s="145">
        <f>IFERROR(INDEX(Estimated!$B$6:$O$20,$B14,H$8),0)</f>
        <v>986.36999999999989</v>
      </c>
      <c r="I14" s="145">
        <f>IFERROR(INDEX(Estimated!$B$6:$O$20,$B14,I$8),0)</f>
        <v>1033.3399999999999</v>
      </c>
      <c r="J14" s="145">
        <f>IFERROR(INDEX(Estimated!$B$6:$O$20,$B14,J$8),0)</f>
        <v>981.673</v>
      </c>
      <c r="K14" s="145">
        <f>IFERROR(INDEX(Estimated!$B$6:$O$20,$B14,K$8),0)</f>
        <v>930.00599999999997</v>
      </c>
      <c r="L14" s="145">
        <f>IFERROR(INDEX(Estimated!$B$6:$O$20,$B14,L$8),0)</f>
        <v>1023.0065999999999</v>
      </c>
      <c r="M14" s="145">
        <f>IFERROR(INDEX(Estimated!$B$6:$O$20,$B14,M$8),0)</f>
        <v>1116.0072</v>
      </c>
      <c r="N14" s="145">
        <f>IFERROR(INDEX(Estimated!$B$6:$O$20,$B14,N$8),0)</f>
        <v>1004.40648</v>
      </c>
      <c r="O14" s="145">
        <f>IFERROR(INDEX(Estimated!$B$6:$O$20,$B14,O$8),0)</f>
        <v>892.80575999999996</v>
      </c>
      <c r="P14" s="145">
        <f>IFERROR(INDEX(Estimated!$B$6:$O$20,$B14,P$8),0)</f>
        <v>982.08633599999996</v>
      </c>
      <c r="Q14" s="145">
        <f>IFERROR(INDEX(Estimated!$B$6:$O$20,$B14,Q$8),0)</f>
        <v>1178.5036031999998</v>
      </c>
      <c r="R14" s="145">
        <f>IFERROR(INDEX(Actual!$B$6:$O$20,$B14,R$8),0)</f>
        <v>427</v>
      </c>
      <c r="S14" s="145">
        <f>IFERROR(INDEX(Actual!$B$6:$O$20,$B14,S$8),0)</f>
        <v>469.7</v>
      </c>
      <c r="T14" s="145">
        <f>IFERROR(INDEX(Actual!$B$6:$O$20,$B14,T$8),0)</f>
        <v>516.66999999999996</v>
      </c>
      <c r="U14" s="145">
        <f>IFERROR(INDEX(Actual!$B$6:$O$20,$B14,U$8),0)</f>
        <v>516.66999999999996</v>
      </c>
      <c r="V14" s="145">
        <f>IFERROR(INDEX(Actual!$B$6:$O$20,$B14,V$8),0)</f>
        <v>465.00299999999999</v>
      </c>
      <c r="W14" s="145">
        <f>IFERROR(INDEX(Actual!$B$6:$O$20,$B14,W$8),0)</f>
        <v>465.00299999999999</v>
      </c>
      <c r="X14" s="145">
        <f>IFERROR(INDEX(Actual!$B$6:$O$20,$B14,X$8),0)</f>
        <v>558.00360000000001</v>
      </c>
      <c r="Y14" s="145">
        <f>IFERROR(INDEX(Actual!$B$6:$O$20,$B14,Y$8),0)</f>
        <v>558.00360000000001</v>
      </c>
      <c r="Z14" s="145">
        <f>IFERROR(INDEX(Actual!$B$6:$O$20,$B14,Z$8),0)</f>
        <v>446.40287999999998</v>
      </c>
      <c r="AA14" s="145">
        <f>IFERROR(INDEX(Actual!$B$6:$O$20,$B14,AA$8),0)</f>
        <v>446.40287999999998</v>
      </c>
      <c r="AB14" s="145">
        <f>IFERROR(INDEX(Actual!$B$6:$O$20,$B14,AB$8),0)</f>
        <v>535.68345599999998</v>
      </c>
      <c r="AC14" s="145">
        <f>IFERROR(INDEX(Actual!$B$6:$O$20,$B14,AC$8),0)</f>
        <v>642.82014719999995</v>
      </c>
      <c r="AE14" s="146">
        <f>IFERROR(IF(OR(Dashboard!$D$7="",Dashboard!$D$7="All"),1,IF(Dashboard!$D$7=Calc!D14,1,0)),0)</f>
        <v>1</v>
      </c>
      <c r="AF14" s="146">
        <f t="shared" si="2"/>
        <v>1</v>
      </c>
      <c r="AH14" s="147">
        <f t="shared" si="3"/>
        <v>11803.904979200001</v>
      </c>
      <c r="AI14" s="147">
        <f t="shared" si="4"/>
        <v>6047.3625631999994</v>
      </c>
      <c r="AJ14" s="147">
        <f t="shared" si="7"/>
        <v>-5756.5424160000011</v>
      </c>
      <c r="AK14" s="148">
        <f t="shared" si="8"/>
        <v>0.51231881092369269</v>
      </c>
      <c r="AM14" s="106">
        <v>4</v>
      </c>
      <c r="AN14" s="106" t="s">
        <v>76</v>
      </c>
      <c r="AO14" s="106" t="s">
        <v>77</v>
      </c>
      <c r="AQ14" s="150">
        <f t="shared" si="9"/>
        <v>44652</v>
      </c>
      <c r="AR14" s="143" t="str">
        <f t="shared" si="12"/>
        <v>Apr</v>
      </c>
      <c r="AS14" s="143">
        <f t="shared" si="13"/>
        <v>2022</v>
      </c>
      <c r="AT14" s="143" t="str">
        <f t="shared" si="14"/>
        <v>Apr 2022</v>
      </c>
      <c r="AU14" s="145">
        <f t="array" aca="1" ref="AU14" ca="1">IFERROR(SUMPRODUCT(($AF$10:$AF$24)*(OFFSET($A$10,0,$AM14+AU$9,15,1))),"")</f>
        <v>5562.0683200000003</v>
      </c>
      <c r="AV14" s="145">
        <f t="array" aca="1" ref="AV14" ca="1">IFERROR(SUMPRODUCT(($AF$10:$AF$24)*(OFFSET($A$10,0,$AM14+AV$9,15,1))),"")</f>
        <v>2858.60752</v>
      </c>
      <c r="AW14" s="151">
        <f t="shared" ca="1" si="15"/>
        <v>0.51394685493543157</v>
      </c>
      <c r="AY14" s="149" t="str">
        <f t="shared" si="5"/>
        <v>Office Costs</v>
      </c>
      <c r="AZ14" s="149" t="str">
        <f>IFERROR(IF(COUNTIF($AY$10:$AY14,AY14)&gt;1,"",AY14),"")</f>
        <v>Office Costs</v>
      </c>
      <c r="BA14" s="149" t="str">
        <f t="array" ref="BA14">IFERROR(INDEX($AZ$10:$AZ$24,SMALL(IF(LEN($AZ$10:$AZ$24)&gt;0,ROW($AZ$10:$AZ$24)-ROW(INDEX($AZ$10:$AZ$24,1,1))+1),$B14)),"")</f>
        <v/>
      </c>
      <c r="BB14" s="122"/>
      <c r="BC14" s="149" t="str">
        <f t="shared" si="6"/>
        <v>Security Charges</v>
      </c>
      <c r="BD14" s="145">
        <f t="shared" si="10"/>
        <v>6047.3625631999994</v>
      </c>
      <c r="BF14" s="149" t="str">
        <f t="array" ref="BF14">IFERROR(INDEX($BC$10:$BC$24,SMALL(IF($BD$10:$BD$24&gt;0,ROW($BC$10:$BC$24)-ROW(INDEX($BC$10:$BC$24,1,1))+1),$B14)),"")</f>
        <v>Security Charges</v>
      </c>
      <c r="BG14" s="149" t="str">
        <f>IFERROR(IF(COUNTIF($BF$10:$BF14,BF14)&gt;1,"",BF14),"")</f>
        <v>Security Charges</v>
      </c>
      <c r="BH14" s="145">
        <f t="shared" si="11"/>
        <v>6047.3625631999994</v>
      </c>
    </row>
    <row r="15" spans="2:60" x14ac:dyDescent="0.25">
      <c r="B15" s="121">
        <v>6</v>
      </c>
      <c r="C15" s="143">
        <f t="shared" si="1"/>
        <v>1</v>
      </c>
      <c r="D15" s="144" t="str">
        <f>IFERROR(IF(LEN(INDEX(Estimated!$B$6:$O$20,$B15,D$8))=0,"",INDEX(Estimated!$B$6:$O$20,$B15,D$8)),"")</f>
        <v>Office Costs</v>
      </c>
      <c r="E15" s="144" t="str">
        <f>IFERROR(IF(LEN(INDEX(Estimated!$B$6:$O$20,$B15,E$8))=0,"",INDEX(Estimated!$B$6:$O$20,$B15,E$8)),"")</f>
        <v>Office lease</v>
      </c>
      <c r="F15" s="145">
        <f>IFERROR(INDEX(Estimated!$B$6:$O$20,$B15,F$8),0)</f>
        <v>238</v>
      </c>
      <c r="G15" s="145">
        <f>IFERROR(INDEX(Estimated!$B$6:$O$20,$B15,G$8),0)</f>
        <v>171</v>
      </c>
      <c r="H15" s="145">
        <f>IFERROR(INDEX(Estimated!$B$6:$O$20,$B15,H$8),0)</f>
        <v>162</v>
      </c>
      <c r="I15" s="145">
        <f>IFERROR(INDEX(Estimated!$B$6:$O$20,$B15,I$8),0)</f>
        <v>162</v>
      </c>
      <c r="J15" s="145">
        <f>IFERROR(INDEX(Estimated!$B$6:$O$20,$B15,J$8),0)</f>
        <v>145.80000000000001</v>
      </c>
      <c r="K15" s="145">
        <f>IFERROR(INDEX(Estimated!$B$6:$O$20,$B15,K$8),0)</f>
        <v>129.6</v>
      </c>
      <c r="L15" s="145">
        <f>IFERROR(INDEX(Estimated!$B$6:$O$20,$B15,L$8),0)</f>
        <v>142.56</v>
      </c>
      <c r="M15" s="145">
        <f>IFERROR(INDEX(Estimated!$B$6:$O$20,$B15,M$8),0)</f>
        <v>163.29599999999999</v>
      </c>
      <c r="N15" s="145">
        <f>IFERROR(INDEX(Estimated!$B$6:$O$20,$B15,N$8),0)</f>
        <v>162.51839999999999</v>
      </c>
      <c r="O15" s="145">
        <f>IFERROR(INDEX(Estimated!$B$6:$O$20,$B15,O$8),0)</f>
        <v>169.36127999999997</v>
      </c>
      <c r="P15" s="145">
        <f>IFERROR(INDEX(Estimated!$B$6:$O$20,$B15,P$8),0)</f>
        <v>184.75775999999996</v>
      </c>
      <c r="Q15" s="145">
        <f>IFERROR(INDEX(Estimated!$B$6:$O$20,$B15,Q$8),0)</f>
        <v>175.51987199999996</v>
      </c>
      <c r="R15" s="145">
        <f>IFERROR(INDEX(Actual!$B$6:$O$20,$B15,R$8),0)</f>
        <v>90</v>
      </c>
      <c r="S15" s="145">
        <f>IFERROR(INDEX(Actual!$B$6:$O$20,$B15,S$8),0)</f>
        <v>81</v>
      </c>
      <c r="T15" s="145">
        <f>IFERROR(INDEX(Actual!$B$6:$O$20,$B15,T$8),0)</f>
        <v>81</v>
      </c>
      <c r="U15" s="145">
        <f>IFERROR(INDEX(Actual!$B$6:$O$20,$B15,U$8),0)</f>
        <v>81</v>
      </c>
      <c r="V15" s="145">
        <f>IFERROR(INDEX(Actual!$B$6:$O$20,$B15,V$8),0)</f>
        <v>64.8</v>
      </c>
      <c r="W15" s="145">
        <f>IFERROR(INDEX(Actual!$B$6:$O$20,$B15,W$8),0)</f>
        <v>64.8</v>
      </c>
      <c r="X15" s="145">
        <f>IFERROR(INDEX(Actual!$B$6:$O$20,$B15,X$8),0)</f>
        <v>77.759999999999991</v>
      </c>
      <c r="Y15" s="145">
        <f>IFERROR(INDEX(Actual!$B$6:$O$20,$B15,Y$8),0)</f>
        <v>85.535999999999987</v>
      </c>
      <c r="Z15" s="145">
        <f>IFERROR(INDEX(Actual!$B$6:$O$20,$B15,Z$8),0)</f>
        <v>76.982399999999984</v>
      </c>
      <c r="AA15" s="145">
        <f>IFERROR(INDEX(Actual!$B$6:$O$20,$B15,AA$8),0)</f>
        <v>92.378879999999981</v>
      </c>
      <c r="AB15" s="145">
        <f>IFERROR(INDEX(Actual!$B$6:$O$20,$B15,AB$8),0)</f>
        <v>92.378879999999981</v>
      </c>
      <c r="AC15" s="145">
        <f>IFERROR(INDEX(Actual!$B$6:$O$20,$B15,AC$8),0)</f>
        <v>83.140991999999983</v>
      </c>
      <c r="AE15" s="146">
        <f>IFERROR(IF(OR(Dashboard!$D$7="",Dashboard!$D$7="All"),1,IF(Dashboard!$D$7=Calc!D15,1,0)),0)</f>
        <v>1</v>
      </c>
      <c r="AF15" s="146">
        <f t="shared" si="2"/>
        <v>1</v>
      </c>
      <c r="AH15" s="147">
        <f t="shared" si="3"/>
        <v>2006.4133119999997</v>
      </c>
      <c r="AI15" s="147">
        <f t="shared" si="4"/>
        <v>970.77715199999989</v>
      </c>
      <c r="AJ15" s="147">
        <f t="shared" si="7"/>
        <v>-1035.6361599999998</v>
      </c>
      <c r="AK15" s="148">
        <f t="shared" si="8"/>
        <v>0.4838370769342264</v>
      </c>
      <c r="AM15" s="106">
        <v>5</v>
      </c>
      <c r="AN15" s="106" t="s">
        <v>78</v>
      </c>
      <c r="AO15" s="106" t="s">
        <v>78</v>
      </c>
      <c r="AQ15" s="150">
        <f t="shared" si="9"/>
        <v>44682</v>
      </c>
      <c r="AR15" s="143" t="str">
        <f t="shared" si="12"/>
        <v>May</v>
      </c>
      <c r="AS15" s="143">
        <f t="shared" si="13"/>
        <v>2022</v>
      </c>
      <c r="AT15" s="143" t="str">
        <f t="shared" si="14"/>
        <v>May 2022</v>
      </c>
      <c r="AU15" s="145">
        <f t="array" aca="1" ref="AU15" ca="1">IFERROR(SUMPRODUCT(($AF$10:$AF$24)*(OFFSET($A$10,0,$AM15+AU$9,15,1))),"")</f>
        <v>5333.9968559999998</v>
      </c>
      <c r="AV15" s="145">
        <f t="array" aca="1" ref="AV15" ca="1">IFERROR(SUMPRODUCT(($AF$10:$AF$24)*(OFFSET($A$10,0,$AM15+AV$9,15,1))),"")</f>
        <v>2520.3093359999998</v>
      </c>
      <c r="AW15" s="151">
        <f t="shared" ca="1" si="15"/>
        <v>0.47249921663620864</v>
      </c>
      <c r="AY15" s="149" t="str">
        <f t="shared" si="5"/>
        <v>Office Costs</v>
      </c>
      <c r="AZ15" s="149" t="str">
        <f>IFERROR(IF(COUNTIF($AY$10:$AY15,AY15)&gt;1,"",AY15),"")</f>
        <v/>
      </c>
      <c r="BA15" s="149" t="str">
        <f t="array" ref="BA15">IFERROR(INDEX($AZ$10:$AZ$24,SMALL(IF(LEN($AZ$10:$AZ$24)&gt;0,ROW($AZ$10:$AZ$24)-ROW(INDEX($AZ$10:$AZ$24,1,1))+1),$B15)),"")</f>
        <v/>
      </c>
      <c r="BB15" s="122"/>
      <c r="BC15" s="149" t="str">
        <f t="shared" si="6"/>
        <v>Office lease</v>
      </c>
      <c r="BD15" s="145">
        <f t="shared" si="10"/>
        <v>970.77715199999989</v>
      </c>
      <c r="BF15" s="149" t="str">
        <f t="array" ref="BF15">IFERROR(INDEX($BC$10:$BC$24,SMALL(IF($BD$10:$BD$24&gt;0,ROW($BC$10:$BC$24)-ROW(INDEX($BC$10:$BC$24,1,1))+1),$B15)),"")</f>
        <v>Office lease</v>
      </c>
      <c r="BG15" s="149" t="str">
        <f>IFERROR(IF(COUNTIF($BF$10:$BF15,BF15)&gt;1,"",BF15),"")</f>
        <v>Office lease</v>
      </c>
      <c r="BH15" s="145">
        <f t="shared" si="11"/>
        <v>970.77715199999989</v>
      </c>
    </row>
    <row r="16" spans="2:60" x14ac:dyDescent="0.25">
      <c r="B16" s="121">
        <v>7</v>
      </c>
      <c r="C16" s="143">
        <f t="shared" si="1"/>
        <v>1</v>
      </c>
      <c r="D16" s="144" t="str">
        <f>IFERROR(IF(LEN(INDEX(Estimated!$B$6:$O$20,$B16,D$8))=0,"",INDEX(Estimated!$B$6:$O$20,$B16,D$8)),"")</f>
        <v>Office Costs</v>
      </c>
      <c r="E16" s="144" t="str">
        <f>IFERROR(IF(LEN(INDEX(Estimated!$B$6:$O$20,$B16,E$8))=0,"",INDEX(Estimated!$B$6:$O$20,$B16,E$8)),"")</f>
        <v>Furniture Purchase</v>
      </c>
      <c r="F16" s="145">
        <f>IFERROR(INDEX(Estimated!$B$6:$O$20,$B16,F$8),0)</f>
        <v>426.08000000000004</v>
      </c>
      <c r="G16" s="145">
        <f>IFERROR(INDEX(Estimated!$B$6:$O$20,$B16,G$8),0)</f>
        <v>325.68</v>
      </c>
      <c r="H16" s="145">
        <f>IFERROR(INDEX(Estimated!$B$6:$O$20,$B16,H$8),0)</f>
        <v>276.88319999999999</v>
      </c>
      <c r="I16" s="145">
        <f>IFERROR(INDEX(Estimated!$B$6:$O$20,$B16,I$8),0)</f>
        <v>223.36127999999997</v>
      </c>
      <c r="J16" s="145">
        <f>IFERROR(INDEX(Estimated!$B$6:$O$20,$B16,J$8),0)</f>
        <v>215.80991999999998</v>
      </c>
      <c r="K16" s="145">
        <f>IFERROR(INDEX(Estimated!$B$6:$O$20,$B16,K$8),0)</f>
        <v>189.57887999999997</v>
      </c>
      <c r="L16" s="145">
        <f>IFERROR(INDEX(Estimated!$B$6:$O$20,$B16,L$8),0)</f>
        <v>159.67549439999999</v>
      </c>
      <c r="M16" s="145">
        <f>IFERROR(INDEX(Estimated!$B$6:$O$20,$B16,M$8),0)</f>
        <v>139.07220480000001</v>
      </c>
      <c r="N16" s="145">
        <f>IFERROR(INDEX(Estimated!$B$6:$O$20,$B16,N$8),0)</f>
        <v>129.37148927999999</v>
      </c>
      <c r="O16" s="145">
        <f>IFERROR(INDEX(Estimated!$B$6:$O$20,$B16,O$8),0)</f>
        <v>124.62414796799997</v>
      </c>
      <c r="P16" s="145">
        <f>IFERROR(INDEX(Estimated!$B$6:$O$20,$B16,P$8),0)</f>
        <v>119.60209612799999</v>
      </c>
      <c r="Q16" s="145">
        <f>IFERROR(INDEX(Estimated!$B$6:$O$20,$B16,Q$8),0)</f>
        <v>118.55905459199998</v>
      </c>
      <c r="R16" s="145">
        <f>IFERROR(INDEX(Actual!$B$6:$O$20,$B16,R$8),0)</f>
        <v>160.08000000000001</v>
      </c>
      <c r="S16" s="145">
        <f>IFERROR(INDEX(Actual!$B$6:$O$20,$B16,S$8),0)</f>
        <v>165.6</v>
      </c>
      <c r="T16" s="145">
        <f>IFERROR(INDEX(Actual!$B$6:$O$20,$B16,T$8),0)</f>
        <v>111.28319999999999</v>
      </c>
      <c r="U16" s="145">
        <f>IFERROR(INDEX(Actual!$B$6:$O$20,$B16,U$8),0)</f>
        <v>112.07807999999999</v>
      </c>
      <c r="V16" s="145">
        <f>IFERROR(INDEX(Actual!$B$6:$O$20,$B16,V$8),0)</f>
        <v>103.73183999999999</v>
      </c>
      <c r="W16" s="145">
        <f>IFERROR(INDEX(Actual!$B$6:$O$20,$B16,W$8),0)</f>
        <v>85.847039999999993</v>
      </c>
      <c r="X16" s="145">
        <f>IFERROR(INDEX(Actual!$B$6:$O$20,$B16,X$8),0)</f>
        <v>73.828454399999998</v>
      </c>
      <c r="Y16" s="145">
        <f>IFERROR(INDEX(Actual!$B$6:$O$20,$B16,Y$8),0)</f>
        <v>65.243750399999996</v>
      </c>
      <c r="Z16" s="145">
        <f>IFERROR(INDEX(Actual!$B$6:$O$20,$B16,Z$8),0)</f>
        <v>64.127738879999981</v>
      </c>
      <c r="AA16" s="145">
        <f>IFERROR(INDEX(Actual!$B$6:$O$20,$B16,AA$8),0)</f>
        <v>60.496409087999993</v>
      </c>
      <c r="AB16" s="145">
        <f>IFERROR(INDEX(Actual!$B$6:$O$20,$B16,AB$8),0)</f>
        <v>59.105687039999992</v>
      </c>
      <c r="AC16" s="145">
        <f>IFERROR(INDEX(Actual!$B$6:$O$20,$B16,AC$8),0)</f>
        <v>59.453367551999989</v>
      </c>
      <c r="AE16" s="146">
        <f>IFERROR(IF(OR(Dashboard!$D$7="",Dashboard!$D$7="All"),1,IF(Dashboard!$D$7=Calc!D16,1,0)),0)</f>
        <v>1</v>
      </c>
      <c r="AF16" s="146">
        <f t="shared" si="2"/>
        <v>1</v>
      </c>
      <c r="AH16" s="147">
        <f t="shared" si="3"/>
        <v>2448.2977671679996</v>
      </c>
      <c r="AI16" s="147">
        <f t="shared" si="4"/>
        <v>1120.8755673599996</v>
      </c>
      <c r="AJ16" s="147">
        <f t="shared" si="7"/>
        <v>-1327.422199808</v>
      </c>
      <c r="AK16" s="148">
        <f t="shared" si="8"/>
        <v>0.45781831866658168</v>
      </c>
      <c r="AM16" s="106">
        <v>6</v>
      </c>
      <c r="AN16" s="106" t="s">
        <v>79</v>
      </c>
      <c r="AO16" s="106" t="s">
        <v>80</v>
      </c>
      <c r="AQ16" s="150">
        <f t="shared" si="9"/>
        <v>44713</v>
      </c>
      <c r="AR16" s="143" t="str">
        <f t="shared" si="12"/>
        <v>Jun</v>
      </c>
      <c r="AS16" s="143">
        <f t="shared" si="13"/>
        <v>2022</v>
      </c>
      <c r="AT16" s="143" t="str">
        <f t="shared" si="14"/>
        <v>Jun 2022</v>
      </c>
      <c r="AU16" s="145">
        <f t="array" aca="1" ref="AU16" ca="1">IFERROR(SUMPRODUCT(($AF$10:$AF$24)*(OFFSET($A$10,0,$AM16+AU$9,15,1))),"")</f>
        <v>5110.4250080000002</v>
      </c>
      <c r="AV16" s="145">
        <f t="array" aca="1" ref="AV16" ca="1">IFERROR(SUMPRODUCT(($AF$10:$AF$24)*(OFFSET($A$10,0,$AM16+AV$9,15,1))),"")</f>
        <v>2596.1556719999999</v>
      </c>
      <c r="AW16" s="151">
        <f t="shared" ca="1" si="15"/>
        <v>0.50801169529655676</v>
      </c>
      <c r="AY16" s="149" t="str">
        <f t="shared" si="5"/>
        <v>Office Costs</v>
      </c>
      <c r="AZ16" s="149" t="str">
        <f>IFERROR(IF(COUNTIF($AY$10:$AY16,AY16)&gt;1,"",AY16),"")</f>
        <v/>
      </c>
      <c r="BA16" s="149" t="str">
        <f t="array" ref="BA16">IFERROR(INDEX($AZ$10:$AZ$24,SMALL(IF(LEN($AZ$10:$AZ$24)&gt;0,ROW($AZ$10:$AZ$24)-ROW(INDEX($AZ$10:$AZ$24,1,1))+1),$B16)),"")</f>
        <v/>
      </c>
      <c r="BB16" s="122"/>
      <c r="BC16" s="149" t="str">
        <f t="shared" si="6"/>
        <v>Furniture Purchase</v>
      </c>
      <c r="BD16" s="145">
        <f t="shared" si="10"/>
        <v>1120.8755673599996</v>
      </c>
      <c r="BF16" s="149" t="str">
        <f t="array" ref="BF16">IFERROR(INDEX($BC$10:$BC$24,SMALL(IF($BD$10:$BD$24&gt;0,ROW($BC$10:$BC$24)-ROW(INDEX($BC$10:$BC$24,1,1))+1),$B16)),"")</f>
        <v>Furniture Purchase</v>
      </c>
      <c r="BG16" s="149" t="str">
        <f>IFERROR(IF(COUNTIF($BF$10:$BF16,BF16)&gt;1,"",BF16),"")</f>
        <v>Furniture Purchase</v>
      </c>
      <c r="BH16" s="145">
        <f t="shared" si="11"/>
        <v>1120.8755673599996</v>
      </c>
    </row>
    <row r="17" spans="2:60" x14ac:dyDescent="0.25">
      <c r="B17" s="121">
        <v>8</v>
      </c>
      <c r="C17" s="143">
        <f t="shared" si="1"/>
        <v>1</v>
      </c>
      <c r="D17" s="144" t="str">
        <f>IFERROR(IF(LEN(INDEX(Estimated!$B$6:$O$20,$B17,D$8))=0,"",INDEX(Estimated!$B$6:$O$20,$B17,D$8)),"")</f>
        <v>Vehicle Maintainance</v>
      </c>
      <c r="E17" s="144" t="str">
        <f>IFERROR(IF(LEN(INDEX(Estimated!$B$6:$O$20,$B17,E$8))=0,"",INDEX(Estimated!$B$6:$O$20,$B17,E$8)),"")</f>
        <v>Santro Petrol</v>
      </c>
      <c r="F17" s="145">
        <f>IFERROR(INDEX(Estimated!$B$6:$O$20,$B17,F$8),0)</f>
        <v>600</v>
      </c>
      <c r="G17" s="145">
        <f>IFERROR(INDEX(Estimated!$B$6:$O$20,$B17,G$8),0)</f>
        <v>479.6</v>
      </c>
      <c r="H17" s="145">
        <f>IFERROR(INDEX(Estimated!$B$6:$O$20,$B17,H$8),0)</f>
        <v>549.36000000000013</v>
      </c>
      <c r="I17" s="145">
        <f>IFERROR(INDEX(Estimated!$B$6:$O$20,$B17,I$8),0)</f>
        <v>575.5200000000001</v>
      </c>
      <c r="J17" s="145">
        <f>IFERROR(INDEX(Estimated!$B$6:$O$20,$B17,J$8),0)</f>
        <v>575.5200000000001</v>
      </c>
      <c r="K17" s="145">
        <f>IFERROR(INDEX(Estimated!$B$6:$O$20,$B17,K$8),0)</f>
        <v>633.07200000000012</v>
      </c>
      <c r="L17" s="145">
        <f>IFERROR(INDEX(Estimated!$B$6:$O$20,$B17,L$8),0)</f>
        <v>725.15520000000015</v>
      </c>
      <c r="M17" s="145">
        <f>IFERROR(INDEX(Estimated!$B$6:$O$20,$B17,M$8),0)</f>
        <v>759.68640000000016</v>
      </c>
      <c r="N17" s="145">
        <f>IFERROR(INDEX(Estimated!$B$6:$O$20,$B17,N$8),0)</f>
        <v>835.65504000000021</v>
      </c>
      <c r="O17" s="145">
        <f>IFERROR(INDEX(Estimated!$B$6:$O$20,$B17,O$8),0)</f>
        <v>957.20486400000027</v>
      </c>
      <c r="P17" s="145">
        <f>IFERROR(INDEX(Estimated!$B$6:$O$20,$B17,P$8),0)</f>
        <v>1052.9253504000003</v>
      </c>
      <c r="Q17" s="145">
        <f>IFERROR(INDEX(Estimated!$B$6:$O$20,$B17,Q$8),0)</f>
        <v>1158.2178854400004</v>
      </c>
      <c r="R17" s="145">
        <f>IFERROR(INDEX(Actual!$B$6:$O$20,$B17,R$8),0)</f>
        <v>218</v>
      </c>
      <c r="S17" s="145">
        <f>IFERROR(INDEX(Actual!$B$6:$O$20,$B17,S$8),0)</f>
        <v>261.60000000000002</v>
      </c>
      <c r="T17" s="145">
        <f>IFERROR(INDEX(Actual!$B$6:$O$20,$B17,T$8),0)</f>
        <v>287.76000000000005</v>
      </c>
      <c r="U17" s="145">
        <f>IFERROR(INDEX(Actual!$B$6:$O$20,$B17,U$8),0)</f>
        <v>287.76000000000005</v>
      </c>
      <c r="V17" s="145">
        <f>IFERROR(INDEX(Actual!$B$6:$O$20,$B17,V$8),0)</f>
        <v>287.76000000000005</v>
      </c>
      <c r="W17" s="145">
        <f>IFERROR(INDEX(Actual!$B$6:$O$20,$B17,W$8),0)</f>
        <v>345.31200000000007</v>
      </c>
      <c r="X17" s="145">
        <f>IFERROR(INDEX(Actual!$B$6:$O$20,$B17,X$8),0)</f>
        <v>379.84320000000008</v>
      </c>
      <c r="Y17" s="145">
        <f>IFERROR(INDEX(Actual!$B$6:$O$20,$B17,Y$8),0)</f>
        <v>379.84320000000008</v>
      </c>
      <c r="Z17" s="145">
        <f>IFERROR(INDEX(Actual!$B$6:$O$20,$B17,Z$8),0)</f>
        <v>455.81184000000013</v>
      </c>
      <c r="AA17" s="145">
        <f>IFERROR(INDEX(Actual!$B$6:$O$20,$B17,AA$8),0)</f>
        <v>501.39302400000014</v>
      </c>
      <c r="AB17" s="145">
        <f>IFERROR(INDEX(Actual!$B$6:$O$20,$B17,AB$8),0)</f>
        <v>551.5323264000001</v>
      </c>
      <c r="AC17" s="145">
        <f>IFERROR(INDEX(Actual!$B$6:$O$20,$B17,AC$8),0)</f>
        <v>606.68555904000016</v>
      </c>
      <c r="AE17" s="146">
        <f>IFERROR(IF(OR(Dashboard!$D$7="",Dashboard!$D$7="All"),1,IF(Dashboard!$D$7=Calc!D17,1,0)),0)</f>
        <v>1</v>
      </c>
      <c r="AF17" s="146">
        <f t="shared" si="2"/>
        <v>1</v>
      </c>
      <c r="AH17" s="147">
        <f t="shared" si="3"/>
        <v>8901.9167398400023</v>
      </c>
      <c r="AI17" s="147">
        <f t="shared" si="4"/>
        <v>4563.3011494400007</v>
      </c>
      <c r="AJ17" s="147">
        <f t="shared" si="7"/>
        <v>-4338.6155904000016</v>
      </c>
      <c r="AK17" s="148">
        <f t="shared" si="8"/>
        <v>0.51262006630742973</v>
      </c>
      <c r="AM17" s="106">
        <v>7</v>
      </c>
      <c r="AN17" s="106" t="s">
        <v>81</v>
      </c>
      <c r="AO17" s="106" t="s">
        <v>82</v>
      </c>
      <c r="AQ17" s="150">
        <f t="shared" si="9"/>
        <v>44743</v>
      </c>
      <c r="AR17" s="143" t="str">
        <f t="shared" si="12"/>
        <v>Jul</v>
      </c>
      <c r="AS17" s="143">
        <f t="shared" si="13"/>
        <v>2022</v>
      </c>
      <c r="AT17" s="143" t="str">
        <f t="shared" si="14"/>
        <v>Jul 2022</v>
      </c>
      <c r="AU17" s="145">
        <f t="array" aca="1" ref="AU17" ca="1">IFERROR(SUMPRODUCT(($AF$10:$AF$24)*(OFFSET($A$10,0,$AM17+AU$9,15,1))),"")</f>
        <v>5228.0332169600006</v>
      </c>
      <c r="AV17" s="145">
        <f t="array" aca="1" ref="AV17" ca="1">IFERROR(SUMPRODUCT(($AF$10:$AF$24)*(OFFSET($A$10,0,$AM17+AV$9,15,1))),"")</f>
        <v>2684.7655449600006</v>
      </c>
      <c r="AW17" s="151">
        <f t="shared" ca="1" si="15"/>
        <v>0.51353261036109854</v>
      </c>
      <c r="AY17" s="149" t="str">
        <f t="shared" si="5"/>
        <v>Vehicle Maintainance</v>
      </c>
      <c r="AZ17" s="149" t="str">
        <f>IFERROR(IF(COUNTIF($AY$10:$AY17,AY17)&gt;1,"",AY17),"")</f>
        <v>Vehicle Maintainance</v>
      </c>
      <c r="BA17" s="149" t="str">
        <f t="array" ref="BA17">IFERROR(INDEX($AZ$10:$AZ$24,SMALL(IF(LEN($AZ$10:$AZ$24)&gt;0,ROW($AZ$10:$AZ$24)-ROW(INDEX($AZ$10:$AZ$24,1,1))+1),$B17)),"")</f>
        <v/>
      </c>
      <c r="BB17" s="122"/>
      <c r="BC17" s="149" t="str">
        <f t="shared" si="6"/>
        <v>Santro Petrol</v>
      </c>
      <c r="BD17" s="145">
        <f t="shared" si="10"/>
        <v>4563.3011494400007</v>
      </c>
      <c r="BF17" s="149" t="str">
        <f t="array" ref="BF17">IFERROR(INDEX($BC$10:$BC$24,SMALL(IF($BD$10:$BD$24&gt;0,ROW($BC$10:$BC$24)-ROW(INDEX($BC$10:$BC$24,1,1))+1),$B17)),"")</f>
        <v>Santro Petrol</v>
      </c>
      <c r="BG17" s="149" t="str">
        <f>IFERROR(IF(COUNTIF($BF$10:$BF17,BF17)&gt;1,"",BF17),"")</f>
        <v>Santro Petrol</v>
      </c>
      <c r="BH17" s="145">
        <f t="shared" si="11"/>
        <v>4563.3011494400007</v>
      </c>
    </row>
    <row r="18" spans="2:60" x14ac:dyDescent="0.25">
      <c r="B18" s="121">
        <v>9</v>
      </c>
      <c r="C18" s="143">
        <f t="shared" si="1"/>
        <v>1</v>
      </c>
      <c r="D18" s="144" t="str">
        <f>IFERROR(IF(LEN(INDEX(Estimated!$B$6:$O$20,$B18,D$8))=0,"",INDEX(Estimated!$B$6:$O$20,$B18,D$8)),"")</f>
        <v>Vehicle Maintainance</v>
      </c>
      <c r="E18" s="144" t="str">
        <f>IFERROR(IF(LEN(INDEX(Estimated!$B$6:$O$20,$B18,E$8))=0,"",INDEX(Estimated!$B$6:$O$20,$B18,E$8)),"")</f>
        <v>Santro Maintenance</v>
      </c>
      <c r="F18" s="145">
        <f>IFERROR(INDEX(Estimated!$B$6:$O$20,$B18,F$8),0)</f>
        <v>573</v>
      </c>
      <c r="G18" s="145">
        <f>IFERROR(INDEX(Estimated!$B$6:$O$20,$B18,G$8),0)</f>
        <v>863.1</v>
      </c>
      <c r="H18" s="145">
        <f>IFERROR(INDEX(Estimated!$B$6:$O$20,$B18,H$8),0)</f>
        <v>949.41000000000008</v>
      </c>
      <c r="I18" s="145">
        <f>IFERROR(INDEX(Estimated!$B$6:$O$20,$B18,I$8),0)</f>
        <v>994.62000000000012</v>
      </c>
      <c r="J18" s="145">
        <f>IFERROR(INDEX(Estimated!$B$6:$O$20,$B18,J$8),0)</f>
        <v>895.15800000000013</v>
      </c>
      <c r="K18" s="145">
        <f>IFERROR(INDEX(Estimated!$B$6:$O$20,$B18,K$8),0)</f>
        <v>755.91120000000012</v>
      </c>
      <c r="L18" s="145">
        <f>IFERROR(INDEX(Estimated!$B$6:$O$20,$B18,L$8),0)</f>
        <v>751.93272000000013</v>
      </c>
      <c r="M18" s="145">
        <f>IFERROR(INDEX(Estimated!$B$6:$O$20,$B18,M$8),0)</f>
        <v>787.73904000000016</v>
      </c>
      <c r="N18" s="145">
        <f>IFERROR(INDEX(Estimated!$B$6:$O$20,$B18,N$8),0)</f>
        <v>866.51294400000006</v>
      </c>
      <c r="O18" s="145">
        <f>IFERROR(INDEX(Estimated!$B$6:$O$20,$B18,O$8),0)</f>
        <v>945.28684800000008</v>
      </c>
      <c r="P18" s="145">
        <f>IFERROR(INDEX(Estimated!$B$6:$O$20,$B18,P$8),0)</f>
        <v>850.75816320000013</v>
      </c>
      <c r="Q18" s="145">
        <f>IFERROR(INDEX(Estimated!$B$6:$O$20,$B18,Q$8),0)</f>
        <v>718.41800448000004</v>
      </c>
      <c r="R18" s="145">
        <f>IFERROR(INDEX(Actual!$B$6:$O$20,$B18,R$8),0)</f>
        <v>411</v>
      </c>
      <c r="S18" s="145">
        <f>IFERROR(INDEX(Actual!$B$6:$O$20,$B18,S$8),0)</f>
        <v>452.1</v>
      </c>
      <c r="T18" s="145">
        <f>IFERROR(INDEX(Actual!$B$6:$O$20,$B18,T$8),0)</f>
        <v>497.31000000000006</v>
      </c>
      <c r="U18" s="145">
        <f>IFERROR(INDEX(Actual!$B$6:$O$20,$B18,U$8),0)</f>
        <v>497.31000000000006</v>
      </c>
      <c r="V18" s="145">
        <f>IFERROR(INDEX(Actual!$B$6:$O$20,$B18,V$8),0)</f>
        <v>397.84800000000007</v>
      </c>
      <c r="W18" s="145">
        <f>IFERROR(INDEX(Actual!$B$6:$O$20,$B18,W$8),0)</f>
        <v>358.06320000000005</v>
      </c>
      <c r="X18" s="145">
        <f>IFERROR(INDEX(Actual!$B$6:$O$20,$B18,X$8),0)</f>
        <v>393.86952000000008</v>
      </c>
      <c r="Y18" s="145">
        <f>IFERROR(INDEX(Actual!$B$6:$O$20,$B18,Y$8),0)</f>
        <v>393.86952000000008</v>
      </c>
      <c r="Z18" s="145">
        <f>IFERROR(INDEX(Actual!$B$6:$O$20,$B18,Z$8),0)</f>
        <v>472.64342400000004</v>
      </c>
      <c r="AA18" s="145">
        <f>IFERROR(INDEX(Actual!$B$6:$O$20,$B18,AA$8),0)</f>
        <v>472.64342400000004</v>
      </c>
      <c r="AB18" s="145">
        <f>IFERROR(INDEX(Actual!$B$6:$O$20,$B18,AB$8),0)</f>
        <v>378.11473920000003</v>
      </c>
      <c r="AC18" s="145">
        <f>IFERROR(INDEX(Actual!$B$6:$O$20,$B18,AC$8),0)</f>
        <v>340.30326528000006</v>
      </c>
      <c r="AE18" s="146">
        <f>IFERROR(IF(OR(Dashboard!$D$7="",Dashboard!$D$7="All"),1,IF(Dashboard!$D$7=Calc!D18,1,0)),0)</f>
        <v>1</v>
      </c>
      <c r="AF18" s="146">
        <f t="shared" si="2"/>
        <v>1</v>
      </c>
      <c r="AH18" s="147">
        <f t="shared" si="3"/>
        <v>9951.8469196800015</v>
      </c>
      <c r="AI18" s="147">
        <f t="shared" si="4"/>
        <v>5065.0750924800013</v>
      </c>
      <c r="AJ18" s="147">
        <f t="shared" si="7"/>
        <v>-4886.7718272000002</v>
      </c>
      <c r="AK18" s="148">
        <f t="shared" si="8"/>
        <v>0.50895830023909439</v>
      </c>
      <c r="AM18" s="106">
        <v>8</v>
      </c>
      <c r="AN18" s="106" t="s">
        <v>83</v>
      </c>
      <c r="AO18" s="106" t="s">
        <v>84</v>
      </c>
      <c r="AQ18" s="150">
        <f t="shared" si="9"/>
        <v>44774</v>
      </c>
      <c r="AR18" s="143" t="str">
        <f t="shared" si="12"/>
        <v>Aug</v>
      </c>
      <c r="AS18" s="143">
        <f t="shared" si="13"/>
        <v>2022</v>
      </c>
      <c r="AT18" s="143" t="str">
        <f t="shared" si="14"/>
        <v>Aug 2022</v>
      </c>
      <c r="AU18" s="145">
        <f t="array" aca="1" ref="AU18" ca="1">IFERROR(SUMPRODUCT(($AF$10:$AF$24)*(OFFSET($A$10,0,$AM18+AU$9,15,1))),"")</f>
        <v>5417.223602432</v>
      </c>
      <c r="AV18" s="145">
        <f t="array" aca="1" ref="AV18" ca="1">IFERROR(SUMPRODUCT(($AF$10:$AF$24)*(OFFSET($A$10,0,$AM18+AV$9,15,1))),"")</f>
        <v>2761.9028574720005</v>
      </c>
      <c r="AW18" s="151">
        <f t="shared" ca="1" si="15"/>
        <v>0.50983733738294945</v>
      </c>
      <c r="AY18" s="149" t="str">
        <f t="shared" si="5"/>
        <v>Vehicle Maintainance</v>
      </c>
      <c r="AZ18" s="149" t="str">
        <f>IFERROR(IF(COUNTIF($AY$10:$AY18,AY18)&gt;1,"",AY18),"")</f>
        <v/>
      </c>
      <c r="BA18" s="149" t="str">
        <f t="array" ref="BA18">IFERROR(INDEX($AZ$10:$AZ$24,SMALL(IF(LEN($AZ$10:$AZ$24)&gt;0,ROW($AZ$10:$AZ$24)-ROW(INDEX($AZ$10:$AZ$24,1,1))+1),$B18)),"")</f>
        <v/>
      </c>
      <c r="BB18" s="122"/>
      <c r="BC18" s="149" t="str">
        <f t="shared" si="6"/>
        <v>Santro Maintenance</v>
      </c>
      <c r="BD18" s="145">
        <f t="shared" si="10"/>
        <v>5065.0750924800013</v>
      </c>
      <c r="BF18" s="149" t="str">
        <f t="array" ref="BF18">IFERROR(INDEX($BC$10:$BC$24,SMALL(IF($BD$10:$BD$24&gt;0,ROW($BC$10:$BC$24)-ROW(INDEX($BC$10:$BC$24,1,1))+1),$B18)),"")</f>
        <v>Santro Maintenance</v>
      </c>
      <c r="BG18" s="149" t="str">
        <f>IFERROR(IF(COUNTIF($BF$10:$BF18,BF18)&gt;1,"",BF18),"")</f>
        <v>Santro Maintenance</v>
      </c>
      <c r="BH18" s="145">
        <f t="shared" si="11"/>
        <v>5065.0750924800013</v>
      </c>
    </row>
    <row r="19" spans="2:60" x14ac:dyDescent="0.25">
      <c r="B19" s="121">
        <v>10</v>
      </c>
      <c r="C19" s="143">
        <f t="shared" si="1"/>
        <v>1</v>
      </c>
      <c r="D19" s="144" t="str">
        <f>IFERROR(IF(LEN(INDEX(Estimated!$B$6:$O$20,$B19,D$8))=0,"",INDEX(Estimated!$B$6:$O$20,$B19,D$8)),"")</f>
        <v>Vehicle Maintainance</v>
      </c>
      <c r="E19" s="144" t="str">
        <f>IFERROR(IF(LEN(INDEX(Estimated!$B$6:$O$20,$B19,E$8))=0,"",INDEX(Estimated!$B$6:$O$20,$B19,E$8)),"")</f>
        <v>Micra Maintainance</v>
      </c>
      <c r="F19" s="145">
        <f>IFERROR(INDEX(Estimated!$B$6:$O$20,$B19,F$8),0)</f>
        <v>339</v>
      </c>
      <c r="G19" s="145">
        <f>IFERROR(INDEX(Estimated!$B$6:$O$20,$B19,G$8),0)</f>
        <v>37.799999999999997</v>
      </c>
      <c r="H19" s="145">
        <f>IFERROR(INDEX(Estimated!$B$6:$O$20,$B19,H$8),0)</f>
        <v>41.58</v>
      </c>
      <c r="I19" s="145">
        <f>IFERROR(INDEX(Estimated!$B$6:$O$20,$B19,I$8),0)</f>
        <v>47.916000000000004</v>
      </c>
      <c r="J19" s="145">
        <f>IFERROR(INDEX(Estimated!$B$6:$O$20,$B19,J$8),0)</f>
        <v>49.6584</v>
      </c>
      <c r="K19" s="145">
        <f>IFERROR(INDEX(Estimated!$B$6:$O$20,$B19,K$8),0)</f>
        <v>51.749279999999999</v>
      </c>
      <c r="L19" s="145">
        <f>IFERROR(INDEX(Estimated!$B$6:$O$20,$B19,L$8),0)</f>
        <v>50.808384000000004</v>
      </c>
      <c r="M19" s="145">
        <f>IFERROR(INDEX(Estimated!$B$6:$O$20,$B19,M$8),0)</f>
        <v>42.9048576</v>
      </c>
      <c r="N19" s="145">
        <f>IFERROR(INDEX(Estimated!$B$6:$O$20,$B19,N$8),0)</f>
        <v>42.679042559999999</v>
      </c>
      <c r="O19" s="145">
        <f>IFERROR(INDEX(Estimated!$B$6:$O$20,$B19,O$8),0)</f>
        <v>40.240240128000003</v>
      </c>
      <c r="P19" s="145">
        <f>IFERROR(INDEX(Estimated!$B$6:$O$20,$B19,P$8),0)</f>
        <v>35.769102336000003</v>
      </c>
      <c r="Q19" s="145">
        <f>IFERROR(INDEX(Estimated!$B$6:$O$20,$B19,Q$8),0)</f>
        <v>37.557557452800005</v>
      </c>
      <c r="R19" s="145">
        <f>IFERROR(INDEX(Actual!$B$6:$O$20,$B19,R$8),0)</f>
        <v>18</v>
      </c>
      <c r="S19" s="145">
        <f>IFERROR(INDEX(Actual!$B$6:$O$20,$B19,S$8),0)</f>
        <v>19.8</v>
      </c>
      <c r="T19" s="145">
        <f>IFERROR(INDEX(Actual!$B$6:$O$20,$B19,T$8),0)</f>
        <v>21.78</v>
      </c>
      <c r="U19" s="145">
        <f>IFERROR(INDEX(Actual!$B$6:$O$20,$B19,U$8),0)</f>
        <v>26.136000000000003</v>
      </c>
      <c r="V19" s="145">
        <f>IFERROR(INDEX(Actual!$B$6:$O$20,$B19,V$8),0)</f>
        <v>23.522400000000001</v>
      </c>
      <c r="W19" s="145">
        <f>IFERROR(INDEX(Actual!$B$6:$O$20,$B19,W$8),0)</f>
        <v>28.226880000000001</v>
      </c>
      <c r="X19" s="145">
        <f>IFERROR(INDEX(Actual!$B$6:$O$20,$B19,X$8),0)</f>
        <v>22.581504000000002</v>
      </c>
      <c r="Y19" s="145">
        <f>IFERROR(INDEX(Actual!$B$6:$O$20,$B19,Y$8),0)</f>
        <v>20.323353600000001</v>
      </c>
      <c r="Z19" s="145">
        <f>IFERROR(INDEX(Actual!$B$6:$O$20,$B19,Z$8),0)</f>
        <v>22.355688960000002</v>
      </c>
      <c r="AA19" s="145">
        <f>IFERROR(INDEX(Actual!$B$6:$O$20,$B19,AA$8),0)</f>
        <v>17.884551168000002</v>
      </c>
      <c r="AB19" s="145">
        <f>IFERROR(INDEX(Actual!$B$6:$O$20,$B19,AB$8),0)</f>
        <v>17.884551168000002</v>
      </c>
      <c r="AC19" s="145">
        <f>IFERROR(INDEX(Actual!$B$6:$O$20,$B19,AC$8),0)</f>
        <v>19.673006284800003</v>
      </c>
      <c r="AE19" s="146">
        <f>IFERROR(IF(OR(Dashboard!$D$7="",Dashboard!$D$7="All"),1,IF(Dashboard!$D$7=Calc!D19,1,0)),0)</f>
        <v>1</v>
      </c>
      <c r="AF19" s="146">
        <f t="shared" si="2"/>
        <v>1</v>
      </c>
      <c r="AH19" s="147">
        <f t="shared" si="3"/>
        <v>817.66286407679991</v>
      </c>
      <c r="AI19" s="147">
        <f t="shared" si="4"/>
        <v>258.16793518079999</v>
      </c>
      <c r="AJ19" s="147">
        <f t="shared" si="7"/>
        <v>-559.49492889599992</v>
      </c>
      <c r="AK19" s="148">
        <f t="shared" si="8"/>
        <v>0.31573885341153424</v>
      </c>
      <c r="AM19" s="106">
        <v>9</v>
      </c>
      <c r="AN19" s="106" t="s">
        <v>85</v>
      </c>
      <c r="AO19" s="106" t="s">
        <v>86</v>
      </c>
      <c r="AQ19" s="150">
        <f t="shared" si="9"/>
        <v>44805</v>
      </c>
      <c r="AR19" s="143" t="str">
        <f t="shared" si="12"/>
        <v>Sep</v>
      </c>
      <c r="AS19" s="143">
        <f t="shared" si="13"/>
        <v>2022</v>
      </c>
      <c r="AT19" s="143" t="str">
        <f t="shared" si="14"/>
        <v>Sep 2022</v>
      </c>
      <c r="AU19" s="145">
        <f t="array" aca="1" ref="AU19" ca="1">IFERROR(SUMPRODUCT(($AF$10:$AF$24)*(OFFSET($A$10,0,$AM19+AU$9,15,1))),"")</f>
        <v>5424.1210930687994</v>
      </c>
      <c r="AV19" s="145">
        <f t="array" aca="1" ref="AV19" ca="1">IFERROR(SUMPRODUCT(($AF$10:$AF$24)*(OFFSET($A$10,0,$AM19+AV$9,15,1))),"")</f>
        <v>2655.0630355968001</v>
      </c>
      <c r="AW19" s="151">
        <f t="shared" ca="1" si="15"/>
        <v>0.48949184393939255</v>
      </c>
      <c r="AY19" s="149" t="str">
        <f t="shared" si="5"/>
        <v>Vehicle Maintainance</v>
      </c>
      <c r="AZ19" s="149" t="str">
        <f>IFERROR(IF(COUNTIF($AY$10:$AY19,AY19)&gt;1,"",AY19),"")</f>
        <v/>
      </c>
      <c r="BA19" s="149" t="str">
        <f t="array" ref="BA19">IFERROR(INDEX($AZ$10:$AZ$24,SMALL(IF(LEN($AZ$10:$AZ$24)&gt;0,ROW($AZ$10:$AZ$24)-ROW(INDEX($AZ$10:$AZ$24,1,1))+1),$B19)),"")</f>
        <v/>
      </c>
      <c r="BB19" s="122"/>
      <c r="BC19" s="149" t="str">
        <f t="shared" si="6"/>
        <v>Micra Maintainance</v>
      </c>
      <c r="BD19" s="145">
        <f t="shared" si="10"/>
        <v>258.16793518079999</v>
      </c>
      <c r="BF19" s="149" t="str">
        <f t="array" ref="BF19">IFERROR(INDEX($BC$10:$BC$24,SMALL(IF($BD$10:$BD$24&gt;0,ROW($BC$10:$BC$24)-ROW(INDEX($BC$10:$BC$24,1,1))+1),$B19)),"")</f>
        <v>Micra Maintainance</v>
      </c>
      <c r="BG19" s="149" t="str">
        <f>IFERROR(IF(COUNTIF($BF$10:$BF19,BF19)&gt;1,"",BF19),"")</f>
        <v>Micra Maintainance</v>
      </c>
      <c r="BH19" s="145">
        <f t="shared" si="11"/>
        <v>258.16793518079999</v>
      </c>
    </row>
    <row r="20" spans="2:60" x14ac:dyDescent="0.25">
      <c r="B20" s="121">
        <v>11</v>
      </c>
      <c r="C20" s="143">
        <f t="shared" si="1"/>
        <v>1</v>
      </c>
      <c r="D20" s="144" t="str">
        <f>IFERROR(IF(LEN(INDEX(Estimated!$B$6:$O$20,$B20,D$8))=0,"",INDEX(Estimated!$B$6:$O$20,$B20,D$8)),"")</f>
        <v>Food and Beverages</v>
      </c>
      <c r="E20" s="144" t="str">
        <f>IFERROR(IF(LEN(INDEX(Estimated!$B$6:$O$20,$B20,E$8))=0,"",INDEX(Estimated!$B$6:$O$20,$B20,E$8)),"")</f>
        <v>Employee Food Expenses</v>
      </c>
      <c r="F20" s="145">
        <f>IFERROR(INDEX(Estimated!$B$6:$O$20,$B20,F$8),0)</f>
        <v>724</v>
      </c>
      <c r="G20" s="145">
        <f>IFERROR(INDEX(Estimated!$B$6:$O$20,$B20,G$8),0)</f>
        <v>660.6</v>
      </c>
      <c r="H20" s="145">
        <f>IFERROR(INDEX(Estimated!$B$6:$O$20,$B20,H$8),0)</f>
        <v>645.92000000000007</v>
      </c>
      <c r="I20" s="145">
        <f>IFERROR(INDEX(Estimated!$B$6:$O$20,$B20,I$8),0)</f>
        <v>775.10400000000004</v>
      </c>
      <c r="J20" s="145">
        <f>IFERROR(INDEX(Estimated!$B$6:$O$20,$B20,J$8),0)</f>
        <v>761.01119999999992</v>
      </c>
      <c r="K20" s="145">
        <f>IFERROR(INDEX(Estimated!$B$6:$O$20,$B20,K$8),0)</f>
        <v>744.09983999999986</v>
      </c>
      <c r="L20" s="145">
        <f>IFERROR(INDEX(Estimated!$B$6:$O$20,$B20,L$8),0)</f>
        <v>730.57075199999986</v>
      </c>
      <c r="M20" s="145">
        <f>IFERROR(INDEX(Estimated!$B$6:$O$20,$B20,M$8),0)</f>
        <v>714.33584639999981</v>
      </c>
      <c r="N20" s="145">
        <f>IFERROR(INDEX(Estimated!$B$6:$O$20,$B20,N$8),0)</f>
        <v>701.34792191999986</v>
      </c>
      <c r="O20" s="145">
        <f>IFERROR(INDEX(Estimated!$B$6:$O$20,$B20,O$8),0)</f>
        <v>685.76241254399986</v>
      </c>
      <c r="P20" s="145">
        <f>IFERROR(INDEX(Estimated!$B$6:$O$20,$B20,P$8),0)</f>
        <v>710.69922754559991</v>
      </c>
      <c r="Q20" s="145">
        <f>IFERROR(INDEX(Estimated!$B$6:$O$20,$B20,Q$8),0)</f>
        <v>740.62340554751995</v>
      </c>
      <c r="R20" s="145">
        <f>IFERROR(INDEX(Actual!$B$6:$O$20,$B20,R$8),0)</f>
        <v>367</v>
      </c>
      <c r="S20" s="145">
        <f>IFERROR(INDEX(Actual!$B$6:$O$20,$B20,S$8),0)</f>
        <v>293.60000000000002</v>
      </c>
      <c r="T20" s="145">
        <f>IFERROR(INDEX(Actual!$B$6:$O$20,$B20,T$8),0)</f>
        <v>352.32000000000005</v>
      </c>
      <c r="U20" s="145">
        <f>IFERROR(INDEX(Actual!$B$6:$O$20,$B20,U$8),0)</f>
        <v>422.78399999999999</v>
      </c>
      <c r="V20" s="145">
        <f>IFERROR(INDEX(Actual!$B$6:$O$20,$B20,V$8),0)</f>
        <v>338.22719999999998</v>
      </c>
      <c r="W20" s="145">
        <f>IFERROR(INDEX(Actual!$B$6:$O$20,$B20,W$8),0)</f>
        <v>405.87263999999993</v>
      </c>
      <c r="X20" s="145">
        <f>IFERROR(INDEX(Actual!$B$6:$O$20,$B20,X$8),0)</f>
        <v>324.69811199999992</v>
      </c>
      <c r="Y20" s="145">
        <f>IFERROR(INDEX(Actual!$B$6:$O$20,$B20,Y$8),0)</f>
        <v>389.63773439999989</v>
      </c>
      <c r="Z20" s="145">
        <f>IFERROR(INDEX(Actual!$B$6:$O$20,$B20,Z$8),0)</f>
        <v>311.71018751999992</v>
      </c>
      <c r="AA20" s="145">
        <f>IFERROR(INDEX(Actual!$B$6:$O$20,$B20,AA$8),0)</f>
        <v>374.05222502399994</v>
      </c>
      <c r="AB20" s="145">
        <f>IFERROR(INDEX(Actual!$B$6:$O$20,$B20,AB$8),0)</f>
        <v>336.64700252159997</v>
      </c>
      <c r="AC20" s="145">
        <f>IFERROR(INDEX(Actual!$B$6:$O$20,$B20,AC$8),0)</f>
        <v>403.97640302591998</v>
      </c>
      <c r="AE20" s="146">
        <f>IFERROR(IF(OR(Dashboard!$D$7="",Dashboard!$D$7="All"),1,IF(Dashboard!$D$7=Calc!D20,1,0)),0)</f>
        <v>1</v>
      </c>
      <c r="AF20" s="146">
        <f t="shared" si="2"/>
        <v>1</v>
      </c>
      <c r="AH20" s="147">
        <f t="shared" si="3"/>
        <v>8594.0746059571175</v>
      </c>
      <c r="AI20" s="147">
        <f t="shared" si="4"/>
        <v>4320.5255044915202</v>
      </c>
      <c r="AJ20" s="147">
        <f t="shared" si="7"/>
        <v>-4273.5491014655972</v>
      </c>
      <c r="AK20" s="148">
        <f t="shared" si="8"/>
        <v>0.5027330693052956</v>
      </c>
      <c r="AM20" s="106">
        <v>10</v>
      </c>
      <c r="AN20" s="106" t="s">
        <v>87</v>
      </c>
      <c r="AO20" s="106" t="s">
        <v>88</v>
      </c>
      <c r="AQ20" s="150">
        <f t="shared" si="9"/>
        <v>44835</v>
      </c>
      <c r="AR20" s="143" t="str">
        <f t="shared" si="12"/>
        <v>Oct</v>
      </c>
      <c r="AS20" s="143">
        <f t="shared" si="13"/>
        <v>2022</v>
      </c>
      <c r="AT20" s="143" t="str">
        <f t="shared" si="14"/>
        <v>Oct 2022</v>
      </c>
      <c r="AU20" s="145">
        <f t="array" aca="1" ref="AU20" ca="1">IFERROR(SUMPRODUCT(($AF$10:$AF$24)*(OFFSET($A$10,0,$AM20+AU$9,15,1))),"")</f>
        <v>5411.0109214822396</v>
      </c>
      <c r="AV20" s="145">
        <f t="array" aca="1" ref="AV20" ca="1">IFERROR(SUMPRODUCT(($AF$10:$AF$24)*(OFFSET($A$10,0,$AM20+AV$9,15,1))),"")</f>
        <v>2720.3229258854408</v>
      </c>
      <c r="AW20" s="151">
        <f t="shared" ca="1" si="15"/>
        <v>0.50273839128387154</v>
      </c>
      <c r="AY20" s="149" t="str">
        <f t="shared" si="5"/>
        <v>Food and Beverages</v>
      </c>
      <c r="AZ20" s="149" t="str">
        <f>IFERROR(IF(COUNTIF($AY$10:$AY20,AY20)&gt;1,"",AY20),"")</f>
        <v>Food and Beverages</v>
      </c>
      <c r="BA20" s="149" t="str">
        <f t="array" ref="BA20">IFERROR(INDEX($AZ$10:$AZ$24,SMALL(IF(LEN($AZ$10:$AZ$24)&gt;0,ROW($AZ$10:$AZ$24)-ROW(INDEX($AZ$10:$AZ$24,1,1))+1),$B20)),"")</f>
        <v/>
      </c>
      <c r="BB20" s="122"/>
      <c r="BC20" s="149" t="str">
        <f t="shared" si="6"/>
        <v>Employee Food Expenses</v>
      </c>
      <c r="BD20" s="145">
        <f t="shared" si="10"/>
        <v>4320.5255044915202</v>
      </c>
      <c r="BF20" s="149" t="str">
        <f t="array" ref="BF20">IFERROR(INDEX($BC$10:$BC$24,SMALL(IF($BD$10:$BD$24&gt;0,ROW($BC$10:$BC$24)-ROW(INDEX($BC$10:$BC$24,1,1))+1),$B20)),"")</f>
        <v>Employee Food Expenses</v>
      </c>
      <c r="BG20" s="149" t="str">
        <f>IFERROR(IF(COUNTIF($BF$10:$BF20,BF20)&gt;1,"",BF20),"")</f>
        <v>Employee Food Expenses</v>
      </c>
      <c r="BH20" s="145">
        <f t="shared" si="11"/>
        <v>4320.5255044915202</v>
      </c>
    </row>
    <row r="21" spans="2:60" x14ac:dyDescent="0.25">
      <c r="B21" s="121">
        <v>12</v>
      </c>
      <c r="C21" s="143">
        <f t="shared" si="1"/>
        <v>1</v>
      </c>
      <c r="D21" s="144" t="str">
        <f>IFERROR(IF(LEN(INDEX(Estimated!$B$6:$O$20,$B21,D$8))=0,"",INDEX(Estimated!$B$6:$O$20,$B21,D$8)),"")</f>
        <v>Food and Beverages</v>
      </c>
      <c r="E21" s="144" t="str">
        <f>IFERROR(IF(LEN(INDEX(Estimated!$B$6:$O$20,$B21,E$8))=0,"",INDEX(Estimated!$B$6:$O$20,$B21,E$8)),"")</f>
        <v>Extra Food Expenses</v>
      </c>
      <c r="F21" s="145">
        <f>IFERROR(INDEX(Estimated!$B$6:$O$20,$B21,F$8),0)</f>
        <v>564</v>
      </c>
      <c r="G21" s="145">
        <f>IFERROR(INDEX(Estimated!$B$6:$O$20,$B21,G$8),0)</f>
        <v>769.5</v>
      </c>
      <c r="H21" s="145">
        <f>IFERROR(INDEX(Estimated!$B$6:$O$20,$B21,H$8),0)</f>
        <v>656.1</v>
      </c>
      <c r="I21" s="145">
        <f>IFERROR(INDEX(Estimated!$B$6:$O$20,$B21,I$8),0)</f>
        <v>641.52</v>
      </c>
      <c r="J21" s="145">
        <f>IFERROR(INDEX(Estimated!$B$6:$O$20,$B21,J$8),0)</f>
        <v>664.84799999999996</v>
      </c>
      <c r="K21" s="145">
        <f>IFERROR(INDEX(Estimated!$B$6:$O$20,$B21,K$8),0)</f>
        <v>598.36320000000001</v>
      </c>
      <c r="L21" s="145">
        <f>IFERROR(INDEX(Estimated!$B$6:$O$20,$B21,L$8),0)</f>
        <v>595.21392000000003</v>
      </c>
      <c r="M21" s="145">
        <f>IFERROR(INDEX(Estimated!$B$6:$O$20,$B21,M$8),0)</f>
        <v>685.913184</v>
      </c>
      <c r="N21" s="145">
        <f>IFERROR(INDEX(Estimated!$B$6:$O$20,$B21,N$8),0)</f>
        <v>710.85548160000008</v>
      </c>
      <c r="O21" s="145">
        <f>IFERROR(INDEX(Estimated!$B$6:$O$20,$B21,O$8),0)</f>
        <v>606.09783168000013</v>
      </c>
      <c r="P21" s="145">
        <f>IFERROR(INDEX(Estimated!$B$6:$O$20,$B21,P$8),0)</f>
        <v>511.81594675200006</v>
      </c>
      <c r="Q21" s="145">
        <f>IFERROR(INDEX(Estimated!$B$6:$O$20,$B21,Q$8),0)</f>
        <v>436.39043880960014</v>
      </c>
      <c r="R21" s="145">
        <f>IFERROR(INDEX(Actual!$B$6:$O$20,$B21,R$8),0)</f>
        <v>405</v>
      </c>
      <c r="S21" s="145">
        <f>IFERROR(INDEX(Actual!$B$6:$O$20,$B21,S$8),0)</f>
        <v>364.5</v>
      </c>
      <c r="T21" s="145">
        <f>IFERROR(INDEX(Actual!$B$6:$O$20,$B21,T$8),0)</f>
        <v>291.60000000000002</v>
      </c>
      <c r="U21" s="145">
        <f>IFERROR(INDEX(Actual!$B$6:$O$20,$B21,U$8),0)</f>
        <v>349.92</v>
      </c>
      <c r="V21" s="145">
        <f>IFERROR(INDEX(Actual!$B$6:$O$20,$B21,V$8),0)</f>
        <v>314.928</v>
      </c>
      <c r="W21" s="145">
        <f>IFERROR(INDEX(Actual!$B$6:$O$20,$B21,W$8),0)</f>
        <v>283.43520000000001</v>
      </c>
      <c r="X21" s="145">
        <f>IFERROR(INDEX(Actual!$B$6:$O$20,$B21,X$8),0)</f>
        <v>311.77872000000002</v>
      </c>
      <c r="Y21" s="145">
        <f>IFERROR(INDEX(Actual!$B$6:$O$20,$B21,Y$8),0)</f>
        <v>374.13446400000004</v>
      </c>
      <c r="Z21" s="145">
        <f>IFERROR(INDEX(Actual!$B$6:$O$20,$B21,Z$8),0)</f>
        <v>336.72101760000004</v>
      </c>
      <c r="AA21" s="145">
        <f>IFERROR(INDEX(Actual!$B$6:$O$20,$B21,AA$8),0)</f>
        <v>269.37681408000003</v>
      </c>
      <c r="AB21" s="145">
        <f>IFERROR(INDEX(Actual!$B$6:$O$20,$B21,AB$8),0)</f>
        <v>242.43913267200006</v>
      </c>
      <c r="AC21" s="145">
        <f>IFERROR(INDEX(Actual!$B$6:$O$20,$B21,AC$8),0)</f>
        <v>193.95130613760006</v>
      </c>
      <c r="AE21" s="146">
        <f>IFERROR(IF(OR(Dashboard!$D$7="",Dashboard!$D$7="All"),1,IF(Dashboard!$D$7=Calc!D21,1,0)),0)</f>
        <v>1</v>
      </c>
      <c r="AF21" s="146">
        <f t="shared" si="2"/>
        <v>1</v>
      </c>
      <c r="AH21" s="147">
        <f t="shared" si="3"/>
        <v>7440.6180028415993</v>
      </c>
      <c r="AI21" s="147">
        <f t="shared" si="4"/>
        <v>3737.7846544895997</v>
      </c>
      <c r="AJ21" s="147">
        <f t="shared" si="7"/>
        <v>-3702.8333483519996</v>
      </c>
      <c r="AK21" s="148">
        <f t="shared" si="8"/>
        <v>0.50234868300753055</v>
      </c>
      <c r="AM21" s="106">
        <v>11</v>
      </c>
      <c r="AN21" s="106" t="s">
        <v>89</v>
      </c>
      <c r="AO21" s="106" t="s">
        <v>90</v>
      </c>
      <c r="AQ21" s="150">
        <f t="shared" si="9"/>
        <v>44866</v>
      </c>
      <c r="AR21" s="143" t="str">
        <f t="shared" si="12"/>
        <v>Nov</v>
      </c>
      <c r="AS21" s="143">
        <f t="shared" si="13"/>
        <v>2022</v>
      </c>
      <c r="AT21" s="143" t="str">
        <f t="shared" si="14"/>
        <v>Nov 2022</v>
      </c>
      <c r="AU21" s="145">
        <f t="array" aca="1" ref="AU21" ca="1">IFERROR(SUMPRODUCT(($AF$10:$AF$24)*(OFFSET($A$10,0,$AM21+AU$9,15,1))),"")</f>
        <v>5491.8397302640642</v>
      </c>
      <c r="AV21" s="145">
        <f t="array" aca="1" ref="AV21" ca="1">IFERROR(SUMPRODUCT(($AF$10:$AF$24)*(OFFSET($A$10,0,$AM21+AV$9,15,1))),"")</f>
        <v>2750.9968683786246</v>
      </c>
      <c r="AW21" s="151">
        <f t="shared" ca="1" si="15"/>
        <v>0.50092446311180838</v>
      </c>
      <c r="AY21" s="149" t="str">
        <f t="shared" si="5"/>
        <v>Food and Beverages</v>
      </c>
      <c r="AZ21" s="149" t="str">
        <f>IFERROR(IF(COUNTIF($AY$10:$AY21,AY21)&gt;1,"",AY21),"")</f>
        <v/>
      </c>
      <c r="BA21" s="149" t="str">
        <f t="array" ref="BA21">IFERROR(INDEX($AZ$10:$AZ$24,SMALL(IF(LEN($AZ$10:$AZ$24)&gt;0,ROW($AZ$10:$AZ$24)-ROW(INDEX($AZ$10:$AZ$24,1,1))+1),$B21)),"")</f>
        <v/>
      </c>
      <c r="BB21" s="122"/>
      <c r="BC21" s="149" t="str">
        <f t="shared" si="6"/>
        <v>Extra Food Expenses</v>
      </c>
      <c r="BD21" s="145">
        <f t="shared" si="10"/>
        <v>3737.7846544895997</v>
      </c>
      <c r="BF21" s="149" t="str">
        <f t="array" ref="BF21">IFERROR(INDEX($BC$10:$BC$24,SMALL(IF($BD$10:$BD$24&gt;0,ROW($BC$10:$BC$24)-ROW(INDEX($BC$10:$BC$24,1,1))+1),$B21)),"")</f>
        <v>Extra Food Expenses</v>
      </c>
      <c r="BG21" s="149" t="str">
        <f>IFERROR(IF(COUNTIF($BF$10:$BF21,BF21)&gt;1,"",BF21),"")</f>
        <v>Extra Food Expenses</v>
      </c>
      <c r="BH21" s="145">
        <f t="shared" si="11"/>
        <v>3737.7846544895997</v>
      </c>
    </row>
    <row r="22" spans="2:60" x14ac:dyDescent="0.25">
      <c r="B22" s="121">
        <v>13</v>
      </c>
      <c r="C22" s="143">
        <f t="shared" si="1"/>
        <v>0</v>
      </c>
      <c r="D22" s="144" t="str">
        <f>IFERROR(IF(LEN(INDEX(Estimated!$B$6:$O$20,$B22,D$8))=0,"",INDEX(Estimated!$B$6:$O$20,$B22,D$8)),"")</f>
        <v/>
      </c>
      <c r="E22" s="144" t="str">
        <f>IFERROR(IF(LEN(INDEX(Estimated!$B$6:$O$20,$B22,E$8))=0,"",INDEX(Estimated!$B$6:$O$20,$B22,E$8)),"")</f>
        <v/>
      </c>
      <c r="F22" s="145">
        <f>IFERROR(INDEX(Estimated!$B$6:$O$20,$B22,F$8),0)</f>
        <v>0</v>
      </c>
      <c r="G22" s="145">
        <f>IFERROR(INDEX(Estimated!$B$6:$O$20,$B22,G$8),0)</f>
        <v>0</v>
      </c>
      <c r="H22" s="145">
        <f>IFERROR(INDEX(Estimated!$B$6:$O$20,$B22,H$8),0)</f>
        <v>0</v>
      </c>
      <c r="I22" s="145">
        <f>IFERROR(INDEX(Estimated!$B$6:$O$20,$B22,I$8),0)</f>
        <v>0</v>
      </c>
      <c r="J22" s="145">
        <f>IFERROR(INDEX(Estimated!$B$6:$O$20,$B22,J$8),0)</f>
        <v>0</v>
      </c>
      <c r="K22" s="145">
        <f>IFERROR(INDEX(Estimated!$B$6:$O$20,$B22,K$8),0)</f>
        <v>0</v>
      </c>
      <c r="L22" s="145">
        <f>IFERROR(INDEX(Estimated!$B$6:$O$20,$B22,L$8),0)</f>
        <v>0</v>
      </c>
      <c r="M22" s="145">
        <f>IFERROR(INDEX(Estimated!$B$6:$O$20,$B22,M$8),0)</f>
        <v>0</v>
      </c>
      <c r="N22" s="145">
        <f>IFERROR(INDEX(Estimated!$B$6:$O$20,$B22,N$8),0)</f>
        <v>0</v>
      </c>
      <c r="O22" s="145">
        <f>IFERROR(INDEX(Estimated!$B$6:$O$20,$B22,O$8),0)</f>
        <v>0</v>
      </c>
      <c r="P22" s="145">
        <f>IFERROR(INDEX(Estimated!$B$6:$O$20,$B22,P$8),0)</f>
        <v>0</v>
      </c>
      <c r="Q22" s="145">
        <f>IFERROR(INDEX(Estimated!$B$6:$O$20,$B22,Q$8),0)</f>
        <v>0</v>
      </c>
      <c r="R22" s="145">
        <f>IFERROR(INDEX(Actual!$B$6:$O$20,$B22,R$8),0)</f>
        <v>0</v>
      </c>
      <c r="S22" s="145">
        <f>IFERROR(INDEX(Actual!$B$6:$O$20,$B22,S$8),0)</f>
        <v>0</v>
      </c>
      <c r="T22" s="145">
        <f>IFERROR(INDEX(Actual!$B$6:$O$20,$B22,T$8),0)</f>
        <v>0</v>
      </c>
      <c r="U22" s="145">
        <f>IFERROR(INDEX(Actual!$B$6:$O$20,$B22,U$8),0)</f>
        <v>0</v>
      </c>
      <c r="V22" s="145">
        <f>IFERROR(INDEX(Actual!$B$6:$O$20,$B22,V$8),0)</f>
        <v>0</v>
      </c>
      <c r="W22" s="145">
        <f>IFERROR(INDEX(Actual!$B$6:$O$20,$B22,W$8),0)</f>
        <v>0</v>
      </c>
      <c r="X22" s="145">
        <f>IFERROR(INDEX(Actual!$B$6:$O$20,$B22,X$8),0)</f>
        <v>0</v>
      </c>
      <c r="Y22" s="145">
        <f>IFERROR(INDEX(Actual!$B$6:$O$20,$B22,Y$8),0)</f>
        <v>0</v>
      </c>
      <c r="Z22" s="145">
        <f>IFERROR(INDEX(Actual!$B$6:$O$20,$B22,Z$8),0)</f>
        <v>0</v>
      </c>
      <c r="AA22" s="145">
        <f>IFERROR(INDEX(Actual!$B$6:$O$20,$B22,AA$8),0)</f>
        <v>0</v>
      </c>
      <c r="AB22" s="145">
        <f>IFERROR(INDEX(Actual!$B$6:$O$20,$B22,AB$8),0)</f>
        <v>0</v>
      </c>
      <c r="AC22" s="145">
        <f>IFERROR(INDEX(Actual!$B$6:$O$20,$B22,AC$8),0)</f>
        <v>0</v>
      </c>
      <c r="AE22" s="146">
        <f>IFERROR(IF(OR(Dashboard!$D$7="",Dashboard!$D$7="All"),1,IF(Dashboard!$D$7=Calc!D22,1,0)),0)</f>
        <v>1</v>
      </c>
      <c r="AF22" s="146">
        <f t="shared" si="2"/>
        <v>0</v>
      </c>
      <c r="AH22" s="147">
        <f t="shared" si="3"/>
        <v>0</v>
      </c>
      <c r="AI22" s="147">
        <f t="shared" si="4"/>
        <v>0</v>
      </c>
      <c r="AJ22" s="147">
        <f t="shared" si="7"/>
        <v>0</v>
      </c>
      <c r="AK22" s="148" t="str">
        <f t="shared" si="8"/>
        <v/>
      </c>
      <c r="AM22" s="106">
        <v>12</v>
      </c>
      <c r="AN22" s="106" t="s">
        <v>91</v>
      </c>
      <c r="AO22" s="106" t="s">
        <v>92</v>
      </c>
      <c r="AQ22" s="150">
        <f t="shared" si="9"/>
        <v>44896</v>
      </c>
      <c r="AR22" s="143" t="str">
        <f t="shared" si="12"/>
        <v>Dec</v>
      </c>
      <c r="AS22" s="143">
        <f t="shared" si="13"/>
        <v>2022</v>
      </c>
      <c r="AT22" s="143" t="str">
        <f t="shared" si="14"/>
        <v>Dec 2022</v>
      </c>
      <c r="AU22" s="145">
        <f t="array" aca="1" ref="AU22" ca="1">IFERROR(SUMPRODUCT(($AF$10:$AF$24)*(OFFSET($A$10,0,$AM22+AU$9,15,1))),"")</f>
        <v>5615.6939787640831</v>
      </c>
      <c r="AV22" s="145">
        <f t="array" aca="1" ref="AV22" ca="1">IFERROR(SUMPRODUCT(($AF$10:$AF$24)*(OFFSET($A$10,0,$AM22+AV$9,15,1))),"")</f>
        <v>2904.9467871854595</v>
      </c>
      <c r="AW22" s="151">
        <f t="shared" ca="1" si="15"/>
        <v>0.51729079222810281</v>
      </c>
      <c r="AY22" s="149" t="str">
        <f t="shared" si="5"/>
        <v/>
      </c>
      <c r="AZ22" s="149" t="str">
        <f>IFERROR(IF(COUNTIF($AY$10:$AY22,AY22)&gt;1,"",AY22),"")</f>
        <v/>
      </c>
      <c r="BA22" s="149" t="str">
        <f t="array" ref="BA22">IFERROR(INDEX($AZ$10:$AZ$24,SMALL(IF(LEN($AZ$10:$AZ$24)&gt;0,ROW($AZ$10:$AZ$24)-ROW(INDEX($AZ$10:$AZ$24,1,1))+1),$B22)),"")</f>
        <v/>
      </c>
      <c r="BB22" s="122"/>
      <c r="BC22" s="149" t="str">
        <f t="shared" si="6"/>
        <v/>
      </c>
      <c r="BD22" s="145">
        <f t="shared" si="10"/>
        <v>0</v>
      </c>
      <c r="BF22" s="149" t="str">
        <f t="array" ref="BF22">IFERROR(INDEX($BC$10:$BC$24,SMALL(IF($BD$10:$BD$24&gt;0,ROW($BC$10:$BC$24)-ROW(INDEX($BC$10:$BC$24,1,1))+1),$B22)),"")</f>
        <v/>
      </c>
      <c r="BG22" s="149" t="str">
        <f>IFERROR(IF(COUNTIF($BF$10:$BF22,BF22)&gt;1,"",BF22),"")</f>
        <v/>
      </c>
      <c r="BH22" s="145">
        <f t="shared" si="11"/>
        <v>0</v>
      </c>
    </row>
    <row r="23" spans="2:60" x14ac:dyDescent="0.25">
      <c r="B23" s="121">
        <v>14</v>
      </c>
      <c r="C23" s="143">
        <f t="shared" si="1"/>
        <v>0</v>
      </c>
      <c r="D23" s="144" t="str">
        <f>IFERROR(IF(LEN(INDEX(Estimated!$B$6:$O$20,$B23,D$8))=0,"",INDEX(Estimated!$B$6:$O$20,$B23,D$8)),"")</f>
        <v/>
      </c>
      <c r="E23" s="144" t="str">
        <f>IFERROR(IF(LEN(INDEX(Estimated!$B$6:$O$20,$B23,E$8))=0,"",INDEX(Estimated!$B$6:$O$20,$B23,E$8)),"")</f>
        <v/>
      </c>
      <c r="F23" s="145">
        <f>IFERROR(INDEX(Estimated!$B$6:$O$20,$B23,F$8),0)</f>
        <v>0</v>
      </c>
      <c r="G23" s="145">
        <f>IFERROR(INDEX(Estimated!$B$6:$O$20,$B23,G$8),0)</f>
        <v>0</v>
      </c>
      <c r="H23" s="145">
        <f>IFERROR(INDEX(Estimated!$B$6:$O$20,$B23,H$8),0)</f>
        <v>0</v>
      </c>
      <c r="I23" s="145">
        <f>IFERROR(INDEX(Estimated!$B$6:$O$20,$B23,I$8),0)</f>
        <v>0</v>
      </c>
      <c r="J23" s="145">
        <f>IFERROR(INDEX(Estimated!$B$6:$O$20,$B23,J$8),0)</f>
        <v>0</v>
      </c>
      <c r="K23" s="145">
        <f>IFERROR(INDEX(Estimated!$B$6:$O$20,$B23,K$8),0)</f>
        <v>0</v>
      </c>
      <c r="L23" s="145">
        <f>IFERROR(INDEX(Estimated!$B$6:$O$20,$B23,L$8),0)</f>
        <v>0</v>
      </c>
      <c r="M23" s="145">
        <f>IFERROR(INDEX(Estimated!$B$6:$O$20,$B23,M$8),0)</f>
        <v>0</v>
      </c>
      <c r="N23" s="145">
        <f>IFERROR(INDEX(Estimated!$B$6:$O$20,$B23,N$8),0)</f>
        <v>0</v>
      </c>
      <c r="O23" s="145">
        <f>IFERROR(INDEX(Estimated!$B$6:$O$20,$B23,O$8),0)</f>
        <v>0</v>
      </c>
      <c r="P23" s="145">
        <f>IFERROR(INDEX(Estimated!$B$6:$O$20,$B23,P$8),0)</f>
        <v>0</v>
      </c>
      <c r="Q23" s="145">
        <f>IFERROR(INDEX(Estimated!$B$6:$O$20,$B23,Q$8),0)</f>
        <v>0</v>
      </c>
      <c r="R23" s="145">
        <f>IFERROR(INDEX(Actual!$B$6:$O$20,$B23,R$8),0)</f>
        <v>0</v>
      </c>
      <c r="S23" s="145">
        <f>IFERROR(INDEX(Actual!$B$6:$O$20,$B23,S$8),0)</f>
        <v>0</v>
      </c>
      <c r="T23" s="145">
        <f>IFERROR(INDEX(Actual!$B$6:$O$20,$B23,T$8),0)</f>
        <v>0</v>
      </c>
      <c r="U23" s="145">
        <f>IFERROR(INDEX(Actual!$B$6:$O$20,$B23,U$8),0)</f>
        <v>0</v>
      </c>
      <c r="V23" s="145">
        <f>IFERROR(INDEX(Actual!$B$6:$O$20,$B23,V$8),0)</f>
        <v>0</v>
      </c>
      <c r="W23" s="145">
        <f>IFERROR(INDEX(Actual!$B$6:$O$20,$B23,W$8),0)</f>
        <v>0</v>
      </c>
      <c r="X23" s="145">
        <f>IFERROR(INDEX(Actual!$B$6:$O$20,$B23,X$8),0)</f>
        <v>0</v>
      </c>
      <c r="Y23" s="145">
        <f>IFERROR(INDEX(Actual!$B$6:$O$20,$B23,Y$8),0)</f>
        <v>0</v>
      </c>
      <c r="Z23" s="145">
        <f>IFERROR(INDEX(Actual!$B$6:$O$20,$B23,Z$8),0)</f>
        <v>0</v>
      </c>
      <c r="AA23" s="145">
        <f>IFERROR(INDEX(Actual!$B$6:$O$20,$B23,AA$8),0)</f>
        <v>0</v>
      </c>
      <c r="AB23" s="145">
        <f>IFERROR(INDEX(Actual!$B$6:$O$20,$B23,AB$8),0)</f>
        <v>0</v>
      </c>
      <c r="AC23" s="145">
        <f>IFERROR(INDEX(Actual!$B$6:$O$20,$B23,AC$8),0)</f>
        <v>0</v>
      </c>
      <c r="AE23" s="146">
        <f>IFERROR(IF(OR(Dashboard!$D$7="",Dashboard!$D$7="All"),1,IF(Dashboard!$D$7=Calc!D23,1,0)),0)</f>
        <v>1</v>
      </c>
      <c r="AF23" s="146">
        <f t="shared" si="2"/>
        <v>0</v>
      </c>
      <c r="AH23" s="147">
        <f t="shared" si="3"/>
        <v>0</v>
      </c>
      <c r="AI23" s="147">
        <f t="shared" si="4"/>
        <v>0</v>
      </c>
      <c r="AJ23" s="147">
        <f t="shared" si="7"/>
        <v>0</v>
      </c>
      <c r="AK23" s="148" t="str">
        <f t="shared" si="8"/>
        <v/>
      </c>
      <c r="AY23" s="105" t="str">
        <f t="shared" si="5"/>
        <v/>
      </c>
      <c r="AZ23" s="105" t="str">
        <f>IFERROR(IF(COUNTIF($AY$10:$AY23,AY23)&gt;1,"",AY23),"")</f>
        <v/>
      </c>
      <c r="BA23" s="105" t="str">
        <f t="array" ref="BA23">IFERROR(INDEX($AZ$10:$AZ$24,SMALL(IF(LEN($AZ$10:$AZ$24)&gt;0,ROW($AZ$10:$AZ$24)-ROW(INDEX($AZ$10:$AZ$24,1,1))+1),$B23)),"")</f>
        <v/>
      </c>
      <c r="BC23" s="149" t="str">
        <f t="shared" si="6"/>
        <v/>
      </c>
      <c r="BD23" s="145">
        <f t="shared" ref="BD23:BD24" si="16">IFERROR(AE23*AI23,"")</f>
        <v>0</v>
      </c>
      <c r="BF23" s="105" t="str">
        <f t="array" ref="BF23">IFERROR(INDEX($BC$10:$BC$24,SMALL(IF($BD$10:$BD$24&gt;0,ROW($BC$10:$BC$24)-ROW(INDEX($BC$10:$BC$24,1,1))+1),$B23)),"")</f>
        <v/>
      </c>
      <c r="BG23" s="105" t="str">
        <f>IFERROR(IF(COUNTIF($BF$10:$BF23,BF23)&gt;1,"",BF23),"")</f>
        <v/>
      </c>
      <c r="BH23" s="105">
        <f t="shared" si="11"/>
        <v>0</v>
      </c>
    </row>
    <row r="24" spans="2:60" x14ac:dyDescent="0.25">
      <c r="B24" s="121">
        <v>15</v>
      </c>
      <c r="C24" s="143">
        <f t="shared" si="1"/>
        <v>0</v>
      </c>
      <c r="D24" s="144" t="str">
        <f>IFERROR(IF(LEN(INDEX(Estimated!$B$6:$O$20,$B24,D$8))=0,"",INDEX(Estimated!$B$6:$O$20,$B24,D$8)),"")</f>
        <v/>
      </c>
      <c r="E24" s="144" t="str">
        <f>IFERROR(IF(LEN(INDEX(Estimated!$B$6:$O$20,$B24,E$8))=0,"",INDEX(Estimated!$B$6:$O$20,$B24,E$8)),"")</f>
        <v/>
      </c>
      <c r="F24" s="145">
        <f>IFERROR(INDEX(Estimated!$B$6:$O$20,$B24,F$8),0)</f>
        <v>0</v>
      </c>
      <c r="G24" s="145">
        <f>IFERROR(INDEX(Estimated!$B$6:$O$20,$B24,G$8),0)</f>
        <v>0</v>
      </c>
      <c r="H24" s="145">
        <f>IFERROR(INDEX(Estimated!$B$6:$O$20,$B24,H$8),0)</f>
        <v>0</v>
      </c>
      <c r="I24" s="145">
        <f>IFERROR(INDEX(Estimated!$B$6:$O$20,$B24,I$8),0)</f>
        <v>0</v>
      </c>
      <c r="J24" s="145">
        <f>IFERROR(INDEX(Estimated!$B$6:$O$20,$B24,J$8),0)</f>
        <v>0</v>
      </c>
      <c r="K24" s="145">
        <f>IFERROR(INDEX(Estimated!$B$6:$O$20,$B24,K$8),0)</f>
        <v>0</v>
      </c>
      <c r="L24" s="145">
        <f>IFERROR(INDEX(Estimated!$B$6:$O$20,$B24,L$8),0)</f>
        <v>0</v>
      </c>
      <c r="M24" s="145">
        <f>IFERROR(INDEX(Estimated!$B$6:$O$20,$B24,M$8),0)</f>
        <v>0</v>
      </c>
      <c r="N24" s="145">
        <f>IFERROR(INDEX(Estimated!$B$6:$O$20,$B24,N$8),0)</f>
        <v>0</v>
      </c>
      <c r="O24" s="145">
        <f>IFERROR(INDEX(Estimated!$B$6:$O$20,$B24,O$8),0)</f>
        <v>0</v>
      </c>
      <c r="P24" s="145">
        <f>IFERROR(INDEX(Estimated!$B$6:$O$20,$B24,P$8),0)</f>
        <v>0</v>
      </c>
      <c r="Q24" s="145">
        <f>IFERROR(INDEX(Estimated!$B$6:$O$20,$B24,Q$8),0)</f>
        <v>0</v>
      </c>
      <c r="R24" s="145">
        <f>IFERROR(INDEX(Actual!$B$6:$O$20,$B24,R$8),0)</f>
        <v>0</v>
      </c>
      <c r="S24" s="145">
        <f>IFERROR(INDEX(Actual!$B$6:$O$20,$B24,S$8),0)</f>
        <v>0</v>
      </c>
      <c r="T24" s="145">
        <f>IFERROR(INDEX(Actual!$B$6:$O$20,$B24,T$8),0)</f>
        <v>0</v>
      </c>
      <c r="U24" s="145">
        <f>IFERROR(INDEX(Actual!$B$6:$O$20,$B24,U$8),0)</f>
        <v>0</v>
      </c>
      <c r="V24" s="145">
        <f>IFERROR(INDEX(Actual!$B$6:$O$20,$B24,V$8),0)</f>
        <v>0</v>
      </c>
      <c r="W24" s="145">
        <f>IFERROR(INDEX(Actual!$B$6:$O$20,$B24,W$8),0)</f>
        <v>0</v>
      </c>
      <c r="X24" s="145">
        <f>IFERROR(INDEX(Actual!$B$6:$O$20,$B24,X$8),0)</f>
        <v>0</v>
      </c>
      <c r="Y24" s="145">
        <f>IFERROR(INDEX(Actual!$B$6:$O$20,$B24,Y$8),0)</f>
        <v>0</v>
      </c>
      <c r="Z24" s="145">
        <f>IFERROR(INDEX(Actual!$B$6:$O$20,$B24,Z$8),0)</f>
        <v>0</v>
      </c>
      <c r="AA24" s="145">
        <f>IFERROR(INDEX(Actual!$B$6:$O$20,$B24,AA$8),0)</f>
        <v>0</v>
      </c>
      <c r="AB24" s="145">
        <f>IFERROR(INDEX(Actual!$B$6:$O$20,$B24,AB$8),0)</f>
        <v>0</v>
      </c>
      <c r="AC24" s="145">
        <f>IFERROR(INDEX(Actual!$B$6:$O$20,$B24,AC$8),0)</f>
        <v>0</v>
      </c>
      <c r="AE24" s="146">
        <f>IFERROR(IF(OR(Dashboard!$D$7="",Dashboard!$D$7="All"),1,IF(Dashboard!$D$7=Calc!D24,1,0)),0)</f>
        <v>1</v>
      </c>
      <c r="AF24" s="146">
        <f t="shared" si="2"/>
        <v>0</v>
      </c>
      <c r="AH24" s="147">
        <f t="shared" si="3"/>
        <v>0</v>
      </c>
      <c r="AI24" s="147">
        <f t="shared" si="4"/>
        <v>0</v>
      </c>
      <c r="AJ24" s="147">
        <f t="shared" si="7"/>
        <v>0</v>
      </c>
      <c r="AK24" s="148" t="str">
        <f t="shared" si="8"/>
        <v/>
      </c>
      <c r="AY24" s="105" t="str">
        <f t="shared" si="5"/>
        <v/>
      </c>
      <c r="AZ24" s="105" t="str">
        <f>IFERROR(IF(COUNTIF($AY$10:$AY24,AY24)&gt;1,"",AY24),"")</f>
        <v/>
      </c>
      <c r="BA24" s="105" t="str">
        <f t="array" ref="BA24">IFERROR(INDEX($AZ$10:$AZ$24,SMALL(IF(LEN($AZ$10:$AZ$24)&gt;0,ROW($AZ$10:$AZ$24)-ROW(INDEX($AZ$10:$AZ$24,1,1))+1),$B24)),"")</f>
        <v/>
      </c>
      <c r="BC24" s="149" t="str">
        <f t="shared" si="6"/>
        <v/>
      </c>
      <c r="BD24" s="145">
        <f t="shared" si="16"/>
        <v>0</v>
      </c>
      <c r="BF24" s="105" t="str">
        <f t="array" ref="BF24">IFERROR(INDEX($BC$10:$BC$24,SMALL(IF($BD$10:$BD$24&gt;0,ROW($BC$10:$BC$24)-ROW(INDEX($BC$10:$BC$24,1,1))+1),$B24)),"")</f>
        <v/>
      </c>
      <c r="BG24" s="105" t="str">
        <f>IFERROR(IF(COUNTIF($BF$10:$BF24,BF24)&gt;1,"",BF24),"")</f>
        <v/>
      </c>
      <c r="BH24" s="105">
        <f t="shared" si="11"/>
        <v>0</v>
      </c>
    </row>
    <row r="27" spans="2:60" x14ac:dyDescent="0.25">
      <c r="AM27" s="119" t="s">
        <v>7</v>
      </c>
      <c r="AN27" s="146">
        <f>IFERROR(IF(LEN(Dashboard!$N$13)=0,2022,Dashboard!$N$13),"")</f>
        <v>2022</v>
      </c>
      <c r="AQ27" s="111" t="s">
        <v>93</v>
      </c>
      <c r="AR27" s="113"/>
    </row>
    <row r="28" spans="2:60" x14ac:dyDescent="0.25">
      <c r="AM28" s="119" t="s">
        <v>8</v>
      </c>
      <c r="AN28" s="146" t="str">
        <f>IFERROR(IF(LEN(Dashboard!$N$14)=0,"January",Dashboard!$N$14),"January")</f>
        <v>January</v>
      </c>
      <c r="AQ28" s="123" t="s">
        <v>45</v>
      </c>
      <c r="AR28" s="145">
        <f t="array" ref="AR28">IFERROR(SUMPRODUCT(($AF$10:$AF$24)*($AH$10:$AH$24)),"")</f>
        <v>64761.169526971185</v>
      </c>
    </row>
    <row r="29" spans="2:60" x14ac:dyDescent="0.25">
      <c r="AQ29" s="123" t="s">
        <v>46</v>
      </c>
      <c r="AR29" s="145">
        <f t="array" ref="AR29">IFERROR(SUMPRODUCT(($AF$10:$AF$24)*($AI$10:$AI$24)),"")</f>
        <v>32587.489347478324</v>
      </c>
    </row>
    <row r="30" spans="2:60" x14ac:dyDescent="0.25">
      <c r="AQ30" s="123" t="s">
        <v>19</v>
      </c>
      <c r="AR30" s="145">
        <f>IFERROR(AR29-AR28,"")</f>
        <v>-32173.680179492861</v>
      </c>
    </row>
    <row r="31" spans="2:60" x14ac:dyDescent="0.25">
      <c r="AM31" s="119" t="s">
        <v>104</v>
      </c>
      <c r="AN31" s="146">
        <f>IFERROR(IF(COUNTIF(Estimated!B5:B20,"?*")=0,1,COUNTIF(Estimated!B5:B20,"?*")),1)</f>
        <v>13</v>
      </c>
      <c r="AQ31" s="123" t="s">
        <v>94</v>
      </c>
      <c r="AR31" s="151">
        <f>IFERROR(AR29/AR28,"")</f>
        <v>0.50319488646520749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Dashboard</vt:lpstr>
      <vt:lpstr>Estimated</vt:lpstr>
      <vt:lpstr>Actual</vt:lpstr>
      <vt:lpstr>Calc</vt:lpstr>
      <vt:lpstr>ToU</vt:lpstr>
      <vt:lpstr>Dashboard!Print_Area</vt:lpstr>
      <vt:lpstr>ToU!Print_Area</vt:lpstr>
      <vt:lpstr>Actual!Print_Titles</vt:lpstr>
      <vt:lpstr>Estimated!Print_Titles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2022-03-24T14:15:18Z</cp:lastPrinted>
  <dcterms:created xsi:type="dcterms:W3CDTF">2022-02-06T14:21:37Z</dcterms:created>
  <dcterms:modified xsi:type="dcterms:W3CDTF">2022-03-24T14:17:06Z</dcterms:modified>
  <dc:title>Expense Analysis Dashboard Excel V10 Template</dc:title>
  <dc:subject>Expense Analysis Dashboard Excel V10</dc:subject>
  <dc:description>Expense Analysis Dashboard Excel V10 template by Master Productivity Kit — masterproductivitykit.com</dc:description>
  <cp:keywords>Master Productivity Kit, Excel template, Google Sheets template</cp:keywords>
  <cp:category>Business Template</cp:category>
</cp:coreProperties>
</file>