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312 - Discounted Cash Flow Template (V2)\"/>
    </mc:Choice>
  </mc:AlternateContent>
  <xr:revisionPtr revIDLastSave="0" documentId="13_ncr:1_{0EB92578-4C8E-44AB-8EC9-93D703958711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WACC" sheetId="1" r:id="rId1"/>
    <sheet name="CashFlow" sheetId="4" r:id="rId2"/>
    <sheet name="Charts" sheetId="5" r:id="rId3"/>
    <sheet name="Calc" sheetId="6" state="hidden" r:id="rId4"/>
  </sheets>
  <definedNames>
    <definedName name="_xlnm.Print_Area" localSheetId="1">CashFlow!$B$2:$X$33</definedName>
    <definedName name="_xlnm.Print_Area" localSheetId="2">Charts!$B$2:$Q$34</definedName>
    <definedName name="_xlnm.Print_Area" localSheetId="0">WACC!$B$2:$M$27</definedName>
    <definedName name="Years">Calc!$O$6:$O$20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6" l="1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E17" i="4"/>
  <c r="F17" i="4"/>
  <c r="G17" i="4"/>
  <c r="H17" i="4"/>
  <c r="F6" i="6"/>
  <c r="G6" i="6"/>
  <c r="H6" i="6"/>
  <c r="I6" i="6"/>
  <c r="J6" i="6"/>
  <c r="F8" i="6"/>
  <c r="G8" i="6"/>
  <c r="H8" i="6"/>
  <c r="I8" i="6"/>
  <c r="J8" i="6"/>
  <c r="F10" i="6"/>
  <c r="G10" i="6"/>
  <c r="H10" i="6"/>
  <c r="I10" i="6"/>
  <c r="J10" i="6"/>
  <c r="F13" i="6"/>
  <c r="G13" i="6"/>
  <c r="H13" i="6"/>
  <c r="I13" i="6"/>
  <c r="J13" i="6"/>
  <c r="F15" i="6"/>
  <c r="G15" i="6"/>
  <c r="H15" i="6"/>
  <c r="I15" i="6"/>
  <c r="J15" i="6"/>
  <c r="F17" i="6"/>
  <c r="G17" i="6"/>
  <c r="H17" i="6"/>
  <c r="I17" i="6"/>
  <c r="J17" i="6"/>
  <c r="H13" i="4"/>
  <c r="H19" i="4" s="1"/>
  <c r="G13" i="4"/>
  <c r="G19" i="4" s="1"/>
  <c r="F13" i="4"/>
  <c r="F19" i="4" s="1"/>
  <c r="E13" i="4"/>
  <c r="E19" i="4" s="1"/>
  <c r="D13" i="4"/>
  <c r="D19" i="4" s="1"/>
  <c r="K15" i="6" l="1"/>
  <c r="K6" i="6"/>
  <c r="L8" i="6"/>
  <c r="L10" i="6"/>
  <c r="K13" i="6"/>
  <c r="L17" i="6"/>
  <c r="L13" i="6"/>
  <c r="K8" i="6"/>
  <c r="L6" i="6"/>
  <c r="K17" i="6"/>
  <c r="L15" i="6"/>
  <c r="K10" i="6"/>
  <c r="L19" i="6" l="1"/>
  <c r="D26" i="4" s="1"/>
  <c r="D24" i="1"/>
  <c r="D23" i="1"/>
  <c r="D22" i="1"/>
  <c r="K19" i="1" l="1"/>
  <c r="H19" i="1"/>
  <c r="G19" i="1"/>
  <c r="F19" i="1"/>
  <c r="E19" i="1"/>
  <c r="D19" i="1"/>
  <c r="H11" i="1"/>
  <c r="G11" i="1"/>
  <c r="F11" i="1"/>
  <c r="E11" i="1"/>
  <c r="D11" i="1"/>
  <c r="D5" i="6"/>
  <c r="I16" i="1" l="1"/>
  <c r="J16" i="1"/>
  <c r="K16" i="1"/>
  <c r="D11" i="6"/>
  <c r="D10" i="6"/>
  <c r="D9" i="6"/>
  <c r="E15" i="4" l="1"/>
  <c r="E12" i="4"/>
  <c r="D10" i="4"/>
  <c r="E10" i="4"/>
  <c r="E8" i="4"/>
  <c r="M11" i="4" l="1"/>
  <c r="N11" i="4" s="1"/>
  <c r="O11" i="4" s="1"/>
  <c r="P11" i="4" s="1"/>
  <c r="Q11" i="4" s="1"/>
  <c r="R11" i="4" s="1"/>
  <c r="S11" i="4" s="1"/>
  <c r="T11" i="4" s="1"/>
  <c r="U11" i="4" s="1"/>
  <c r="V11" i="4" s="1"/>
  <c r="M7" i="4"/>
  <c r="N7" i="4" s="1"/>
  <c r="O7" i="4" s="1"/>
  <c r="P7" i="4" s="1"/>
  <c r="Q7" i="4" s="1"/>
  <c r="R7" i="4" s="1"/>
  <c r="S7" i="4" s="1"/>
  <c r="T7" i="4" s="1"/>
  <c r="U7" i="4" s="1"/>
  <c r="V7" i="4" s="1"/>
  <c r="F8" i="4" l="1"/>
  <c r="F10" i="4"/>
  <c r="F12" i="4"/>
  <c r="F15" i="4"/>
  <c r="G8" i="4"/>
  <c r="G10" i="4"/>
  <c r="G12" i="4"/>
  <c r="G15" i="4"/>
  <c r="H14" i="1" l="1"/>
  <c r="G14" i="1"/>
  <c r="F14" i="1"/>
  <c r="E14" i="1"/>
  <c r="D14" i="1"/>
  <c r="K17" i="4" l="1" a="1"/>
  <c r="K17" i="4" s="1"/>
  <c r="M16" i="4" s="1"/>
  <c r="N16" i="4" s="1"/>
  <c r="O16" i="4" s="1"/>
  <c r="P16" i="4" s="1"/>
  <c r="Q16" i="4" s="1"/>
  <c r="R16" i="4" s="1"/>
  <c r="S16" i="4" s="1"/>
  <c r="T16" i="4" s="1"/>
  <c r="U16" i="4" s="1"/>
  <c r="V16" i="4" s="1"/>
  <c r="K15" i="4" a="1"/>
  <c r="K15" i="4" s="1"/>
  <c r="M14" i="4" s="1"/>
  <c r="N14" i="4" s="1"/>
  <c r="O14" i="4" s="1"/>
  <c r="P14" i="4" s="1"/>
  <c r="Q14" i="4" s="1"/>
  <c r="R14" i="4" s="1"/>
  <c r="S14" i="4" s="1"/>
  <c r="T14" i="4" s="1"/>
  <c r="U14" i="4" s="1"/>
  <c r="V14" i="4" s="1"/>
  <c r="K12" i="4" a="1"/>
  <c r="K12" i="4" s="1"/>
  <c r="K10" i="4"/>
  <c r="M9" i="4" s="1"/>
  <c r="M13" i="4" s="1"/>
  <c r="K8" i="4" a="1"/>
  <c r="K8" i="4" s="1"/>
  <c r="M18" i="4" l="1"/>
  <c r="M19" i="4" s="1"/>
  <c r="H8" i="4"/>
  <c r="N9" i="4" l="1"/>
  <c r="N13" i="4" s="1"/>
  <c r="N18" i="4" l="1"/>
  <c r="N19" i="4" s="1"/>
  <c r="O9" i="4"/>
  <c r="O13" i="4" s="1"/>
  <c r="H23" i="1"/>
  <c r="O18" i="4" l="1"/>
  <c r="O19" i="4" s="1"/>
  <c r="P9" i="4"/>
  <c r="P13" i="4" s="1"/>
  <c r="P18" i="4" l="1"/>
  <c r="P19" i="4" s="1"/>
  <c r="J19" i="1"/>
  <c r="I19" i="1"/>
  <c r="Q9" i="4"/>
  <c r="Q13" i="4" s="1"/>
  <c r="Q18" i="4" l="1"/>
  <c r="Q19" i="4" s="1"/>
  <c r="R9" i="4"/>
  <c r="R13" i="4" s="1"/>
  <c r="H15" i="4"/>
  <c r="H12" i="4"/>
  <c r="R18" i="4" l="1"/>
  <c r="R19" i="4" s="1"/>
  <c r="S9" i="4"/>
  <c r="S13" i="4" s="1"/>
  <c r="S18" i="4" l="1"/>
  <c r="S19" i="4" s="1"/>
  <c r="T9" i="4"/>
  <c r="T13" i="4" s="1"/>
  <c r="I15" i="4"/>
  <c r="J17" i="4"/>
  <c r="I17" i="4"/>
  <c r="J15" i="4"/>
  <c r="H10" i="4"/>
  <c r="V6" i="4"/>
  <c r="U6" i="4"/>
  <c r="T6" i="4"/>
  <c r="S6" i="4"/>
  <c r="R6" i="4"/>
  <c r="Q6" i="4"/>
  <c r="P6" i="4"/>
  <c r="O6" i="4"/>
  <c r="N6" i="4"/>
  <c r="T18" i="4" l="1"/>
  <c r="T19" i="4" s="1"/>
  <c r="U9" i="4"/>
  <c r="U13" i="4" s="1"/>
  <c r="V9" i="4"/>
  <c r="V13" i="4" s="1"/>
  <c r="I8" i="4"/>
  <c r="I10" i="4"/>
  <c r="I12" i="4"/>
  <c r="J12" i="4"/>
  <c r="J10" i="4"/>
  <c r="J8" i="4"/>
  <c r="M6" i="4"/>
  <c r="H6" i="4"/>
  <c r="J5" i="6" s="1"/>
  <c r="G6" i="4"/>
  <c r="I5" i="6" s="1"/>
  <c r="F6" i="4"/>
  <c r="H5" i="6" s="1"/>
  <c r="E6" i="4"/>
  <c r="G5" i="6" s="1"/>
  <c r="D6" i="4"/>
  <c r="F5" i="6" s="1"/>
  <c r="U18" i="4" l="1"/>
  <c r="U19" i="4" s="1"/>
  <c r="V18" i="4"/>
  <c r="V19" i="4" s="1"/>
  <c r="W19" i="4" s="1"/>
  <c r="E16" i="1"/>
  <c r="F16" i="1"/>
  <c r="G16" i="1"/>
  <c r="H16" i="1"/>
  <c r="D16" i="1"/>
  <c r="H22" i="1" l="1"/>
  <c r="F23" i="1" l="1"/>
  <c r="F22" i="1" l="1"/>
  <c r="H24" i="1"/>
  <c r="T20" i="4" l="1"/>
  <c r="S20" i="4"/>
  <c r="R20" i="4"/>
  <c r="Q20" i="4"/>
  <c r="U20" i="4"/>
  <c r="P20" i="4"/>
  <c r="O20" i="4"/>
  <c r="V20" i="4"/>
  <c r="N20" i="4"/>
  <c r="W20" i="4"/>
  <c r="D24" i="4" s="1"/>
  <c r="M20" i="4"/>
  <c r="D23" i="4" l="1"/>
  <c r="D25" i="4" s="1"/>
  <c r="I24" i="4" s="1"/>
  <c r="I23" i="4" l="1"/>
  <c r="D28" i="4"/>
  <c r="D30" i="4" s="1"/>
</calcChain>
</file>

<file path=xl/sharedStrings.xml><?xml version="1.0" encoding="utf-8"?>
<sst xmlns="http://schemas.openxmlformats.org/spreadsheetml/2006/main" count="93" uniqueCount="90">
  <si>
    <t>Equity Cost Calculation Method</t>
  </si>
  <si>
    <t xml:space="preserve">WACC </t>
  </si>
  <si>
    <t>User-Defined Rate</t>
  </si>
  <si>
    <t>Book Value of Equity</t>
  </si>
  <si>
    <t>Price-To-Book Ratio</t>
  </si>
  <si>
    <t>Market Value of Equity</t>
  </si>
  <si>
    <t xml:space="preserve">Dividends </t>
  </si>
  <si>
    <t>Cost of Equity</t>
  </si>
  <si>
    <t>Market Value of Debt</t>
  </si>
  <si>
    <t>Interest Expenses</t>
  </si>
  <si>
    <t>After-Tax Cost of Debt</t>
  </si>
  <si>
    <t>Equity</t>
  </si>
  <si>
    <t>Debt</t>
  </si>
  <si>
    <t>Market value</t>
  </si>
  <si>
    <t xml:space="preserve">Share </t>
  </si>
  <si>
    <t>Cost</t>
  </si>
  <si>
    <t xml:space="preserve">CASH FLOW </t>
  </si>
  <si>
    <t>Mean</t>
  </si>
  <si>
    <t>Terminal Cash Flow</t>
  </si>
  <si>
    <t>Net Sales Revenue</t>
  </si>
  <si>
    <t>Net Sales Growth Rate</t>
  </si>
  <si>
    <t>Gross Profit Margin</t>
  </si>
  <si>
    <t>Gross Profit Margin Ratio</t>
  </si>
  <si>
    <t xml:space="preserve">OPEX </t>
  </si>
  <si>
    <t>OPEX Growth Rate</t>
  </si>
  <si>
    <t xml:space="preserve">EBITDA </t>
  </si>
  <si>
    <t xml:space="preserve">CAPEX </t>
  </si>
  <si>
    <t>CAPEX Growth Rate</t>
  </si>
  <si>
    <t>Tax</t>
  </si>
  <si>
    <t>Free Cash Flow</t>
  </si>
  <si>
    <t>0-error</t>
  </si>
  <si>
    <t>No gaps</t>
  </si>
  <si>
    <t>Critical check</t>
  </si>
  <si>
    <t>Mean 
Rate</t>
  </si>
  <si>
    <t>Value</t>
  </si>
  <si>
    <t>Percentage of Enterprise Value</t>
  </si>
  <si>
    <t>Terminal Value</t>
  </si>
  <si>
    <t>Enterprise Value</t>
  </si>
  <si>
    <t>Less Total Debt</t>
  </si>
  <si>
    <t>Plus Cash and Cash Equivalents</t>
  </si>
  <si>
    <t>Outstanding Shares</t>
  </si>
  <si>
    <t>Share Price</t>
  </si>
  <si>
    <t>CHARTS</t>
  </si>
  <si>
    <t>Actuals</t>
  </si>
  <si>
    <t>Forecast</t>
  </si>
  <si>
    <t>Projected</t>
  </si>
  <si>
    <t>Assumptions</t>
  </si>
  <si>
    <t>CAPM Variables</t>
  </si>
  <si>
    <t>Check RFR</t>
  </si>
  <si>
    <t>Check Market Premium</t>
  </si>
  <si>
    <t>Check Beta</t>
  </si>
  <si>
    <t>WACC</t>
  </si>
  <si>
    <t>Discounted Cash Flow</t>
  </si>
  <si>
    <t>Present Value of Free Cash Flow</t>
  </si>
  <si>
    <t>INCOME STATEMENT</t>
  </si>
  <si>
    <t>PROJECTED CASH FLOWS</t>
  </si>
  <si>
    <t>CAPM</t>
  </si>
  <si>
    <t>Min.</t>
  </si>
  <si>
    <t>Max.</t>
  </si>
  <si>
    <t>DISCOUNTED CASH FLOW TEMPLATE</t>
  </si>
  <si>
    <t>Income Tax Rate</t>
  </si>
  <si>
    <t>Risk-Free Return Rate</t>
  </si>
  <si>
    <t>Market Equity Risk Premium</t>
  </si>
  <si>
    <t>Beta</t>
  </si>
  <si>
    <t>Size Risk Premium</t>
  </si>
  <si>
    <t>WACC Calculations</t>
  </si>
  <si>
    <t>1-CAPM ; 0-Actual Dividends</t>
  </si>
  <si>
    <t>Minimum
Rate</t>
  </si>
  <si>
    <t>Maximum
Rate</t>
  </si>
  <si>
    <t>Error Checks for Conditional Formatting</t>
  </si>
  <si>
    <t>Cash Flow Calculations</t>
  </si>
  <si>
    <t>A&amp;D Growth Rate</t>
  </si>
  <si>
    <t>Year Calculations</t>
  </si>
  <si>
    <t>Fill Col 3-5</t>
  </si>
  <si>
    <t>Order</t>
  </si>
  <si>
    <t>Year</t>
  </si>
  <si>
    <t>Headers</t>
  </si>
  <si>
    <t xml:space="preserve">User-Defined </t>
  </si>
  <si>
    <t>Amortization &amp; Depreciation</t>
  </si>
  <si>
    <t>Market Capitalization</t>
  </si>
  <si>
    <t>PROJECTION PARAMETERS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</si>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</sst>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;;;"/>
  </numFmts>
  <fonts count="4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3" tint="-0.249977111117893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b/>
      <sz val="12"/>
      <color theme="3"/>
      <name val="Arial"/>
      <family val="2"/>
      <charset val="204"/>
      <scheme val="maj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9" tint="-0.499984740745262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2"/>
      <color theme="9" tint="-0.249977111117893"/>
      <name val="Arial"/>
      <family val="2"/>
      <scheme val="minor"/>
    </font>
    <font>
      <b/>
      <sz val="11"/>
      <color theme="0"/>
      <name val="Arial"/>
      <family val="2"/>
      <charset val="204"/>
      <scheme val="minor"/>
    </font>
    <font>
      <b/>
      <sz val="12"/>
      <color rgb="FF1F4E78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11"/>
      <color rgb="FF1F4E78"/>
      <name val="Arial"/>
      <family val="2"/>
      <scheme val="minor"/>
    </font>
    <font>
      <b/>
      <sz val="11.0"/>
      <color rgb="FF1F4E78"/>
      <name val="Arial"/>
      <family val="2"/>
      <scheme val="minor"/>
    </font>
    <font>
      <b/>
      <sz val="11.0"/>
      <color theme="0"/>
      <name val="Arial"/>
      <family val="2"/>
      <scheme val="minor"/>
    </font>
    <font>
      <b/>
      <sz val="12"/>
      <color rgb="FFC00000"/>
      <name val="Arial"/>
      <family val="2"/>
      <scheme val="minor"/>
    </font>
    <font>
      <sz val="11"/>
      <color rgb="FFC00000"/>
      <name val="Arial"/>
      <family val="2"/>
      <scheme val="minor"/>
    </font>
    <font>
      <i/>
      <sz val="11"/>
      <color theme="4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lightGray">
        <fgColor rgb="FFE2EFD9"/>
        <bgColor theme="6" tint="0.79998168889431442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gray0625">
        <fgColor rgb="FFFFF3CC"/>
        <bgColor rgb="FFCDE1D7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/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1B29A"/>
      </left>
      <right style="thin">
        <color rgb="FF81B29A"/>
      </right>
      <top style="thin">
        <color rgb="FF81B29A"/>
      </top>
      <bottom style="thin">
        <color rgb="FF81B29A"/>
      </bottom>
      <diagonal/>
    </border>
    <border>
      <left style="thin">
        <color rgb="FFE07A5F"/>
      </left>
      <right style="thin">
        <color rgb="FFE07A5F"/>
      </right>
      <top style="thin">
        <color rgb="FFE07A5F"/>
      </top>
      <bottom style="thin">
        <color rgb="FFE07A5F"/>
      </bottom>
      <diagonal/>
    </border>
    <border>
      <left style="thin">
        <color rgb="FF3D405B"/>
      </left>
      <right style="thin">
        <color rgb="FF3D405B"/>
      </right>
      <top style="thin">
        <color rgb="FF3D405B"/>
      </top>
      <bottom style="thin">
        <color rgb="FF3D405B"/>
      </bottom>
      <diagonal/>
    </border>
    <border>
      <left style="thin">
        <color rgb="FF3D405B"/>
      </left>
      <right/>
      <top style="thin">
        <color rgb="FF3D405B"/>
      </top>
      <bottom style="thin">
        <color rgb="FF3D405B"/>
      </bottom>
      <diagonal/>
    </border>
    <border>
      <left/>
      <right style="thin">
        <color rgb="FF3D405B"/>
      </right>
      <top style="thin">
        <color rgb="FF3D405B"/>
      </top>
      <bottom style="thin">
        <color rgb="FF3D405B"/>
      </bottom>
      <diagonal/>
    </border>
    <border>
      <left/>
      <right/>
      <top style="thin">
        <color rgb="FF3D405B"/>
      </top>
      <bottom style="thin">
        <color rgb="FF3D405B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3D405B"/>
      </left>
      <right style="thin">
        <color rgb="FF3D405B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3D405B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rgb="FF3D405B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3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3D405B"/>
      </right>
      <top style="thin">
        <color theme="3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3D405B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3D405B"/>
      </left>
      <right style="thin">
        <color rgb="FF3D405B"/>
      </right>
      <top style="thin">
        <color theme="3" tint="-0.24994659260841701"/>
      </top>
      <bottom style="thin">
        <color theme="0" tint="-0.14996795556505021"/>
      </bottom>
      <diagonal/>
    </border>
    <border>
      <left style="thin">
        <color rgb="FF3D405B"/>
      </left>
      <right style="thin">
        <color rgb="FF3D405B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3D405B"/>
      </left>
      <right style="thin">
        <color rgb="FF3D405B"/>
      </right>
      <top style="thin">
        <color theme="0" tint="-0.14996795556505021"/>
      </top>
      <bottom style="thin">
        <color rgb="FF3D405B"/>
      </bottom>
      <diagonal/>
    </border>
    <border>
      <left style="thin">
        <color rgb="FF3D405B"/>
      </left>
      <right style="thin">
        <color theme="0" tint="-0.14996795556505021"/>
      </right>
      <top style="thin">
        <color theme="3" tint="-0.24994659260841701"/>
      </top>
      <bottom style="thin">
        <color theme="0" tint="-0.14996795556505021"/>
      </bottom>
      <diagonal/>
    </border>
    <border>
      <left style="thin">
        <color rgb="FF3D405B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3D405B"/>
      </left>
      <right style="thin">
        <color theme="0" tint="-0.14996795556505021"/>
      </right>
      <top style="thin">
        <color theme="0" tint="-0.14996795556505021"/>
      </top>
      <bottom style="thin">
        <color rgb="FF3D405B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rgb="FF3D405B"/>
      </bottom>
      <diagonal/>
    </border>
    <border>
      <left style="thin">
        <color theme="0" tint="-0.14996795556505021"/>
      </left>
      <right style="thin">
        <color rgb="FF3D405B"/>
      </right>
      <top style="thin">
        <color theme="0" tint="-0.14996795556505021"/>
      </top>
      <bottom style="thin">
        <color rgb="FF3D405B"/>
      </bottom>
      <diagonal/>
    </border>
    <border>
      <left style="thin">
        <color rgb="FF3D405B"/>
      </left>
      <right style="thin">
        <color rgb="FF81B29A"/>
      </right>
      <top style="thin">
        <color rgb="FF81B29A"/>
      </top>
      <bottom style="thin">
        <color rgb="FF81B29A"/>
      </bottom>
      <diagonal/>
    </border>
    <border>
      <left style="thin">
        <color rgb="FF81B29A"/>
      </left>
      <right style="thin">
        <color rgb="FF3D405B"/>
      </right>
      <top style="thin">
        <color rgb="FF81B29A"/>
      </top>
      <bottom style="thin">
        <color rgb="FF81B29A"/>
      </bottom>
      <diagonal/>
    </border>
    <border>
      <left/>
      <right style="thin">
        <color theme="0" tint="-0.14996795556505021"/>
      </right>
      <top style="thin">
        <color theme="3" tint="-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0" tint="-0.1499679555650502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0" tint="-0.14996795556505021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1B29A"/>
      </left>
      <right/>
      <top style="thin">
        <color rgb="FF81B29A"/>
      </top>
      <bottom/>
      <diagonal/>
    </border>
    <border>
      <left/>
      <right/>
      <top style="thin">
        <color rgb="FF81B29A"/>
      </top>
      <bottom/>
      <diagonal/>
    </border>
    <border>
      <left/>
      <right style="thin">
        <color rgb="FF81B29A"/>
      </right>
      <top style="thin">
        <color rgb="FF81B29A"/>
      </top>
      <bottom/>
      <diagonal/>
    </border>
    <border>
      <left style="thin">
        <color rgb="FF81B29A"/>
      </left>
      <right/>
      <top/>
      <bottom/>
      <diagonal/>
    </border>
    <border>
      <left/>
      <right style="thin">
        <color rgb="FF81B29A"/>
      </right>
      <top/>
      <bottom/>
      <diagonal/>
    </border>
    <border>
      <left style="thin">
        <color rgb="FF81B29A"/>
      </left>
      <right/>
      <top/>
      <bottom style="thin">
        <color rgb="FF81B29A"/>
      </bottom>
      <diagonal/>
    </border>
    <border>
      <left/>
      <right/>
      <top/>
      <bottom style="thin">
        <color rgb="FF81B29A"/>
      </bottom>
      <diagonal/>
    </border>
    <border>
      <left/>
      <right style="thin">
        <color rgb="FF81B29A"/>
      </right>
      <top/>
      <bottom style="thin">
        <color rgb="FF81B29A"/>
      </bottom>
      <diagonal/>
    </border>
    <border>
      <left style="thin">
        <color rgb="FF81B29A"/>
      </left>
      <right/>
      <top style="thin">
        <color rgb="FF81B29A"/>
      </top>
      <bottom style="thin">
        <color rgb="FF81B29A"/>
      </bottom>
      <diagonal/>
    </border>
    <border>
      <left style="thin">
        <color rgb="FF3D405B"/>
      </left>
      <right/>
      <top style="thin">
        <color theme="3" tint="-0.24994659260841701"/>
      </top>
      <bottom style="thin">
        <color rgb="FF81B29A"/>
      </bottom>
      <diagonal/>
    </border>
    <border>
      <left/>
      <right/>
      <top style="thin">
        <color theme="3" tint="-0.24994659260841701"/>
      </top>
      <bottom style="thin">
        <color rgb="FF81B29A"/>
      </bottom>
      <diagonal/>
    </border>
    <border>
      <left/>
      <right style="thin">
        <color rgb="FF3D405B"/>
      </right>
      <top style="thin">
        <color theme="3" tint="-0.24994659260841701"/>
      </top>
      <bottom style="thin">
        <color rgb="FF81B29A"/>
      </bottom>
      <diagonal/>
    </border>
    <border>
      <left style="thin">
        <color rgb="FF3D405B"/>
      </left>
      <right/>
      <top style="thin">
        <color rgb="FF81B29A"/>
      </top>
      <bottom style="thin">
        <color rgb="FF81B29A"/>
      </bottom>
      <diagonal/>
    </border>
    <border>
      <left/>
      <right/>
      <top style="thin">
        <color rgb="FF81B29A"/>
      </top>
      <bottom style="thin">
        <color rgb="FF81B29A"/>
      </bottom>
      <diagonal/>
    </border>
    <border>
      <left/>
      <right style="thin">
        <color rgb="FF3D405B"/>
      </right>
      <top style="thin">
        <color rgb="FF81B29A"/>
      </top>
      <bottom style="thin">
        <color rgb="FF81B29A"/>
      </bottom>
      <diagonal/>
    </border>
    <border>
      <left style="thin">
        <color rgb="FF3D405B"/>
      </left>
      <right/>
      <top style="thin">
        <color rgb="FF81B29A"/>
      </top>
      <bottom/>
      <diagonal/>
    </border>
    <border>
      <left/>
      <right style="thin">
        <color rgb="FF3D405B"/>
      </right>
      <top style="thin">
        <color rgb="FF81B29A"/>
      </top>
      <bottom/>
      <diagonal/>
    </border>
    <border>
      <left style="thin">
        <color rgb="FF3D405B"/>
      </left>
      <right/>
      <top/>
      <bottom style="thin">
        <color rgb="FF81B29A"/>
      </bottom>
      <diagonal/>
    </border>
    <border>
      <left/>
      <right style="thin">
        <color rgb="FF3D405B"/>
      </right>
      <top/>
      <bottom style="thin">
        <color rgb="FF81B29A"/>
      </bottom>
      <diagonal/>
    </border>
    <border>
      <left style="thin">
        <color rgb="FF3D405B"/>
      </left>
      <right/>
      <top/>
      <bottom/>
      <diagonal/>
    </border>
    <border>
      <left/>
      <right style="thin">
        <color rgb="FF3D405B"/>
      </right>
      <top/>
      <bottom/>
      <diagonal/>
    </border>
    <border>
      <left style="thin">
        <color rgb="FF3D405B"/>
      </left>
      <right/>
      <top/>
      <bottom style="thin">
        <color rgb="FF3D405B"/>
      </bottom>
      <diagonal/>
    </border>
    <border>
      <left/>
      <right/>
      <top/>
      <bottom style="thin">
        <color rgb="FF3D405B"/>
      </bottom>
      <diagonal/>
    </border>
    <border>
      <left/>
      <right style="thin">
        <color rgb="FF3D405B"/>
      </right>
      <top/>
      <bottom style="thin">
        <color rgb="FF3D405B"/>
      </bottom>
      <diagonal/>
    </border>
    <border>
      <left style="thin">
        <color rgb="FF3D405B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3" tint="-0.24994659260841701"/>
      </bottom>
      <diagonal/>
    </border>
    <border>
      <left/>
      <right style="thin">
        <color rgb="FF3D405B"/>
      </right>
      <top style="thin">
        <color theme="0" tint="-0.14996795556505021"/>
      </top>
      <bottom style="thin">
        <color theme="3" tint="-0.24994659260841701"/>
      </bottom>
      <diagonal/>
    </border>
    <border>
      <left style="thin">
        <color theme="0" tint="-0.14996795556505021"/>
      </left>
      <right style="thin">
        <color rgb="FF3D405B"/>
      </right>
      <top style="thin">
        <color theme="3" tint="-0.24994659260841701"/>
      </top>
      <bottom/>
      <diagonal/>
    </border>
    <border>
      <left style="thin">
        <color theme="0" tint="-0.14996795556505021"/>
      </left>
      <right style="thin">
        <color rgb="FF3D405B"/>
      </right>
      <top/>
      <bottom/>
      <diagonal/>
    </border>
    <border>
      <left style="thin">
        <color theme="0" tint="-0.14996795556505021"/>
      </left>
      <right style="thin">
        <color rgb="FF3D405B"/>
      </right>
      <top/>
      <bottom style="thin">
        <color theme="0" tint="-0.14996795556505021"/>
      </bottom>
      <diagonal/>
    </border>
    <border>
      <left style="thin">
        <color rgb="FF3D405B"/>
      </left>
      <right/>
      <top style="thin">
        <color rgb="FF3D405B"/>
      </top>
      <bottom/>
      <diagonal/>
    </border>
    <border>
      <left/>
      <right/>
      <top style="thin">
        <color rgb="FF3D405B"/>
      </top>
      <bottom/>
      <diagonal/>
    </border>
    <border>
      <left/>
      <right style="thin">
        <color rgb="FF3D405B"/>
      </right>
      <top style="thin">
        <color rgb="FF3D405B"/>
      </top>
      <bottom/>
      <diagonal/>
    </border>
    <border>
      <left/>
      <right style="thin">
        <color rgb="FFE07A5F"/>
      </right>
      <top style="thin">
        <color rgb="FFE07A5F"/>
      </top>
      <bottom style="thin">
        <color rgb="FFE07A5F"/>
      </bottom>
      <diagonal/>
    </border>
    <border>
      <left style="thin">
        <color rgb="FFE07A5F"/>
      </left>
      <right/>
      <top style="thin">
        <color rgb="FFE07A5F"/>
      </top>
      <bottom style="thin">
        <color rgb="FFE07A5F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9" fontId="5" fillId="0" borderId="0" applyFont="0" applyFill="0" applyBorder="0" applyAlignment="0" applyProtection="0"/>
    <xf numFmtId="0" fontId="1" fillId="0" borderId="0"/>
  </cellStyleXfs>
  <cellXfs count="252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0" fontId="14" fillId="4" borderId="0" xfId="0" applyFont="1" applyFill="1" applyBorder="1" applyAlignment="1">
      <alignment horizontal="right" vertical="center"/>
    </xf>
    <xf numFmtId="0" fontId="15" fillId="6" borderId="0" xfId="0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6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7"/>
    </xf>
    <xf numFmtId="49" fontId="7" fillId="5" borderId="0" xfId="0" applyNumberFormat="1" applyFont="1" applyFill="1" applyAlignment="1">
      <alignment horizontal="left" vertical="center" indent="7"/>
    </xf>
    <xf numFmtId="49" fontId="21" fillId="5" borderId="0" xfId="0" applyNumberFormat="1" applyFont="1" applyFill="1" applyAlignment="1">
      <alignment horizontal="left" vertical="center" indent="7"/>
    </xf>
    <xf numFmtId="0" fontId="5" fillId="0" borderId="9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49" fontId="10" fillId="3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0" xfId="0" applyFill="1" applyBorder="1" applyAlignment="1">
      <alignment horizontal="center" vertical="center"/>
    </xf>
    <xf numFmtId="0" fontId="26" fillId="12" borderId="15" xfId="0" applyFont="1" applyFill="1" applyBorder="1" applyAlignment="1">
      <alignment horizontal="center" vertical="center" wrapText="1"/>
    </xf>
    <xf numFmtId="0" fontId="27" fillId="12" borderId="15" xfId="0" applyFont="1" applyFill="1" applyBorder="1" applyAlignment="1" applyProtection="1">
      <alignment horizontal="center" vertical="center" wrapText="1"/>
      <protection hidden="1"/>
    </xf>
    <xf numFmtId="0" fontId="27" fillId="12" borderId="1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26" fillId="15" borderId="16" xfId="0" applyFont="1" applyFill="1" applyBorder="1" applyAlignment="1">
      <alignment horizontal="center" vertical="center" wrapText="1"/>
    </xf>
    <xf numFmtId="0" fontId="27" fillId="15" borderId="16" xfId="0" applyFont="1" applyFill="1" applyBorder="1" applyAlignment="1">
      <alignment horizontal="centerContinuous" vertical="center" wrapText="1"/>
    </xf>
    <xf numFmtId="0" fontId="0" fillId="0" borderId="9" xfId="0" applyFont="1" applyFill="1" applyBorder="1" applyAlignment="1">
      <alignment vertical="center"/>
    </xf>
    <xf numFmtId="0" fontId="0" fillId="0" borderId="17" xfId="0" applyFont="1" applyBorder="1" applyAlignment="1" applyProtection="1">
      <alignment horizontal="center" vertical="center" shrinkToFit="1"/>
      <protection locked="0"/>
    </xf>
    <xf numFmtId="9" fontId="0" fillId="0" borderId="17" xfId="5" applyFont="1" applyBorder="1" applyAlignment="1" applyProtection="1">
      <alignment horizontal="center" vertical="center"/>
      <protection locked="0"/>
    </xf>
    <xf numFmtId="164" fontId="0" fillId="0" borderId="17" xfId="5" applyNumberFormat="1" applyFont="1" applyBorder="1" applyAlignment="1" applyProtection="1">
      <alignment horizontal="center" vertical="center"/>
      <protection locked="0"/>
    </xf>
    <xf numFmtId="0" fontId="31" fillId="11" borderId="18" xfId="0" applyFont="1" applyFill="1" applyBorder="1" applyAlignment="1">
      <alignment horizontal="centerContinuous" vertical="center"/>
    </xf>
    <xf numFmtId="0" fontId="31" fillId="11" borderId="19" xfId="0" applyFont="1" applyFill="1" applyBorder="1" applyAlignment="1">
      <alignment horizontal="centerContinuous" vertical="center"/>
    </xf>
    <xf numFmtId="0" fontId="31" fillId="11" borderId="20" xfId="0" applyFont="1" applyFill="1" applyBorder="1" applyAlignment="1">
      <alignment horizontal="centerContinuous" vertical="center"/>
    </xf>
    <xf numFmtId="4" fontId="28" fillId="0" borderId="15" xfId="0" applyNumberFormat="1" applyFont="1" applyBorder="1" applyAlignment="1" applyProtection="1">
      <alignment horizontal="center" vertical="center" shrinkToFit="1"/>
      <protection locked="0"/>
    </xf>
    <xf numFmtId="4" fontId="28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18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left" vertical="center"/>
    </xf>
    <xf numFmtId="0" fontId="23" fillId="2" borderId="15" xfId="0" applyFont="1" applyFill="1" applyBorder="1" applyAlignment="1">
      <alignment horizontal="left" vertical="center" indent="1"/>
    </xf>
    <xf numFmtId="0" fontId="28" fillId="2" borderId="16" xfId="0" applyFont="1" applyFill="1" applyBorder="1" applyAlignment="1">
      <alignment horizontal="left" vertical="center" indent="1"/>
    </xf>
    <xf numFmtId="0" fontId="29" fillId="2" borderId="16" xfId="0" applyFont="1" applyFill="1" applyBorder="1" applyAlignment="1">
      <alignment horizontal="left" vertical="center" indent="1"/>
    </xf>
    <xf numFmtId="0" fontId="11" fillId="2" borderId="17" xfId="0" applyFont="1" applyFill="1" applyBorder="1" applyAlignment="1">
      <alignment horizontal="left" vertical="center" shrinkToFit="1"/>
    </xf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0" xfId="0" applyFont="1" applyFill="1"/>
    <xf numFmtId="0" fontId="5" fillId="0" borderId="5" xfId="0" applyFont="1" applyFill="1" applyBorder="1"/>
    <xf numFmtId="0" fontId="5" fillId="0" borderId="4" xfId="0" applyFont="1" applyFill="1" applyBorder="1"/>
    <xf numFmtId="0" fontId="5" fillId="0" borderId="0" xfId="0" applyFont="1" applyFill="1" applyAlignment="1">
      <alignment horizontal="left" shrinkToFit="1"/>
    </xf>
    <xf numFmtId="0" fontId="17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3" xfId="0" applyFont="1" applyFill="1" applyBorder="1"/>
    <xf numFmtId="164" fontId="23" fillId="0" borderId="38" xfId="5" applyNumberFormat="1" applyFont="1" applyFill="1" applyBorder="1" applyAlignment="1" applyProtection="1">
      <alignment horizontal="center" vertical="center" shrinkToFit="1"/>
      <protection locked="0"/>
    </xf>
    <xf numFmtId="0" fontId="36" fillId="12" borderId="23" xfId="0" applyFont="1" applyFill="1" applyBorder="1" applyAlignment="1">
      <alignment horizontal="center" vertical="center" wrapText="1"/>
    </xf>
    <xf numFmtId="0" fontId="36" fillId="12" borderId="10" xfId="0" applyFont="1" applyFill="1" applyBorder="1" applyAlignment="1">
      <alignment horizontal="center" vertical="center" wrapText="1"/>
    </xf>
    <xf numFmtId="0" fontId="36" fillId="12" borderId="24" xfId="0" applyFont="1" applyFill="1" applyBorder="1" applyAlignment="1">
      <alignment horizontal="center" vertical="center" wrapText="1"/>
    </xf>
    <xf numFmtId="4" fontId="25" fillId="8" borderId="32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25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33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27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28" xfId="5" applyNumberFormat="1" applyFont="1" applyFill="1" applyBorder="1" applyAlignment="1" applyProtection="1">
      <alignment horizontal="center" vertical="center" shrinkToFit="1"/>
      <protection hidden="1"/>
    </xf>
    <xf numFmtId="4" fontId="0" fillId="8" borderId="27" xfId="5" applyNumberFormat="1" applyFont="1" applyFill="1" applyBorder="1" applyAlignment="1" applyProtection="1">
      <alignment horizontal="center" vertical="center" shrinkToFit="1"/>
      <protection hidden="1"/>
    </xf>
    <xf numFmtId="4" fontId="0" fillId="8" borderId="28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34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35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36" xfId="5" applyNumberFormat="1" applyFont="1" applyFill="1" applyBorder="1" applyAlignment="1" applyProtection="1">
      <alignment horizontal="center" vertical="center" shrinkToFit="1"/>
      <protection hidden="1"/>
    </xf>
    <xf numFmtId="0" fontId="36" fillId="17" borderId="24" xfId="0" applyFont="1" applyFill="1" applyBorder="1" applyAlignment="1">
      <alignment horizontal="center" vertical="center" wrapText="1"/>
    </xf>
    <xf numFmtId="4" fontId="0" fillId="0" borderId="25" xfId="0" applyNumberFormat="1" applyFont="1" applyBorder="1" applyAlignment="1" applyProtection="1">
      <alignment horizontal="center" vertical="center" shrinkToFit="1"/>
      <protection locked="0"/>
    </xf>
    <xf numFmtId="4" fontId="0" fillId="0" borderId="26" xfId="0" applyNumberFormat="1" applyFont="1" applyBorder="1" applyAlignment="1" applyProtection="1">
      <alignment horizontal="center" vertical="center" shrinkToFit="1"/>
      <protection locked="0"/>
    </xf>
    <xf numFmtId="4" fontId="0" fillId="0" borderId="29" xfId="0" applyNumberFormat="1" applyFont="1" applyFill="1" applyBorder="1" applyAlignment="1" applyProtection="1">
      <alignment horizontal="center" vertical="center" shrinkToFit="1"/>
      <protection locked="0"/>
    </xf>
    <xf numFmtId="164" fontId="39" fillId="8" borderId="27" xfId="5" applyNumberFormat="1" applyFont="1" applyFill="1" applyBorder="1" applyAlignment="1" applyProtection="1">
      <alignment horizontal="center" vertical="center" shrinkToFit="1"/>
      <protection hidden="1"/>
    </xf>
    <xf numFmtId="164" fontId="39" fillId="8" borderId="28" xfId="5" applyNumberFormat="1" applyFont="1" applyFill="1" applyBorder="1" applyAlignment="1" applyProtection="1">
      <alignment horizontal="center" vertical="center" shrinkToFit="1"/>
      <protection hidden="1"/>
    </xf>
    <xf numFmtId="164" fontId="39" fillId="9" borderId="30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37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15" xfId="5" applyNumberFormat="1" applyFont="1" applyFill="1" applyBorder="1" applyAlignment="1" applyProtection="1">
      <alignment horizontal="center" vertical="center" shrinkToFit="1"/>
      <protection hidden="1"/>
    </xf>
    <xf numFmtId="4" fontId="0" fillId="0" borderId="27" xfId="0" applyNumberFormat="1" applyFont="1" applyBorder="1" applyAlignment="1" applyProtection="1">
      <alignment horizontal="center" vertical="center" shrinkToFit="1"/>
      <protection locked="0"/>
    </xf>
    <xf numFmtId="4" fontId="0" fillId="0" borderId="28" xfId="0" applyNumberFormat="1" applyFont="1" applyBorder="1" applyAlignment="1" applyProtection="1">
      <alignment horizontal="center" vertical="center" shrinkToFit="1"/>
      <protection locked="0"/>
    </xf>
    <xf numFmtId="4" fontId="0" fillId="0" borderId="30" xfId="0" applyNumberFormat="1" applyFont="1" applyFill="1" applyBorder="1" applyAlignment="1" applyProtection="1">
      <alignment horizontal="center" vertical="center" shrinkToFit="1"/>
      <protection locked="0"/>
    </xf>
    <xf numFmtId="4" fontId="0" fillId="9" borderId="30" xfId="5" applyNumberFormat="1" applyFont="1" applyFill="1" applyBorder="1" applyAlignment="1" applyProtection="1">
      <alignment horizontal="center" vertical="center" shrinkToFit="1"/>
      <protection hidden="1"/>
    </xf>
    <xf numFmtId="165" fontId="0" fillId="9" borderId="31" xfId="0" applyNumberFormat="1" applyFont="1" applyFill="1" applyBorder="1" applyAlignment="1" applyProtection="1">
      <alignment horizontal="center" vertical="center" shrinkToFit="1"/>
      <protection hidden="1"/>
    </xf>
    <xf numFmtId="0" fontId="27" fillId="0" borderId="0" xfId="0" applyFont="1" applyFill="1" applyBorder="1" applyAlignment="1">
      <alignment horizontal="center" vertical="center" wrapText="1"/>
    </xf>
    <xf numFmtId="0" fontId="0" fillId="16" borderId="17" xfId="0" applyFont="1" applyFill="1" applyBorder="1" applyAlignment="1">
      <alignment horizontal="left" vertical="center" shrinkToFit="1"/>
    </xf>
    <xf numFmtId="0" fontId="23" fillId="16" borderId="17" xfId="0" applyFont="1" applyFill="1" applyBorder="1" applyAlignment="1">
      <alignment horizontal="left" vertical="center" shrinkToFit="1"/>
    </xf>
    <xf numFmtId="0" fontId="27" fillId="11" borderId="18" xfId="0" applyFont="1" applyFill="1" applyBorder="1" applyAlignment="1">
      <alignment horizontal="centerContinuous" vertical="center" wrapText="1"/>
    </xf>
    <xf numFmtId="0" fontId="26" fillId="11" borderId="20" xfId="0" applyFont="1" applyFill="1" applyBorder="1" applyAlignment="1">
      <alignment horizontal="centerContinuous"/>
    </xf>
    <xf numFmtId="0" fontId="27" fillId="11" borderId="20" xfId="0" applyFont="1" applyFill="1" applyBorder="1" applyAlignment="1">
      <alignment horizontal="centerContinuous" vertical="center" wrapText="1"/>
    </xf>
    <xf numFmtId="0" fontId="27" fillId="11" borderId="19" xfId="0" applyFont="1" applyFill="1" applyBorder="1" applyAlignment="1">
      <alignment horizontal="centerContinuous" vertical="center" wrapText="1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26" fillId="18" borderId="0" xfId="0" applyFont="1" applyFill="1" applyAlignment="1">
      <alignment vertical="center"/>
    </xf>
    <xf numFmtId="0" fontId="23" fillId="10" borderId="9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0" fillId="10" borderId="13" xfId="0" applyFill="1" applyBorder="1" applyAlignment="1">
      <alignment vertical="center"/>
    </xf>
    <xf numFmtId="0" fontId="0" fillId="10" borderId="14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5" fillId="0" borderId="12" xfId="0" applyFont="1" applyFill="1" applyBorder="1"/>
    <xf numFmtId="0" fontId="5" fillId="0" borderId="14" xfId="0" applyFont="1" applyFill="1" applyBorder="1"/>
    <xf numFmtId="0" fontId="5" fillId="0" borderId="13" xfId="0" applyFont="1" applyFill="1" applyBorder="1"/>
    <xf numFmtId="4" fontId="34" fillId="16" borderId="17" xfId="5" applyNumberFormat="1" applyFont="1" applyFill="1" applyBorder="1" applyAlignment="1" applyProtection="1">
      <alignment horizontal="centerContinuous" vertical="center" shrinkToFit="1"/>
      <protection hidden="1"/>
    </xf>
    <xf numFmtId="164" fontId="34" fillId="16" borderId="17" xfId="5" applyNumberFormat="1" applyFont="1" applyFill="1" applyBorder="1" applyAlignment="1" applyProtection="1">
      <alignment horizontal="centerContinuous" vertical="center" shrinkToFit="1"/>
      <protection hidden="1"/>
    </xf>
    <xf numFmtId="0" fontId="5" fillId="10" borderId="12" xfId="0" applyFont="1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Continuous" vertical="center"/>
    </xf>
    <xf numFmtId="0" fontId="32" fillId="0" borderId="2" xfId="0" applyFont="1" applyFill="1" applyBorder="1" applyAlignment="1">
      <alignment horizontal="centerContinuous" vertical="center"/>
    </xf>
    <xf numFmtId="0" fontId="33" fillId="0" borderId="2" xfId="0" applyFont="1" applyFill="1" applyBorder="1" applyAlignment="1">
      <alignment horizontal="centerContinuous" vertical="center"/>
    </xf>
    <xf numFmtId="0" fontId="30" fillId="0" borderId="2" xfId="0" applyFont="1" applyFill="1" applyBorder="1" applyAlignment="1">
      <alignment horizontal="centerContinuous" vertical="center"/>
    </xf>
    <xf numFmtId="0" fontId="37" fillId="0" borderId="2" xfId="0" applyFont="1" applyFill="1" applyBorder="1" applyAlignment="1">
      <alignment horizontal="centerContinuous" vertical="center"/>
    </xf>
    <xf numFmtId="0" fontId="38" fillId="0" borderId="2" xfId="0" applyFont="1" applyFill="1" applyBorder="1" applyAlignment="1">
      <alignment horizontal="centerContinuous" vertical="center"/>
    </xf>
    <xf numFmtId="0" fontId="40" fillId="0" borderId="2" xfId="0" applyFont="1" applyFill="1" applyBorder="1" applyAlignment="1">
      <alignment horizontal="centerContinuous" vertical="center"/>
    </xf>
    <xf numFmtId="4" fontId="0" fillId="0" borderId="39" xfId="0" applyNumberFormat="1" applyFont="1" applyBorder="1" applyAlignment="1" applyProtection="1">
      <alignment horizontal="center" vertical="center" shrinkToFit="1"/>
      <protection locked="0"/>
    </xf>
    <xf numFmtId="164" fontId="39" fillId="8" borderId="40" xfId="5" applyNumberFormat="1" applyFont="1" applyFill="1" applyBorder="1" applyAlignment="1" applyProtection="1">
      <alignment horizontal="center" vertical="center" shrinkToFit="1"/>
      <protection hidden="1"/>
    </xf>
    <xf numFmtId="4" fontId="0" fillId="0" borderId="40" xfId="0" applyNumberFormat="1" applyFont="1" applyBorder="1" applyAlignment="1" applyProtection="1">
      <alignment horizontal="center" vertical="center" shrinkToFit="1"/>
      <protection locked="0"/>
    </xf>
    <xf numFmtId="4" fontId="0" fillId="8" borderId="40" xfId="5" applyNumberFormat="1" applyFont="1" applyFill="1" applyBorder="1" applyAlignment="1" applyProtection="1">
      <alignment horizontal="center" vertical="center" shrinkToFit="1"/>
      <protection hidden="1"/>
    </xf>
    <xf numFmtId="0" fontId="0" fillId="8" borderId="41" xfId="0" applyFont="1" applyFill="1" applyBorder="1" applyAlignment="1">
      <alignment horizontal="left" vertical="center" shrinkToFit="1"/>
    </xf>
    <xf numFmtId="0" fontId="39" fillId="8" borderId="42" xfId="0" applyFont="1" applyFill="1" applyBorder="1" applyAlignment="1">
      <alignment horizontal="left" vertical="center" shrinkToFit="1"/>
    </xf>
    <xf numFmtId="0" fontId="0" fillId="8" borderId="42" xfId="0" applyFont="1" applyFill="1" applyBorder="1" applyAlignment="1">
      <alignment horizontal="left" vertical="center" shrinkToFit="1"/>
    </xf>
    <xf numFmtId="0" fontId="0" fillId="8" borderId="43" xfId="0" applyFont="1" applyFill="1" applyBorder="1" applyAlignment="1">
      <alignment horizontal="left" vertical="center" shrinkToFit="1"/>
    </xf>
    <xf numFmtId="49" fontId="10" fillId="3" borderId="0" xfId="0" applyNumberFormat="1" applyFont="1" applyFill="1" applyAlignment="1">
      <alignment horizontal="left" vertical="center" indent="6"/>
    </xf>
    <xf numFmtId="49" fontId="7" fillId="5" borderId="0" xfId="0" applyNumberFormat="1" applyFont="1" applyFill="1" applyAlignment="1">
      <alignment horizontal="left" vertical="center" indent="6"/>
    </xf>
    <xf numFmtId="49" fontId="21" fillId="5" borderId="0" xfId="0" applyNumberFormat="1" applyFont="1" applyFill="1" applyAlignment="1">
      <alignment horizontal="left" vertical="center" indent="6"/>
    </xf>
    <xf numFmtId="49" fontId="10" fillId="3" borderId="0" xfId="0" applyNumberFormat="1" applyFont="1" applyFill="1" applyAlignment="1">
      <alignment horizontal="left" vertical="center" indent="2"/>
    </xf>
    <xf numFmtId="0" fontId="14" fillId="2" borderId="0" xfId="0" applyFont="1" applyFill="1" applyAlignment="1">
      <alignment horizontal="right" vertical="center"/>
    </xf>
    <xf numFmtId="49" fontId="7" fillId="5" borderId="0" xfId="0" applyNumberFormat="1" applyFont="1" applyFill="1" applyAlignment="1">
      <alignment horizontal="left" vertical="center" indent="2"/>
    </xf>
    <xf numFmtId="0" fontId="15" fillId="2" borderId="0" xfId="0" applyFont="1" applyFill="1" applyAlignment="1">
      <alignment horizontal="right" vertical="center"/>
    </xf>
    <xf numFmtId="0" fontId="0" fillId="2" borderId="0" xfId="0" applyFill="1"/>
    <xf numFmtId="0" fontId="41" fillId="2" borderId="0" xfId="4" applyFont="1" applyFill="1" applyAlignment="1" applyProtection="1">
      <alignment vertical="center"/>
      <protection locked="0"/>
    </xf>
    <xf numFmtId="0" fontId="1" fillId="0" borderId="44" xfId="6" applyBorder="1" applyAlignment="1">
      <alignment horizontal="left" wrapText="1" indent="1"/>
    </xf>
    <xf numFmtId="0" fontId="1" fillId="2" borderId="0" xfId="6" applyFill="1"/>
    <xf numFmtId="0" fontId="42" fillId="2" borderId="0" xfId="4" applyFont="1" applyFill="1" applyAlignment="1" applyProtection="1">
      <alignment vertical="center"/>
      <protection locked="0"/>
    </xf>
    <xf numFmtId="0" fontId="1" fillId="0" borderId="45" xfId="6" applyBorder="1" applyAlignment="1">
      <alignment horizontal="left" indent="1"/>
    </xf>
    <xf numFmtId="0" fontId="1" fillId="0" borderId="45" xfId="6" applyBorder="1" applyAlignment="1">
      <alignment horizontal="left" vertical="center" wrapText="1" indent="1"/>
    </xf>
    <xf numFmtId="0" fontId="1" fillId="0" borderId="45" xfId="6" applyBorder="1" applyAlignment="1">
      <alignment horizontal="left" vertical="top" wrapText="1" indent="2"/>
    </xf>
    <xf numFmtId="0" fontId="43" fillId="2" borderId="0" xfId="4" applyFont="1" applyFill="1" applyAlignment="1" applyProtection="1">
      <alignment vertical="center"/>
      <protection locked="0"/>
    </xf>
    <xf numFmtId="0" fontId="11" fillId="0" borderId="45" xfId="6" applyFont="1" applyBorder="1" applyAlignment="1">
      <alignment horizontal="left" indent="1"/>
    </xf>
    <xf numFmtId="0" fontId="1" fillId="0" borderId="46" xfId="6" applyBorder="1" applyAlignment="1">
      <alignment horizontal="left" indent="1"/>
    </xf>
    <xf numFmtId="4" fontId="29" fillId="13" borderId="15" xfId="0" applyNumberFormat="1" applyFont="1" applyFill="1" applyBorder="1" applyAlignment="1" applyProtection="1">
      <alignment horizontal="center" vertical="center" shrinkToFit="1"/>
      <protection hidden="1"/>
    </xf>
    <xf numFmtId="4" fontId="29" fillId="14" borderId="15" xfId="0" applyNumberFormat="1" applyFont="1" applyFill="1" applyBorder="1" applyAlignment="1" applyProtection="1">
      <alignment horizontal="center" vertical="center" shrinkToFit="1"/>
      <protection hidden="1"/>
    </xf>
    <xf numFmtId="164" fontId="29" fillId="13" borderId="15" xfId="0" applyNumberFormat="1" applyFont="1" applyFill="1" applyBorder="1" applyAlignment="1" applyProtection="1">
      <alignment horizontal="center" vertical="center" shrinkToFit="1"/>
      <protection hidden="1"/>
    </xf>
    <xf numFmtId="164" fontId="29" fillId="14" borderId="15" xfId="0" applyNumberFormat="1" applyFont="1" applyFill="1" applyBorder="1" applyAlignment="1" applyProtection="1">
      <alignment horizontal="center" vertical="center" shrinkToFit="1"/>
      <protection hidden="1"/>
    </xf>
    <xf numFmtId="164" fontId="29" fillId="13" borderId="15" xfId="5" applyNumberFormat="1" applyFont="1" applyFill="1" applyBorder="1" applyAlignment="1" applyProtection="1">
      <alignment horizontal="center" vertical="center" shrinkToFit="1"/>
      <protection hidden="1"/>
    </xf>
    <xf numFmtId="0" fontId="35" fillId="16" borderId="21" xfId="0" applyFont="1" applyFill="1" applyBorder="1" applyAlignment="1" applyProtection="1">
      <alignment horizontal="center" vertical="center" wrapText="1"/>
      <protection hidden="1"/>
    </xf>
    <xf numFmtId="0" fontId="35" fillId="16" borderId="10" xfId="0" applyFont="1" applyFill="1" applyBorder="1" applyAlignment="1" applyProtection="1">
      <alignment horizontal="center" vertical="center" wrapText="1"/>
      <protection hidden="1"/>
    </xf>
    <xf numFmtId="0" fontId="36" fillId="16" borderId="22" xfId="0" applyFont="1" applyFill="1" applyBorder="1" applyAlignment="1" applyProtection="1">
      <alignment horizontal="center" vertical="center" wrapText="1"/>
      <protection hidden="1"/>
    </xf>
    <xf numFmtId="0" fontId="36" fillId="17" borderId="23" xfId="0" applyFont="1" applyFill="1" applyBorder="1" applyAlignment="1" applyProtection="1">
      <alignment horizontal="center" vertical="center" wrapText="1"/>
      <protection hidden="1"/>
    </xf>
    <xf numFmtId="0" fontId="36" fillId="17" borderId="10" xfId="0" applyFont="1" applyFill="1" applyBorder="1" applyAlignment="1" applyProtection="1">
      <alignment horizontal="center" vertical="center" wrapText="1"/>
      <protection hidden="1"/>
    </xf>
    <xf numFmtId="164" fontId="28" fillId="0" borderId="15" xfId="5" applyNumberFormat="1" applyFont="1" applyFill="1" applyBorder="1" applyAlignment="1" applyProtection="1">
      <alignment horizontal="center" vertical="center" shrinkToFit="1"/>
      <protection locked="0"/>
    </xf>
    <xf numFmtId="9" fontId="28" fillId="13" borderId="47" xfId="5" applyFont="1" applyFill="1" applyBorder="1" applyAlignment="1" applyProtection="1">
      <alignment horizontal="center" vertical="center" shrinkToFit="1"/>
      <protection hidden="1"/>
    </xf>
    <xf numFmtId="9" fontId="28" fillId="13" borderId="48" xfId="5" applyFont="1" applyFill="1" applyBorder="1" applyAlignment="1" applyProtection="1">
      <alignment horizontal="center" vertical="center" shrinkToFit="1"/>
      <protection hidden="1"/>
    </xf>
    <xf numFmtId="0" fontId="28" fillId="13" borderId="49" xfId="0" applyFont="1" applyFill="1" applyBorder="1" applyAlignment="1" applyProtection="1">
      <alignment horizontal="center" vertical="center" shrinkToFit="1"/>
    </xf>
    <xf numFmtId="9" fontId="28" fillId="13" borderId="50" xfId="5" applyFont="1" applyFill="1" applyBorder="1" applyAlignment="1" applyProtection="1">
      <alignment horizontal="center" vertical="center" shrinkToFit="1"/>
      <protection hidden="1"/>
    </xf>
    <xf numFmtId="9" fontId="28" fillId="13" borderId="0" xfId="5" applyFont="1" applyFill="1" applyBorder="1" applyAlignment="1" applyProtection="1">
      <alignment horizontal="center" vertical="center" shrinkToFit="1"/>
      <protection hidden="1"/>
    </xf>
    <xf numFmtId="0" fontId="28" fillId="13" borderId="51" xfId="0" applyFont="1" applyFill="1" applyBorder="1" applyAlignment="1" applyProtection="1">
      <alignment horizontal="center" vertical="center" shrinkToFit="1"/>
    </xf>
    <xf numFmtId="9" fontId="28" fillId="13" borderId="52" xfId="5" applyFont="1" applyFill="1" applyBorder="1" applyAlignment="1" applyProtection="1">
      <alignment horizontal="center" vertical="center" shrinkToFit="1"/>
      <protection hidden="1"/>
    </xf>
    <xf numFmtId="9" fontId="28" fillId="13" borderId="53" xfId="5" applyFont="1" applyFill="1" applyBorder="1" applyAlignment="1" applyProtection="1">
      <alignment horizontal="center" vertical="center" shrinkToFit="1"/>
      <protection hidden="1"/>
    </xf>
    <xf numFmtId="0" fontId="28" fillId="13" borderId="54" xfId="0" applyFont="1" applyFill="1" applyBorder="1" applyAlignment="1" applyProtection="1">
      <alignment horizontal="center" vertical="center" shrinkToFit="1"/>
    </xf>
    <xf numFmtId="164" fontId="29" fillId="13" borderId="55" xfId="5" applyNumberFormat="1" applyFont="1" applyFill="1" applyBorder="1" applyAlignment="1" applyProtection="1">
      <alignment horizontal="center" vertical="center" shrinkToFit="1"/>
      <protection hidden="1"/>
    </xf>
    <xf numFmtId="4" fontId="24" fillId="13" borderId="56" xfId="5" applyNumberFormat="1" applyFont="1" applyFill="1" applyBorder="1" applyAlignment="1" applyProtection="1">
      <alignment horizontal="center" vertical="center" shrinkToFit="1"/>
      <protection hidden="1"/>
    </xf>
    <xf numFmtId="4" fontId="24" fillId="13" borderId="57" xfId="5" applyNumberFormat="1" applyFont="1" applyFill="1" applyBorder="1" applyAlignment="1" applyProtection="1">
      <alignment horizontal="center" vertical="center" shrinkToFit="1"/>
      <protection hidden="1"/>
    </xf>
    <xf numFmtId="4" fontId="24" fillId="13" borderId="58" xfId="5" applyNumberFormat="1" applyFont="1" applyFill="1" applyBorder="1" applyAlignment="1" applyProtection="1">
      <alignment horizontal="center" vertical="center" shrinkToFit="1"/>
      <protection hidden="1"/>
    </xf>
    <xf numFmtId="9" fontId="24" fillId="13" borderId="59" xfId="5" applyFont="1" applyFill="1" applyBorder="1" applyAlignment="1" applyProtection="1">
      <alignment horizontal="center" vertical="center" shrinkToFit="1"/>
      <protection hidden="1"/>
    </xf>
    <xf numFmtId="9" fontId="24" fillId="13" borderId="60" xfId="5" applyFont="1" applyFill="1" applyBorder="1" applyAlignment="1" applyProtection="1">
      <alignment horizontal="center" vertical="center" shrinkToFit="1"/>
      <protection hidden="1"/>
    </xf>
    <xf numFmtId="9" fontId="24" fillId="13" borderId="61" xfId="5" applyFont="1" applyFill="1" applyBorder="1" applyAlignment="1" applyProtection="1">
      <alignment horizontal="center" vertical="center" shrinkToFit="1"/>
      <protection hidden="1"/>
    </xf>
    <xf numFmtId="164" fontId="24" fillId="13" borderId="59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0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1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2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48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3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4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53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5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6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0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7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8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69" xfId="5" applyNumberFormat="1" applyFont="1" applyFill="1" applyBorder="1" applyAlignment="1" applyProtection="1">
      <alignment horizontal="center" vertical="center" shrinkToFit="1"/>
      <protection hidden="1"/>
    </xf>
    <xf numFmtId="164" fontId="24" fillId="13" borderId="70" xfId="5" applyNumberFormat="1" applyFont="1" applyFill="1" applyBorder="1" applyAlignment="1" applyProtection="1">
      <alignment horizontal="center" vertical="center" shrinkToFit="1"/>
      <protection hidden="1"/>
    </xf>
    <xf numFmtId="164" fontId="25" fillId="8" borderId="71" xfId="5" applyNumberFormat="1" applyFont="1" applyFill="1" applyBorder="1" applyAlignment="1" applyProtection="1">
      <alignment horizontal="center" vertical="center" shrinkToFit="1"/>
      <protection hidden="1"/>
    </xf>
    <xf numFmtId="164" fontId="25" fillId="8" borderId="72" xfId="5" applyNumberFormat="1" applyFont="1" applyFill="1" applyBorder="1" applyAlignment="1" applyProtection="1">
      <alignment horizontal="center" vertical="center" shrinkToFit="1"/>
      <protection hidden="1"/>
    </xf>
    <xf numFmtId="164" fontId="25" fillId="8" borderId="40" xfId="5" applyNumberFormat="1" applyFont="1" applyFill="1" applyBorder="1" applyAlignment="1" applyProtection="1">
      <alignment horizontal="center" vertical="center" shrinkToFit="1"/>
      <protection hidden="1"/>
    </xf>
    <xf numFmtId="164" fontId="39" fillId="8" borderId="73" xfId="5" applyNumberFormat="1" applyFont="1" applyFill="1" applyBorder="1" applyAlignment="1" applyProtection="1">
      <alignment horizontal="center" vertical="center" shrinkToFit="1"/>
      <protection hidden="1"/>
    </xf>
    <xf numFmtId="165" fontId="0" fillId="8" borderId="74" xfId="0" applyNumberFormat="1" applyFont="1" applyFill="1" applyBorder="1" applyAlignment="1" applyProtection="1">
      <alignment horizontal="center" vertical="center" shrinkToFit="1"/>
      <protection hidden="1"/>
    </xf>
    <xf numFmtId="165" fontId="0" fillId="8" borderId="75" xfId="0" applyNumberFormat="1" applyFont="1" applyFill="1" applyBorder="1" applyAlignment="1" applyProtection="1">
      <alignment horizontal="center" vertical="center" shrinkToFit="1"/>
      <protection hidden="1"/>
    </xf>
    <xf numFmtId="4" fontId="25" fillId="8" borderId="76" xfId="5" applyNumberFormat="1" applyFont="1" applyFill="1" applyBorder="1" applyAlignment="1" applyProtection="1">
      <alignment horizontal="center" vertical="center" shrinkToFit="1"/>
      <protection hidden="1"/>
    </xf>
    <xf numFmtId="164" fontId="25" fillId="8" borderId="77" xfId="5" applyNumberFormat="1" applyFont="1" applyFill="1" applyBorder="1" applyAlignment="1" applyProtection="1">
      <alignment horizontal="center" vertical="center" shrinkToFit="1"/>
      <protection hidden="1"/>
    </xf>
    <xf numFmtId="4" fontId="25" fillId="8" borderId="77" xfId="5" applyNumberFormat="1" applyFont="1" applyFill="1" applyBorder="1" applyAlignment="1" applyProtection="1">
      <alignment horizontal="center" vertical="center" shrinkToFit="1"/>
      <protection hidden="1"/>
    </xf>
    <xf numFmtId="164" fontId="25" fillId="8" borderId="78" xfId="5" applyNumberFormat="1" applyFont="1" applyFill="1" applyBorder="1" applyAlignment="1" applyProtection="1">
      <alignment horizontal="center" vertical="center" shrinkToFit="1"/>
      <protection hidden="1"/>
    </xf>
    <xf numFmtId="164" fontId="34" fillId="16" borderId="79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80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81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66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0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67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68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69" xfId="5" applyNumberFormat="1" applyFont="1" applyFill="1" applyBorder="1" applyAlignment="1" applyProtection="1">
      <alignment horizontal="right" vertical="center" shrinkToFit="1"/>
      <protection hidden="1"/>
    </xf>
    <xf numFmtId="164" fontId="34" fillId="16" borderId="70" xfId="5" applyNumberFormat="1" applyFont="1" applyFill="1" applyBorder="1" applyAlignment="1" applyProtection="1">
      <alignment horizontal="right" vertical="center" shrinkToFit="1"/>
      <protection hidden="1"/>
    </xf>
    <xf numFmtId="4" fontId="34" fillId="0" borderId="17" xfId="5" applyNumberFormat="1" applyFont="1" applyFill="1" applyBorder="1" applyAlignment="1" applyProtection="1">
      <alignment horizontal="center" vertical="center" shrinkToFit="1"/>
      <protection locked="0"/>
    </xf>
    <xf numFmtId="164" fontId="28" fillId="2" borderId="83" xfId="5" applyNumberFormat="1" applyFont="1" applyFill="1" applyBorder="1" applyAlignment="1" applyProtection="1">
      <alignment horizontal="centerContinuous" vertical="center" shrinkToFit="1"/>
      <protection hidden="1"/>
    </xf>
    <xf numFmtId="164" fontId="29" fillId="2" borderId="83" xfId="5" applyNumberFormat="1" applyFont="1" applyFill="1" applyBorder="1" applyAlignment="1" applyProtection="1">
      <alignment horizontal="centerContinuous" vertical="center" shrinkToFit="1"/>
      <protection hidden="1"/>
    </xf>
    <xf numFmtId="4" fontId="28" fillId="2" borderId="83" xfId="0" applyNumberFormat="1" applyFont="1" applyFill="1" applyBorder="1" applyAlignment="1" applyProtection="1">
      <alignment horizontal="centerContinuous" vertical="center" shrinkToFit="1"/>
      <protection hidden="1"/>
    </xf>
    <xf numFmtId="4" fontId="29" fillId="2" borderId="83" xfId="0" applyNumberFormat="1" applyFont="1" applyFill="1" applyBorder="1" applyAlignment="1" applyProtection="1">
      <alignment horizontal="centerContinuous" vertical="center" shrinkToFit="1"/>
      <protection hidden="1"/>
    </xf>
    <xf numFmtId="9" fontId="28" fillId="2" borderId="82" xfId="5" applyFont="1" applyFill="1" applyBorder="1" applyAlignment="1" applyProtection="1">
      <alignment horizontal="centerContinuous" vertical="center" shrinkToFit="1"/>
      <protection hidden="1"/>
    </xf>
    <xf numFmtId="9" fontId="29" fillId="2" borderId="82" xfId="5" applyFont="1" applyFill="1" applyBorder="1" applyAlignment="1" applyProtection="1">
      <alignment horizontal="centerContinuous" vertical="center" shrinkToFit="1"/>
      <protection hidden="1"/>
    </xf>
  </cellXfs>
  <cellStyles count="7">
    <cellStyle name="Hy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  <cellStyle name="Normal 3 2" xfId="6" xr:uid="{ACCA9B8F-3F66-49EE-AA61-49072CC02CCE}"/>
    <cellStyle name="Percent" xfId="5" builtinId="5"/>
  </cellStyles>
  <dxfs count="6">
    <dxf>
      <fill>
        <patternFill>
          <bgColor rgb="FFFED9B7"/>
        </patternFill>
      </fill>
    </dxf>
    <dxf>
      <numFmt numFmtId="165" formatCode=";;;"/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rgb="FFFED9B7"/>
        </patternFill>
      </fill>
    </dxf>
    <dxf>
      <fill>
        <patternFill>
          <bgColor rgb="FFFED9B7"/>
        </patternFill>
      </fill>
    </dxf>
    <dxf>
      <fill>
        <patternFill>
          <bgColor rgb="FFFED9B7"/>
        </patternFill>
      </fill>
    </dxf>
  </dxfs>
  <tableStyles count="1" defaultTableStyle="TableStyleMedium2" defaultPivotStyle="PivotStyleLight16">
    <tableStyle name="Invisible" pivot="0" table="0" count="0" xr9:uid="{CEF44612-54B7-48D6-981B-D0C6352F86E4}"/>
  </tableStyles>
  <colors>
    <mruColors>
      <color rgb="FF5B9BD5"/>
      <color rgb="FF3D405B"/>
      <color rgb="FFE07A5F"/>
      <color rgb="FFFED9B7"/>
      <color rgb="FFCACCDC"/>
      <color rgb="FF81B29A"/>
      <color rgb="FFCDE1D7"/>
      <color rgb="FF0081A7"/>
      <color rgb="FF00AFB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GB"/>
              <a:t>Net Sales Revenue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9.5632482032419239E-2"/>
          <c:y val="0.24352904034120565"/>
          <c:w val="0.87944747793854006"/>
          <c:h val="0.626734065902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67D-42AC-8EDF-34CB13415281}"/>
              </c:ext>
            </c:extLst>
          </c:dPt>
          <c:dPt>
            <c:idx val="1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7D-42AC-8EDF-34CB13415281}"/>
              </c:ext>
            </c:extLst>
          </c:dPt>
          <c:dPt>
            <c:idx val="2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67D-42AC-8EDF-34CB13415281}"/>
              </c:ext>
            </c:extLst>
          </c:dPt>
          <c:dPt>
            <c:idx val="3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67D-42AC-8EDF-34CB13415281}"/>
              </c:ext>
            </c:extLst>
          </c:dPt>
          <c:dPt>
            <c:idx val="4"/>
            <c:invertIfNegative val="0"/>
            <c:bubble3D val="0"/>
            <c:spPr>
              <a:solidFill>
                <a:srgbClr val="33CC3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7D-42AC-8EDF-34CB1341528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67D-42AC-8EDF-34CB1341528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67D-42AC-8EDF-34CB1341528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667D-42AC-8EDF-34CB1341528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67D-42AC-8EDF-34CB1341528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67D-42AC-8EDF-34CB1341528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67D-42AC-8EDF-34CB1341528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667D-42AC-8EDF-34CB1341528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67D-42AC-8EDF-34CB1341528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67D-42AC-8EDF-34CB1341528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67D-42AC-8EDF-34CB13415281}"/>
              </c:ext>
            </c:extLst>
          </c:dPt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Ref>
              <c:f>(CashFlow!$D$7:$H$7,CashFlow!$M$7:$V$7)</c:f>
              <c:numCache>
                <c:formatCode>#,##0.00</c:formatCode>
                <c:ptCount val="15"/>
                <c:pt idx="0">
                  <c:v>24846</c:v>
                </c:pt>
                <c:pt idx="1">
                  <c:v>28741</c:v>
                </c:pt>
                <c:pt idx="2">
                  <c:v>21453</c:v>
                </c:pt>
                <c:pt idx="3">
                  <c:v>22000</c:v>
                </c:pt>
                <c:pt idx="4">
                  <c:v>26415</c:v>
                </c:pt>
                <c:pt idx="5">
                  <c:v>27207.45</c:v>
                </c:pt>
                <c:pt idx="6">
                  <c:v>28023.673500000001</c:v>
                </c:pt>
                <c:pt idx="7">
                  <c:v>28864.383705</c:v>
                </c:pt>
                <c:pt idx="8">
                  <c:v>29730.31521615</c:v>
                </c:pt>
                <c:pt idx="9">
                  <c:v>30622.2246726345</c:v>
                </c:pt>
                <c:pt idx="10">
                  <c:v>31540.891412813537</c:v>
                </c:pt>
                <c:pt idx="11">
                  <c:v>32487.118155197943</c:v>
                </c:pt>
                <c:pt idx="12">
                  <c:v>33461.731699853881</c:v>
                </c:pt>
                <c:pt idx="13">
                  <c:v>34465.583650849498</c:v>
                </c:pt>
                <c:pt idx="14">
                  <c:v>35499.551160374984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7D-42AC-8EDF-34CB13415281}"/>
            </c:ext>
          </c:extLst>
        </c:ser>
        <c:ser>
          <c:idx val="1"/>
          <c:order val="1"/>
          <c:tx>
            <c:strRef>
              <c:f>Calc!$Q$6</c:f>
              <c:strCache>
                <c:ptCount val="1"/>
                <c:pt idx="0">
                  <c:v>Actuals</c:v>
                </c:pt>
              </c:strCache>
            </c:strRef>
          </c:tx>
          <c:spPr>
            <a:solidFill>
              <a:srgbClr val="339966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667D-42AC-8EDF-34CB13415281}"/>
            </c:ext>
          </c:extLst>
        </c:ser>
        <c:ser>
          <c:idx val="2"/>
          <c:order val="2"/>
          <c:tx>
            <c:strRef>
              <c:f>Calc!$Q$7</c:f>
              <c:strCache>
                <c:ptCount val="1"/>
                <c:pt idx="0">
                  <c:v>Forecast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667D-42AC-8EDF-34CB13415281}"/>
            </c:ext>
          </c:extLst>
        </c:ser>
        <c:ser>
          <c:idx val="3"/>
          <c:order val="3"/>
          <c:tx>
            <c:strRef>
              <c:f>Calc!$Q$8</c:f>
              <c:strCache>
                <c:ptCount val="1"/>
                <c:pt idx="0">
                  <c:v>Projected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667D-42AC-8EDF-34CB13415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83"/>
        <c:axId val="708572032"/>
        <c:axId val="708569312"/>
      </c:barChart>
      <c:catAx>
        <c:axId val="708572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708569312"/>
        <c:crosses val="autoZero"/>
        <c:auto val="1"/>
        <c:lblAlgn val="ctr"/>
        <c:lblOffset val="100"/>
        <c:noMultiLvlLbl val="0"/>
      </c:catAx>
      <c:valAx>
        <c:axId val="708569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708572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30803738184386892"/>
          <c:y val="0.14746243628570596"/>
          <c:w val="0.38855559316679078"/>
          <c:h val="7.93915276719442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GB"/>
              <a:t>EBITDA</a:t>
            </a:r>
            <a:endParaRPr lang="ru-RU"/>
          </a:p>
        </c:rich>
      </c:tx>
      <c:layout>
        <c:manualLayout>
          <c:xMode val="edge"/>
          <c:yMode val="edge"/>
          <c:x val="0.43909246379383515"/>
          <c:y val="3.5387000034232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9.5713462164359095E-2"/>
          <c:y val="0.27186172241147477"/>
          <c:w val="0.87934539589554861"/>
          <c:h val="0.6116310580832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6DF-4148-8811-D920F83536D8}"/>
              </c:ext>
            </c:extLst>
          </c:dPt>
          <c:dPt>
            <c:idx val="1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6DF-4148-8811-D920F83536D8}"/>
              </c:ext>
            </c:extLst>
          </c:dPt>
          <c:dPt>
            <c:idx val="2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6DF-4148-8811-D920F83536D8}"/>
              </c:ext>
            </c:extLst>
          </c:dPt>
          <c:dPt>
            <c:idx val="3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6DF-4148-8811-D920F83536D8}"/>
              </c:ext>
            </c:extLst>
          </c:dPt>
          <c:dPt>
            <c:idx val="4"/>
            <c:invertIfNegative val="0"/>
            <c:bubble3D val="0"/>
            <c:spPr>
              <a:solidFill>
                <a:srgbClr val="33CC3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6DF-4148-8811-D920F83536D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6DF-4148-8811-D920F83536D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6DF-4148-8811-D920F83536D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6DF-4148-8811-D920F83536D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6DF-4148-8811-D920F83536D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6DF-4148-8811-D920F83536D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96DF-4148-8811-D920F83536D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96DF-4148-8811-D920F83536D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96DF-4148-8811-D920F83536D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96DF-4148-8811-D920F83536D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96DF-4148-8811-D920F83536D8}"/>
              </c:ext>
            </c:extLst>
          </c:dPt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Ref>
              <c:f>(CashFlow!$D$13:$H$13,CashFlow!$M$13:$V$13)</c:f>
              <c:numCache>
                <c:formatCode>#,##0.00</c:formatCode>
                <c:ptCount val="15"/>
                <c:pt idx="0">
                  <c:v>6780</c:v>
                </c:pt>
                <c:pt idx="1">
                  <c:v>10067</c:v>
                </c:pt>
                <c:pt idx="2">
                  <c:v>7300</c:v>
                </c:pt>
                <c:pt idx="3">
                  <c:v>5341</c:v>
                </c:pt>
                <c:pt idx="4">
                  <c:v>6459</c:v>
                </c:pt>
                <c:pt idx="5">
                  <c:v>9014.5197132558424</c:v>
                </c:pt>
                <c:pt idx="6">
                  <c:v>9242.0241046535157</c:v>
                </c:pt>
                <c:pt idx="7">
                  <c:v>9474.6363797931226</c:v>
                </c:pt>
                <c:pt idx="8">
                  <c:v>9712.4410852669171</c:v>
                </c:pt>
                <c:pt idx="9">
                  <c:v>9955.5225564681223</c:v>
                </c:pt>
                <c:pt idx="10">
                  <c:v>10203.964801351096</c:v>
                </c:pt>
                <c:pt idx="11">
                  <c:v>10457.851376308114</c:v>
                </c:pt>
                <c:pt idx="12">
                  <c:v>10717.265253750502</c:v>
                </c:pt>
                <c:pt idx="13">
                  <c:v>10982.288680962287</c:v>
                </c:pt>
                <c:pt idx="14">
                  <c:v>11253.003029774394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6DF-4148-8811-D920F83536D8}"/>
            </c:ext>
          </c:extLst>
        </c:ser>
        <c:ser>
          <c:idx val="1"/>
          <c:order val="1"/>
          <c:tx>
            <c:strRef>
              <c:f>Calc!$Q$6</c:f>
              <c:strCache>
                <c:ptCount val="1"/>
                <c:pt idx="0">
                  <c:v>Actuals</c:v>
                </c:pt>
              </c:strCache>
            </c:strRef>
          </c:tx>
          <c:spPr>
            <a:solidFill>
              <a:srgbClr val="339966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96DF-4148-8811-D920F83536D8}"/>
            </c:ext>
          </c:extLst>
        </c:ser>
        <c:ser>
          <c:idx val="2"/>
          <c:order val="2"/>
          <c:tx>
            <c:strRef>
              <c:f>Calc!$Q$7</c:f>
              <c:strCache>
                <c:ptCount val="1"/>
                <c:pt idx="0">
                  <c:v>Forecast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6DF-4148-8811-D920F83536D8}"/>
            </c:ext>
          </c:extLst>
        </c:ser>
        <c:ser>
          <c:idx val="3"/>
          <c:order val="3"/>
          <c:tx>
            <c:strRef>
              <c:f>Calc!$Q$8</c:f>
              <c:strCache>
                <c:ptCount val="1"/>
                <c:pt idx="0">
                  <c:v>Projected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96DF-4148-8811-D920F8353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83"/>
        <c:axId val="708569856"/>
        <c:axId val="708572576"/>
      </c:barChart>
      <c:catAx>
        <c:axId val="7085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708572576"/>
        <c:crosses val="autoZero"/>
        <c:auto val="1"/>
        <c:lblAlgn val="ctr"/>
        <c:lblOffset val="100"/>
        <c:noMultiLvlLbl val="0"/>
      </c:catAx>
      <c:valAx>
        <c:axId val="708572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70856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3078747415503178"/>
          <c:y val="0.1474376070267675"/>
          <c:w val="0.38855559316679078"/>
          <c:h val="7.93915276719442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GB"/>
              <a:t>Free Cash Flow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021193095336931"/>
          <c:y val="0.22709823216658928"/>
          <c:w val="0.87758166012352767"/>
          <c:h val="0.634667403496171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1FB-4E9A-808D-17904146E765}"/>
              </c:ext>
            </c:extLst>
          </c:dPt>
          <c:dPt>
            <c:idx val="1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1FB-4E9A-808D-17904146E765}"/>
              </c:ext>
            </c:extLst>
          </c:dPt>
          <c:dPt>
            <c:idx val="2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1FB-4E9A-808D-17904146E765}"/>
              </c:ext>
            </c:extLst>
          </c:dPt>
          <c:dPt>
            <c:idx val="3"/>
            <c:invertIfNegative val="0"/>
            <c:bubble3D val="0"/>
            <c:spPr>
              <a:solidFill>
                <a:srgbClr val="33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1FB-4E9A-808D-17904146E765}"/>
              </c:ext>
            </c:extLst>
          </c:dPt>
          <c:dPt>
            <c:idx val="4"/>
            <c:invertIfNegative val="0"/>
            <c:bubble3D val="0"/>
            <c:spPr>
              <a:solidFill>
                <a:srgbClr val="33CC3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1FB-4E9A-808D-17904146E76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1FB-4E9A-808D-17904146E76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1FB-4E9A-808D-17904146E76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1FB-4E9A-808D-17904146E76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1FB-4E9A-808D-17904146E76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1FB-4E9A-808D-17904146E76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1FB-4E9A-808D-17904146E76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1FB-4E9A-808D-17904146E76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1FB-4E9A-808D-17904146E76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C1FB-4E9A-808D-17904146E765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C1FB-4E9A-808D-17904146E765}"/>
              </c:ext>
            </c:extLst>
          </c:dPt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Ref>
              <c:f>(CashFlow!$D$19:$H$19,CashFlow!$M$19:$V$19)</c:f>
              <c:numCache>
                <c:formatCode>#,##0.00</c:formatCode>
                <c:ptCount val="15"/>
                <c:pt idx="0">
                  <c:v>257</c:v>
                </c:pt>
                <c:pt idx="1">
                  <c:v>3887.8500000000004</c:v>
                </c:pt>
                <c:pt idx="2">
                  <c:v>1152.8800000000001</c:v>
                </c:pt>
                <c:pt idx="3">
                  <c:v>227.69999999999982</c:v>
                </c:pt>
                <c:pt idx="4">
                  <c:v>1204.42</c:v>
                </c:pt>
                <c:pt idx="5">
                  <c:v>2992.7647250440996</c:v>
                </c:pt>
                <c:pt idx="6">
                  <c:v>3348.8798801170915</c:v>
                </c:pt>
                <c:pt idx="7">
                  <c:v>3702.2858256879863</c:v>
                </c:pt>
                <c:pt idx="8">
                  <c:v>4053.2862015468672</c:v>
                </c:pt>
                <c:pt idx="9">
                  <c:v>4402.1785975855819</c:v>
                </c:pt>
                <c:pt idx="10">
                  <c:v>4749.2544012202216</c:v>
                </c:pt>
                <c:pt idx="11">
                  <c:v>5094.798663481014</c:v>
                </c:pt>
                <c:pt idx="12">
                  <c:v>5439.0899807781798</c:v>
                </c:pt>
                <c:pt idx="13">
                  <c:v>5782.4003895627375</c:v>
                </c:pt>
                <c:pt idx="14">
                  <c:v>6124.9952712937193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1FB-4E9A-808D-17904146E765}"/>
            </c:ext>
          </c:extLst>
        </c:ser>
        <c:ser>
          <c:idx val="1"/>
          <c:order val="1"/>
          <c:tx>
            <c:strRef>
              <c:f>Calc!$Q$6</c:f>
              <c:strCache>
                <c:ptCount val="1"/>
                <c:pt idx="0">
                  <c:v>Actuals</c:v>
                </c:pt>
              </c:strCache>
            </c:strRef>
          </c:tx>
          <c:spPr>
            <a:solidFill>
              <a:srgbClr val="339966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C1FB-4E9A-808D-17904146E765}"/>
            </c:ext>
          </c:extLst>
        </c:ser>
        <c:ser>
          <c:idx val="2"/>
          <c:order val="2"/>
          <c:tx>
            <c:strRef>
              <c:f>Calc!$Q$7</c:f>
              <c:strCache>
                <c:ptCount val="1"/>
                <c:pt idx="0">
                  <c:v>Forecast</c:v>
                </c:pt>
              </c:strCache>
            </c:strRef>
          </c:tx>
          <c:spPr>
            <a:solidFill>
              <a:srgbClr val="33CC33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C1FB-4E9A-808D-17904146E765}"/>
            </c:ext>
          </c:extLst>
        </c:ser>
        <c:ser>
          <c:idx val="3"/>
          <c:order val="3"/>
          <c:tx>
            <c:strRef>
              <c:f>Calc!$Q$8</c:f>
              <c:strCache>
                <c:ptCount val="1"/>
                <c:pt idx="0">
                  <c:v>Projected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C1FB-4E9A-808D-17904146E765}"/>
            </c:ext>
          </c:extLst>
        </c:ser>
        <c:ser>
          <c:idx val="4"/>
          <c:order val="4"/>
          <c:tx>
            <c:v>Discounted Cash Flow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1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</c:numCache>
            </c:numRef>
          </c:cat>
          <c:val>
            <c:numRef>
              <c:f>(CashFlow!$D$20:$H$20,CashFlow!$M$20:$V$20)</c:f>
              <c:numCache>
                <c:formatCode>;;;</c:formatCode>
                <c:ptCount val="15"/>
                <c:pt idx="5" formatCode="#,##0.00">
                  <c:v>2690.342823310883</c:v>
                </c:pt>
                <c:pt idx="6" formatCode="#,##0.00">
                  <c:v>2706.2609237116767</c:v>
                </c:pt>
                <c:pt idx="7" formatCode="#,##0.00">
                  <c:v>2689.5219250932264</c:v>
                </c:pt>
                <c:pt idx="8" formatCode="#,##0.00">
                  <c:v>2646.9605164780205</c:v>
                </c:pt>
                <c:pt idx="9" formatCode="#,##0.00">
                  <c:v>2584.2998309492532</c:v>
                </c:pt>
                <c:pt idx="10" formatCode="#,##0.00">
                  <c:v>2506.3154035893017</c:v>
                </c:pt>
                <c:pt idx="11" formatCode="#,##0.00">
                  <c:v>2416.9761437853449</c:v>
                </c:pt>
                <c:pt idx="12" formatCode="#,##0.00">
                  <c:v>2319.5654399115506</c:v>
                </c:pt>
                <c:pt idx="13" formatCode="#,##0.00">
                  <c:v>2216.7851026406088</c:v>
                </c:pt>
                <c:pt idx="14" formatCode="#,##0.00">
                  <c:v>2110.84449428369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C1FB-4E9A-808D-17904146E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88"/>
        <c:axId val="708570400"/>
        <c:axId val="404650608"/>
      </c:barChart>
      <c:catAx>
        <c:axId val="70857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404650608"/>
        <c:crosses val="autoZero"/>
        <c:auto val="1"/>
        <c:lblAlgn val="ctr"/>
        <c:lblOffset val="100"/>
        <c:noMultiLvlLbl val="0"/>
      </c:catAx>
      <c:valAx>
        <c:axId val="40465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708570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16325616630009143"/>
          <c:y val="0.14241406686090724"/>
          <c:w val="0.6811694987926793"/>
          <c:h val="7.93915276719442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GB" b="0"/>
              <a:t>Enterprise Value Composition</a:t>
            </a:r>
            <a:endParaRPr lang="ru-RU" b="0"/>
          </a:p>
        </c:rich>
      </c:tx>
      <c:layout>
        <c:manualLayout>
          <c:xMode val="edge"/>
          <c:yMode val="edge"/>
          <c:x val="0.28558319229120116"/>
          <c:y val="3.2364556580965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1101468456640035"/>
          <c:y val="0.17593532183828628"/>
          <c:w val="0.40941344642085364"/>
          <c:h val="0.79132893410396155"/>
        </c:manualLayout>
      </c:layout>
      <c:pie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rgbClr val="3D405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AE-412D-8753-8E1B78A61D1E}"/>
              </c:ext>
            </c:extLst>
          </c:dPt>
          <c:dPt>
            <c:idx val="1"/>
            <c:bubble3D val="0"/>
            <c:spPr>
              <a:solidFill>
                <a:srgbClr val="5B9BD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AE-412D-8753-8E1B78A61D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CashFlow!$C$23:$C$24</c:f>
              <c:strCache>
                <c:ptCount val="2"/>
                <c:pt idx="0">
                  <c:v>Present Value of Free Cash Flow</c:v>
                </c:pt>
                <c:pt idx="1">
                  <c:v>Terminal Value</c:v>
                </c:pt>
              </c:strCache>
            </c:strRef>
          </c:cat>
          <c:val>
            <c:numRef>
              <c:f>CashFlow!$I$23:$I$24</c:f>
              <c:numCache>
                <c:formatCode>0.0%</c:formatCode>
                <c:ptCount val="2"/>
                <c:pt idx="0">
                  <c:v>0.56996091762117984</c:v>
                </c:pt>
                <c:pt idx="1">
                  <c:v>0.43003908237882005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AE-412D-8753-8E1B78A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989608986382523"/>
          <c:y val="0.33240376234837932"/>
          <c:w val="0.39455036843982683"/>
          <c:h val="0.293379262464506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image" Target="../media/image2.png"/><Relationship Id="rId12" Type="http://schemas.openxmlformats.org/officeDocument/2006/relationships/image" Target="../media/image4.png"/><Relationship Id="rId2" Type="http://schemas.openxmlformats.org/officeDocument/2006/relationships/hyperlink" Target="#Charts!A5"/><Relationship Id="rId1" Type="http://schemas.openxmlformats.org/officeDocument/2006/relationships/hyperlink" Target="#CashFlow!A7"/><Relationship Id="rId10" Type="http://schemas.microsoft.com/office/2007/relationships/hdphoto" Target="../media/hdphoto1.wdp"/><Relationship Id="rId4" Type="http://schemas.openxmlformats.org/officeDocument/2006/relationships/hyperlink" Target="#WACC!A5"/><Relationship Id="rId9" Type="http://schemas.openxmlformats.org/officeDocument/2006/relationships/image" Target="../media/image3.png"/><Relationship Id="rId13" Type="http://schemas.openxmlformats.org/officeDocument/2006/relationships/image" Target="../media/image6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hyperlink" Target="#WACC!A5"/><Relationship Id="rId2" Type="http://schemas.openxmlformats.org/officeDocument/2006/relationships/image" Target="../media/image1.png"/><Relationship Id="rId6" Type="http://schemas.openxmlformats.org/officeDocument/2006/relationships/hyperlink" Target="#Charts!A5"/><Relationship Id="rId5" Type="http://schemas.openxmlformats.org/officeDocument/2006/relationships/hyperlink" Target="#CashFlow!A7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png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11" Type="http://schemas.openxmlformats.org/officeDocument/2006/relationships/hyperlink" Target="#WACC!A5"/><Relationship Id="rId5" Type="http://schemas.openxmlformats.org/officeDocument/2006/relationships/image" Target="../media/image1.png"/><Relationship Id="rId10" Type="http://schemas.openxmlformats.org/officeDocument/2006/relationships/hyperlink" Target="#Charts!A5"/><Relationship Id="rId4" Type="http://schemas.openxmlformats.org/officeDocument/2006/relationships/chart" Target="../charts/chart4.xml"/><Relationship Id="rId9" Type="http://schemas.openxmlformats.org/officeDocument/2006/relationships/hyperlink" Target="#CashFlow!A7"/><Relationship Id="rId14" Type="http://schemas.openxmlformats.org/officeDocument/2006/relationships/image" Target="../media/image8.png"/><Relationship Id="rId15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WACC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451915</xdr:colOff>
      <xdr:row>1</xdr:row>
      <xdr:rowOff>118110</xdr:rowOff>
    </xdr:from>
    <xdr:to>
      <xdr:col>6</xdr:col>
      <xdr:colOff>417625</xdr:colOff>
      <xdr:row>2</xdr:row>
      <xdr:rowOff>186690</xdr:rowOff>
    </xdr:to>
    <xdr:sp macro="" textlink="">
      <xdr:nvSpPr>
        <xdr:cNvPr id="2" name="button1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38190" y="203835"/>
          <a:ext cx="946785" cy="31623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CASH</a:t>
          </a:r>
          <a:r>
            <a:rPr lang="en-US" sz="1100" b="1" baseline="0">
              <a:solidFill>
                <a:schemeClr val="bg1"/>
              </a:solidFill>
            </a:rPr>
            <a:t> FLOW</a:t>
          </a:r>
        </a:p>
      </xdr:txBody>
    </xdr:sp>
    <xdr:clientData/>
  </xdr:twoCellAnchor>
  <xdr:twoCellAnchor editAs="oneCell">
    <xdr:from>
      <xdr:col>6</xdr:col>
      <xdr:colOff>603885</xdr:colOff>
      <xdr:row>1</xdr:row>
      <xdr:rowOff>118110</xdr:rowOff>
    </xdr:from>
    <xdr:to>
      <xdr:col>7</xdr:col>
      <xdr:colOff>569595</xdr:colOff>
      <xdr:row>2</xdr:row>
      <xdr:rowOff>186690</xdr:rowOff>
    </xdr:to>
    <xdr:sp macro="" textlink="">
      <xdr:nvSpPr>
        <xdr:cNvPr id="9" name="button2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071235" y="203835"/>
          <a:ext cx="946785" cy="31623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 baseline="0">
              <a:solidFill>
                <a:schemeClr val="bg1"/>
              </a:solidFill>
            </a:rPr>
            <a:t>CHARTS</a:t>
          </a:r>
        </a:p>
      </xdr:txBody>
    </xdr:sp>
    <xdr:clientData/>
  </xdr:twoCellAnchor>
  <xdr:twoCellAnchor editAs="oneCell">
    <xdr:from>
      <xdr:col>2</xdr:col>
      <xdr:colOff>9525</xdr:colOff>
      <xdr:row>1</xdr:row>
      <xdr:rowOff>53340</xdr:rowOff>
    </xdr:from>
    <xdr:to>
      <xdr:col>2</xdr:col>
      <xdr:colOff>422012</xdr:colOff>
      <xdr:row>2</xdr:row>
      <xdr:rowOff>228450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9EA33D1B-0B56-4CD0-9C4F-1D8E61517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39065"/>
          <a:ext cx="412487" cy="42276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278130</xdr:colOff>
      <xdr:row>1</xdr:row>
      <xdr:rowOff>119791</xdr:rowOff>
    </xdr:from>
    <xdr:to>
      <xdr:col>5</xdr:col>
      <xdr:colOff>265655</xdr:colOff>
      <xdr:row>2</xdr:row>
      <xdr:rowOff>185009</xdr:rowOff>
    </xdr:to>
    <xdr:sp macro="" textlink="">
      <xdr:nvSpPr>
        <xdr:cNvPr id="17" name="button3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807A753-5C61-4A06-AC35-0C7E906FC3EC}"/>
            </a:ext>
          </a:extLst>
        </xdr:cNvPr>
        <xdr:cNvSpPr/>
      </xdr:nvSpPr>
      <xdr:spPr>
        <a:xfrm>
          <a:off x="3783330" y="205516"/>
          <a:ext cx="968600" cy="312868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WACC</a:t>
          </a:r>
          <a:endParaRPr lang="en-US" sz="1100" b="1" baseline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4</xdr:col>
      <xdr:colOff>3</xdr:colOff>
      <xdr:row>6</xdr:row>
      <xdr:rowOff>171452</xdr:rowOff>
    </xdr:from>
    <xdr:to>
      <xdr:col>4</xdr:col>
      <xdr:colOff>342903</xdr:colOff>
      <xdr:row>7</xdr:row>
      <xdr:rowOff>186422</xdr:rowOff>
    </xdr:to>
    <xdr:sp macro="" textlink="">
      <xdr:nvSpPr>
        <xdr:cNvPr id="11" name="Left Arrow 1">
          <a:extLst>
            <a:ext uri="{FF2B5EF4-FFF2-40B4-BE49-F238E27FC236}">
              <a16:creationId xmlns:a16="http://schemas.microsoft.com/office/drawing/2014/main" id="{6016EE94-53F9-45FA-B5F9-F23BECAD24A6}"/>
            </a:ext>
          </a:extLst>
        </xdr:cNvPr>
        <xdr:cNvSpPr/>
      </xdr:nvSpPr>
      <xdr:spPr>
        <a:xfrm rot="19477448">
          <a:off x="3324228" y="1047752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10</xdr:col>
      <xdr:colOff>773565</xdr:colOff>
      <xdr:row>19</xdr:row>
      <xdr:rowOff>17010</xdr:rowOff>
    </xdr:from>
    <xdr:to>
      <xdr:col>11</xdr:col>
      <xdr:colOff>55110</xdr:colOff>
      <xdr:row>20</xdr:row>
      <xdr:rowOff>236085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F1025C98-CF0C-4027-947E-8595179ADC55}"/>
            </a:ext>
          </a:extLst>
        </xdr:cNvPr>
        <xdr:cNvSpPr/>
      </xdr:nvSpPr>
      <xdr:spPr>
        <a:xfrm rot="7927743">
          <a:off x="9944100" y="42862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646579</xdr:colOff>
      <xdr:row>1</xdr:row>
      <xdr:rowOff>47831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</xdr:row>
      <xdr:rowOff>53340</xdr:rowOff>
    </xdr:from>
    <xdr:to>
      <xdr:col>2</xdr:col>
      <xdr:colOff>422012</xdr:colOff>
      <xdr:row>2</xdr:row>
      <xdr:rowOff>228450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1ED0762D-7D0F-40D1-A742-9499CD3D2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39065"/>
          <a:ext cx="412487" cy="42276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13765</xdr:colOff>
      <xdr:row>1</xdr:row>
      <xdr:rowOff>118110</xdr:rowOff>
    </xdr:from>
    <xdr:to>
      <xdr:col>8</xdr:col>
      <xdr:colOff>312850</xdr:colOff>
      <xdr:row>2</xdr:row>
      <xdr:rowOff>186690</xdr:rowOff>
    </xdr:to>
    <xdr:sp macro="" textlink="">
      <xdr:nvSpPr>
        <xdr:cNvPr id="13" name="button1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245121E8-B199-4D6C-B9D7-F9F82C433B17}"/>
            </a:ext>
          </a:extLst>
        </xdr:cNvPr>
        <xdr:cNvSpPr/>
      </xdr:nvSpPr>
      <xdr:spPr>
        <a:xfrm>
          <a:off x="4938190" y="203835"/>
          <a:ext cx="946785" cy="31623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CASH</a:t>
          </a:r>
          <a:r>
            <a:rPr lang="en-US" sz="1100" b="1" baseline="0">
              <a:solidFill>
                <a:schemeClr val="bg1"/>
              </a:solidFill>
            </a:rPr>
            <a:t> FLOW</a:t>
          </a:r>
        </a:p>
      </xdr:txBody>
    </xdr:sp>
    <xdr:clientData/>
  </xdr:twoCellAnchor>
  <xdr:twoCellAnchor editAs="oneCell">
    <xdr:from>
      <xdr:col>8</xdr:col>
      <xdr:colOff>499110</xdr:colOff>
      <xdr:row>1</xdr:row>
      <xdr:rowOff>118110</xdr:rowOff>
    </xdr:from>
    <xdr:to>
      <xdr:col>10</xdr:col>
      <xdr:colOff>417195</xdr:colOff>
      <xdr:row>2</xdr:row>
      <xdr:rowOff>186690</xdr:rowOff>
    </xdr:to>
    <xdr:sp macro="" textlink="">
      <xdr:nvSpPr>
        <xdr:cNvPr id="14" name="button2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7D2CDD36-D5A5-4079-9FC3-17433F576DD3}"/>
            </a:ext>
          </a:extLst>
        </xdr:cNvPr>
        <xdr:cNvSpPr/>
      </xdr:nvSpPr>
      <xdr:spPr>
        <a:xfrm>
          <a:off x="6071235" y="203835"/>
          <a:ext cx="946785" cy="31623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 baseline="0">
              <a:solidFill>
                <a:schemeClr val="bg1"/>
              </a:solidFill>
            </a:rPr>
            <a:t>CHARTS</a:t>
          </a:r>
        </a:p>
      </xdr:txBody>
    </xdr:sp>
    <xdr:clientData/>
  </xdr:twoCellAnchor>
  <xdr:twoCellAnchor editAs="oneCell">
    <xdr:from>
      <xdr:col>5</xdr:col>
      <xdr:colOff>154305</xdr:colOff>
      <xdr:row>1</xdr:row>
      <xdr:rowOff>119791</xdr:rowOff>
    </xdr:from>
    <xdr:to>
      <xdr:col>6</xdr:col>
      <xdr:colOff>475205</xdr:colOff>
      <xdr:row>2</xdr:row>
      <xdr:rowOff>185009</xdr:rowOff>
    </xdr:to>
    <xdr:sp macro="" textlink="">
      <xdr:nvSpPr>
        <xdr:cNvPr id="15" name="button3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F5110516-0269-408D-B1CD-C44BA9AE2613}"/>
            </a:ext>
          </a:extLst>
        </xdr:cNvPr>
        <xdr:cNvSpPr/>
      </xdr:nvSpPr>
      <xdr:spPr>
        <a:xfrm>
          <a:off x="3783330" y="205516"/>
          <a:ext cx="968600" cy="312868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WACC</a:t>
          </a:r>
          <a:endParaRPr lang="en-US" sz="1100" b="1" baseline="0">
            <a:solidFill>
              <a:schemeClr val="bg1"/>
            </a:solidFill>
          </a:endParaRPr>
        </a:p>
      </xdr:txBody>
    </xdr:sp>
    <xdr:clientData/>
  </xdr:twoCellAnchor>
  <xdr:oneCellAnchor>
    <xdr:from>
      <xdr:col>20</xdr:col>
      <xdr:colOff>627529</xdr:colOff>
      <xdr:row>1</xdr:row>
      <xdr:rowOff>47831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8</xdr:col>
      <xdr:colOff>54375</xdr:colOff>
      <xdr:row>18</xdr:row>
      <xdr:rowOff>1800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183750</xdr:colOff>
      <xdr:row>6</xdr:row>
      <xdr:rowOff>0</xdr:rowOff>
    </xdr:from>
    <xdr:to>
      <xdr:col>16</xdr:col>
      <xdr:colOff>0</xdr:colOff>
      <xdr:row>18</xdr:row>
      <xdr:rowOff>1800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19</xdr:row>
      <xdr:rowOff>0</xdr:rowOff>
    </xdr:from>
    <xdr:to>
      <xdr:col>8</xdr:col>
      <xdr:colOff>54375</xdr:colOff>
      <xdr:row>31</xdr:row>
      <xdr:rowOff>1800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174226</xdr:colOff>
      <xdr:row>19</xdr:row>
      <xdr:rowOff>0</xdr:rowOff>
    </xdr:from>
    <xdr:to>
      <xdr:col>15</xdr:col>
      <xdr:colOff>685801</xdr:colOff>
      <xdr:row>31</xdr:row>
      <xdr:rowOff>1800</xdr:rowOff>
    </xdr:to>
    <xdr:graphicFrame macro="">
      <xdr:nvGraphicFramePr>
        <xdr:cNvPr id="14" name="Диаграмма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9525</xdr:colOff>
      <xdr:row>1</xdr:row>
      <xdr:rowOff>53340</xdr:rowOff>
    </xdr:from>
    <xdr:to>
      <xdr:col>2</xdr:col>
      <xdr:colOff>422012</xdr:colOff>
      <xdr:row>2</xdr:row>
      <xdr:rowOff>228450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673FBE61-794A-49F8-BB02-C710CFD42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39065"/>
          <a:ext cx="412487" cy="42276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556690</xdr:colOff>
      <xdr:row>1</xdr:row>
      <xdr:rowOff>118110</xdr:rowOff>
    </xdr:from>
    <xdr:to>
      <xdr:col>8</xdr:col>
      <xdr:colOff>141400</xdr:colOff>
      <xdr:row>2</xdr:row>
      <xdr:rowOff>186690</xdr:rowOff>
    </xdr:to>
    <xdr:sp macro="" textlink="">
      <xdr:nvSpPr>
        <xdr:cNvPr id="22" name="button1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8F2DB984-8646-42DD-A7B4-27F77A030621}"/>
            </a:ext>
          </a:extLst>
        </xdr:cNvPr>
        <xdr:cNvSpPr/>
      </xdr:nvSpPr>
      <xdr:spPr>
        <a:xfrm>
          <a:off x="4938190" y="203835"/>
          <a:ext cx="946785" cy="31623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CASH</a:t>
          </a:r>
          <a:r>
            <a:rPr lang="en-US" sz="1100" b="1" baseline="0">
              <a:solidFill>
                <a:schemeClr val="bg1"/>
              </a:solidFill>
            </a:rPr>
            <a:t> FLOW</a:t>
          </a:r>
        </a:p>
      </xdr:txBody>
    </xdr:sp>
    <xdr:clientData/>
  </xdr:twoCellAnchor>
  <xdr:twoCellAnchor editAs="oneCell">
    <xdr:from>
      <xdr:col>8</xdr:col>
      <xdr:colOff>327660</xdr:colOff>
      <xdr:row>1</xdr:row>
      <xdr:rowOff>118110</xdr:rowOff>
    </xdr:from>
    <xdr:to>
      <xdr:col>9</xdr:col>
      <xdr:colOff>588645</xdr:colOff>
      <xdr:row>2</xdr:row>
      <xdr:rowOff>186690</xdr:rowOff>
    </xdr:to>
    <xdr:sp macro="" textlink="">
      <xdr:nvSpPr>
        <xdr:cNvPr id="23" name="button2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FDD090D6-8B66-49C9-A7D2-B2EFC33D05B2}"/>
            </a:ext>
          </a:extLst>
        </xdr:cNvPr>
        <xdr:cNvSpPr/>
      </xdr:nvSpPr>
      <xdr:spPr>
        <a:xfrm>
          <a:off x="6071235" y="203835"/>
          <a:ext cx="946785" cy="31623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 baseline="0">
              <a:solidFill>
                <a:schemeClr val="bg1"/>
              </a:solidFill>
            </a:rPr>
            <a:t>CHARTS</a:t>
          </a:r>
        </a:p>
      </xdr:txBody>
    </xdr:sp>
    <xdr:clientData/>
  </xdr:twoCellAnchor>
  <xdr:twoCellAnchor editAs="oneCell">
    <xdr:from>
      <xdr:col>5</xdr:col>
      <xdr:colOff>49530</xdr:colOff>
      <xdr:row>1</xdr:row>
      <xdr:rowOff>119791</xdr:rowOff>
    </xdr:from>
    <xdr:to>
      <xdr:col>6</xdr:col>
      <xdr:colOff>370430</xdr:colOff>
      <xdr:row>2</xdr:row>
      <xdr:rowOff>185009</xdr:rowOff>
    </xdr:to>
    <xdr:sp macro="" textlink="">
      <xdr:nvSpPr>
        <xdr:cNvPr id="24" name="button3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E57F3669-E1F9-4366-9D26-2510BABAB38A}"/>
            </a:ext>
          </a:extLst>
        </xdr:cNvPr>
        <xdr:cNvSpPr/>
      </xdr:nvSpPr>
      <xdr:spPr>
        <a:xfrm>
          <a:off x="3783330" y="205516"/>
          <a:ext cx="968600" cy="312868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WACC</a:t>
          </a:r>
          <a:endParaRPr lang="en-US" sz="1100" b="1" baseline="0">
            <a:solidFill>
              <a:schemeClr val="bg1"/>
            </a:solidFill>
          </a:endParaRPr>
        </a:p>
      </xdr:txBody>
    </xdr:sp>
    <xdr:clientData/>
  </xdr:twoCellAnchor>
  <xdr:oneCellAnchor>
    <xdr:from>
      <xdr:col>14</xdr:col>
      <xdr:colOff>65554</xdr:colOff>
      <xdr:row>1</xdr:row>
      <xdr:rowOff>47831</xdr:rowOff>
    </xdr:from>
    <xdr:ext cx="1325166" cy="381000"/>
    <xdr:pic>
      <xdr:nvPicPr>
        <xdr:cNvPr id="1024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9C01251-1983-416F-A453-8243EE4ACEA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3AFAFDDD-462E-420A-8CAC-FC127E1639C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9B6370C-C5B5-4553-B1F8-C01A96D6174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autoPageBreaks="0" fitToPage="1"/>
  </sheetPr>
  <dimension ref="A1:AB2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30" customWidth="1"/>
    <col min="2" max="2" width="1.7109375" style="30" customWidth="1"/>
    <col min="3" max="3" width="32.42578125" style="30" customWidth="1"/>
    <col min="4" max="12" width="14.7109375" style="30" customWidth="1"/>
    <col min="13" max="14" width="1.7109375" style="30" customWidth="1"/>
    <col min="15" max="16384" width="8.85546875" style="30"/>
  </cols>
  <sheetData>
    <row r="1" spans="1:14" s="1" customFormat="1" ht="6.75" customHeight="1" x14ac:dyDescent="0.25">
      <c r="B1" s="2"/>
      <c r="E1" s="3"/>
      <c r="F1" s="3"/>
      <c r="G1" s="3"/>
      <c r="H1" s="3"/>
      <c r="I1" s="3"/>
    </row>
    <row r="2" spans="1:14" s="17" customFormat="1" ht="19.899999999999999" customHeight="1" x14ac:dyDescent="0.25">
      <c r="B2" s="44"/>
      <c r="C2" s="166" t="s">
        <v>59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s="4" customFormat="1" ht="24" customHeight="1" x14ac:dyDescent="0.25">
      <c r="B3" s="45"/>
      <c r="C3" s="167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4" s="1" customFormat="1" ht="4.900000000000000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s="1" customFormat="1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" customFormat="1" ht="9.9499999999999993" customHeight="1" x14ac:dyDescent="0.25">
      <c r="A6" s="7"/>
      <c r="B6" s="64"/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  <c r="N6" s="7"/>
    </row>
    <row r="7" spans="1:14" s="1" customFormat="1" ht="20.100000000000001" customHeight="1" x14ac:dyDescent="0.25">
      <c r="B7" s="59"/>
      <c r="C7" s="73" t="s">
        <v>46</v>
      </c>
      <c r="D7" s="74"/>
      <c r="E7" s="55"/>
      <c r="F7" s="55"/>
      <c r="G7" s="73" t="s">
        <v>47</v>
      </c>
      <c r="H7" s="75"/>
      <c r="I7" s="75"/>
      <c r="J7" s="75"/>
      <c r="K7" s="75"/>
      <c r="L7" s="74"/>
      <c r="M7" s="56"/>
    </row>
    <row r="8" spans="1:14" s="1" customFormat="1" ht="20.100000000000001" customHeight="1" x14ac:dyDescent="0.25">
      <c r="B8" s="59"/>
      <c r="C8" s="83" t="s">
        <v>0</v>
      </c>
      <c r="D8" s="70" t="s">
        <v>56</v>
      </c>
      <c r="E8" s="63"/>
      <c r="F8" s="55"/>
      <c r="G8" s="78" t="s">
        <v>61</v>
      </c>
      <c r="H8" s="79"/>
      <c r="I8" s="72">
        <v>5.0000000000000001E-3</v>
      </c>
      <c r="J8" s="78" t="s">
        <v>63</v>
      </c>
      <c r="K8" s="79"/>
      <c r="L8" s="71">
        <v>1.2</v>
      </c>
      <c r="M8" s="56"/>
    </row>
    <row r="9" spans="1:14" s="1" customFormat="1" ht="20.100000000000001" customHeight="1" x14ac:dyDescent="0.25">
      <c r="B9" s="59"/>
      <c r="C9" s="83" t="s">
        <v>60</v>
      </c>
      <c r="D9" s="71">
        <v>0.2</v>
      </c>
      <c r="E9" s="63"/>
      <c r="F9" s="55"/>
      <c r="G9" s="78" t="s">
        <v>62</v>
      </c>
      <c r="H9" s="79"/>
      <c r="I9" s="72">
        <v>7.0000000000000007E-2</v>
      </c>
      <c r="J9" s="78" t="s">
        <v>64</v>
      </c>
      <c r="K9" s="79"/>
      <c r="L9" s="72">
        <v>0.02</v>
      </c>
      <c r="M9" s="56"/>
    </row>
    <row r="10" spans="1:14" s="1" customFormat="1" ht="9.9499999999999993" customHeight="1" x14ac:dyDescent="0.25">
      <c r="B10" s="59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6"/>
    </row>
    <row r="11" spans="1:14" s="1" customFormat="1" ht="30" customHeight="1" x14ac:dyDescent="0.25">
      <c r="B11" s="59"/>
      <c r="C11" s="49"/>
      <c r="D11" s="50" t="str">
        <f ca="1">IFERROR(YEAR(TODAY())-4 &amp; CHAR(10) &amp;" Actuals","")</f>
        <v>2018
 Actuals</v>
      </c>
      <c r="E11" s="50" t="str">
        <f ca="1">IFERROR(YEAR(TODAY())-3 &amp; CHAR(10) &amp; " Actuals","")</f>
        <v>2019
 Actuals</v>
      </c>
      <c r="F11" s="50" t="str">
        <f ca="1">IFERROR(YEAR(TODAY())-2 &amp; CHAR(10) &amp; " Actuals","")</f>
        <v>2020
 Actuals</v>
      </c>
      <c r="G11" s="50" t="str">
        <f ca="1">IFERROR(YEAR(TODAY())-1 &amp; CHAR(10) &amp; " Actuals","")</f>
        <v>2021
 Actuals</v>
      </c>
      <c r="H11" s="50" t="str">
        <f ca="1">IFERROR(YEAR(TODAY()) &amp; CHAR(10) &amp; " Forecast","")</f>
        <v>2022
 Forecast</v>
      </c>
      <c r="I11" s="51" t="s">
        <v>67</v>
      </c>
      <c r="J11" s="51" t="s">
        <v>68</v>
      </c>
      <c r="K11" s="51" t="s">
        <v>33</v>
      </c>
      <c r="L11" s="51" t="s">
        <v>2</v>
      </c>
      <c r="M11" s="56"/>
    </row>
    <row r="12" spans="1:14" s="1" customFormat="1" ht="20.100000000000001" customHeight="1" x14ac:dyDescent="0.25">
      <c r="B12" s="59"/>
      <c r="C12" s="80" t="s">
        <v>3</v>
      </c>
      <c r="D12" s="76">
        <v>5500</v>
      </c>
      <c r="E12" s="76">
        <v>5900</v>
      </c>
      <c r="F12" s="76">
        <v>5850</v>
      </c>
      <c r="G12" s="76">
        <v>6000</v>
      </c>
      <c r="H12" s="77">
        <v>6100</v>
      </c>
      <c r="I12" s="195"/>
      <c r="J12" s="196"/>
      <c r="K12" s="196"/>
      <c r="L12" s="197"/>
      <c r="M12" s="56"/>
    </row>
    <row r="13" spans="1:14" s="3" customFormat="1" ht="20.100000000000001" customHeight="1" x14ac:dyDescent="0.25">
      <c r="B13" s="62"/>
      <c r="C13" s="80" t="s">
        <v>4</v>
      </c>
      <c r="D13" s="76">
        <v>6</v>
      </c>
      <c r="E13" s="76">
        <v>5.93</v>
      </c>
      <c r="F13" s="76">
        <v>5.5</v>
      </c>
      <c r="G13" s="76">
        <v>6.1</v>
      </c>
      <c r="H13" s="77">
        <v>5.95</v>
      </c>
      <c r="I13" s="198"/>
      <c r="J13" s="199"/>
      <c r="K13" s="199"/>
      <c r="L13" s="200"/>
      <c r="M13" s="61"/>
    </row>
    <row r="14" spans="1:14" s="1" customFormat="1" ht="20.100000000000001" customHeight="1" x14ac:dyDescent="0.25">
      <c r="B14" s="59"/>
      <c r="C14" s="80" t="s">
        <v>5</v>
      </c>
      <c r="D14" s="184">
        <f>IFERROR(IF(LEN(D13)&gt;0,D12*D13,D12),"")</f>
        <v>33000</v>
      </c>
      <c r="E14" s="184">
        <f>IFERROR(IF(LEN(E13)&gt;0,E12*E13,E12),"")</f>
        <v>34987</v>
      </c>
      <c r="F14" s="184">
        <f>IFERROR(IF(LEN(F13)&gt;0,F12*F13,F12),"")</f>
        <v>32175</v>
      </c>
      <c r="G14" s="184">
        <f>IFERROR(IF(LEN(G13)&gt;0,G12*G13,G12),"")</f>
        <v>36600</v>
      </c>
      <c r="H14" s="185">
        <f>IFERROR(IF(LEN(H13)&gt;0,H12*H13,H12),"")</f>
        <v>36295</v>
      </c>
      <c r="I14" s="198"/>
      <c r="J14" s="199"/>
      <c r="K14" s="199"/>
      <c r="L14" s="200"/>
      <c r="M14" s="56"/>
    </row>
    <row r="15" spans="1:14" s="1" customFormat="1" ht="20.100000000000001" customHeight="1" x14ac:dyDescent="0.25">
      <c r="B15" s="59"/>
      <c r="C15" s="80" t="s">
        <v>6</v>
      </c>
      <c r="D15" s="76">
        <v>5000</v>
      </c>
      <c r="E15" s="76">
        <v>5300</v>
      </c>
      <c r="F15" s="76">
        <v>5500</v>
      </c>
      <c r="G15" s="76">
        <v>5700</v>
      </c>
      <c r="H15" s="77">
        <v>5800</v>
      </c>
      <c r="I15" s="201"/>
      <c r="J15" s="202"/>
      <c r="K15" s="202"/>
      <c r="L15" s="203"/>
      <c r="M15" s="56"/>
    </row>
    <row r="16" spans="1:14" s="1" customFormat="1" ht="20.100000000000001" customHeight="1" x14ac:dyDescent="0.25">
      <c r="B16" s="59"/>
      <c r="C16" s="80" t="s">
        <v>7</v>
      </c>
      <c r="D16" s="186">
        <f>IFERROR(D15/D14,"")</f>
        <v>0.15151515151515152</v>
      </c>
      <c r="E16" s="186">
        <f t="shared" ref="E16:H16" si="0">IFERROR(E15/E14,"")</f>
        <v>0.1514848372252551</v>
      </c>
      <c r="F16" s="186">
        <f t="shared" si="0"/>
        <v>0.17094017094017094</v>
      </c>
      <c r="G16" s="186">
        <f t="shared" si="0"/>
        <v>0.15573770491803279</v>
      </c>
      <c r="H16" s="187">
        <f t="shared" si="0"/>
        <v>0.15980162556826008</v>
      </c>
      <c r="I16" s="204" t="str">
        <f>IFERROR(IF(Calc!$D$5=0,MIN(D16:H16),""),"")</f>
        <v/>
      </c>
      <c r="J16" s="188" t="str">
        <f>IFERROR(IF(Calc!$D$5=0,MAX(D16:H16),""),"")</f>
        <v/>
      </c>
      <c r="K16" s="188">
        <f>IFERROR(IF(Calc!$D$5=0,SUMPRODUCT(D16:H16,D14:H14)/SUM(D14:H14),I8+L8*(I9-I8)+L9),"")</f>
        <v>0.10300000000000001</v>
      </c>
      <c r="L16" s="194"/>
      <c r="M16" s="56"/>
    </row>
    <row r="17" spans="2:28" s="1" customFormat="1" ht="20.100000000000001" customHeight="1" x14ac:dyDescent="0.25">
      <c r="B17" s="59"/>
      <c r="C17" s="80" t="s">
        <v>8</v>
      </c>
      <c r="D17" s="76">
        <v>30000</v>
      </c>
      <c r="E17" s="76">
        <v>35000</v>
      </c>
      <c r="F17" s="76">
        <v>40000</v>
      </c>
      <c r="G17" s="76">
        <v>42000</v>
      </c>
      <c r="H17" s="77">
        <v>45000</v>
      </c>
      <c r="I17" s="195"/>
      <c r="J17" s="196"/>
      <c r="K17" s="196"/>
      <c r="L17" s="197"/>
      <c r="M17" s="56"/>
    </row>
    <row r="18" spans="2:28" s="1" customFormat="1" ht="20.100000000000001" customHeight="1" x14ac:dyDescent="0.25">
      <c r="B18" s="59"/>
      <c r="C18" s="80" t="s">
        <v>9</v>
      </c>
      <c r="D18" s="76">
        <v>4380</v>
      </c>
      <c r="E18" s="76">
        <v>5000</v>
      </c>
      <c r="F18" s="76">
        <v>5500</v>
      </c>
      <c r="G18" s="76">
        <v>5750</v>
      </c>
      <c r="H18" s="77">
        <v>5900</v>
      </c>
      <c r="I18" s="201"/>
      <c r="J18" s="202"/>
      <c r="K18" s="202"/>
      <c r="L18" s="203"/>
      <c r="M18" s="56"/>
    </row>
    <row r="19" spans="2:28" s="1" customFormat="1" ht="20.100000000000001" customHeight="1" x14ac:dyDescent="0.25">
      <c r="B19" s="59"/>
      <c r="C19" s="80" t="s">
        <v>10</v>
      </c>
      <c r="D19" s="186">
        <f>IFERROR(D18/D17*(1-$D$9),"")</f>
        <v>0.1168</v>
      </c>
      <c r="E19" s="186">
        <f t="shared" ref="E19:H19" si="1">IFERROR(E18/E17*(1-$D$9),"")</f>
        <v>0.11428571428571428</v>
      </c>
      <c r="F19" s="186">
        <f t="shared" si="1"/>
        <v>0.11000000000000001</v>
      </c>
      <c r="G19" s="186">
        <f t="shared" si="1"/>
        <v>0.10952380952380954</v>
      </c>
      <c r="H19" s="187">
        <f t="shared" si="1"/>
        <v>0.10488888888888891</v>
      </c>
      <c r="I19" s="188">
        <f>IFERROR(MIN(D19:H19),"")</f>
        <v>0.10488888888888891</v>
      </c>
      <c r="J19" s="188">
        <f>IFERROR(MAX(D19:H19),"")</f>
        <v>0.1168</v>
      </c>
      <c r="K19" s="188">
        <f>IFERROR(SUM(D18:H18)/SUM(D17:H17)*(1-$D$9),"")</f>
        <v>0.11054166666666668</v>
      </c>
      <c r="L19" s="194">
        <v>0.12</v>
      </c>
      <c r="M19" s="56"/>
    </row>
    <row r="20" spans="2:28" s="1" customFormat="1" ht="9.9499999999999993" customHeight="1" x14ac:dyDescent="0.25">
      <c r="B20" s="59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6"/>
    </row>
    <row r="21" spans="2:28" s="1" customFormat="1" ht="20.100000000000001" customHeight="1" x14ac:dyDescent="0.25">
      <c r="B21" s="59"/>
      <c r="C21" s="67"/>
      <c r="D21" s="68" t="s">
        <v>13</v>
      </c>
      <c r="E21" s="68"/>
      <c r="F21" s="68" t="s">
        <v>14</v>
      </c>
      <c r="G21" s="68"/>
      <c r="H21" s="68" t="s">
        <v>15</v>
      </c>
      <c r="I21" s="68"/>
      <c r="J21" s="55"/>
      <c r="K21" s="55"/>
      <c r="L21" s="55"/>
      <c r="M21" s="56"/>
    </row>
    <row r="22" spans="2:28" s="1" customFormat="1" ht="20.100000000000001" customHeight="1" x14ac:dyDescent="0.25">
      <c r="B22" s="59"/>
      <c r="C22" s="81" t="s">
        <v>11</v>
      </c>
      <c r="D22" s="248">
        <f>IFERROR(H14,"")</f>
        <v>36295</v>
      </c>
      <c r="E22" s="250"/>
      <c r="F22" s="246">
        <f>IFERROR(D22/D24,"-")</f>
        <v>0.44646042192016727</v>
      </c>
      <c r="G22" s="250"/>
      <c r="H22" s="246">
        <f>IFERROR(IF(LEN(L16)&gt;0,L16,K16),"-")</f>
        <v>0.10300000000000001</v>
      </c>
      <c r="I22" s="250"/>
      <c r="J22" s="55"/>
      <c r="K22" s="55"/>
      <c r="L22" s="55"/>
      <c r="M22" s="56"/>
    </row>
    <row r="23" spans="2:28" s="1" customFormat="1" ht="20.100000000000001" customHeight="1" x14ac:dyDescent="0.25">
      <c r="B23" s="59"/>
      <c r="C23" s="81" t="s">
        <v>12</v>
      </c>
      <c r="D23" s="248">
        <f>IFERROR(H17,"")</f>
        <v>45000</v>
      </c>
      <c r="E23" s="250"/>
      <c r="F23" s="246">
        <f>IFERROR(D23/D24,"-")</f>
        <v>0.55353957807983267</v>
      </c>
      <c r="G23" s="250"/>
      <c r="H23" s="246">
        <f>IFERROR(IF(LEN(L19)&gt;0,L19,K19),"-")</f>
        <v>0.12</v>
      </c>
      <c r="I23" s="250"/>
      <c r="J23" s="55"/>
      <c r="K23" s="55"/>
      <c r="L23" s="55"/>
      <c r="M23" s="56"/>
    </row>
    <row r="24" spans="2:28" s="46" customFormat="1" ht="20.100000000000001" customHeight="1" x14ac:dyDescent="0.25">
      <c r="B24" s="60"/>
      <c r="C24" s="82" t="s">
        <v>51</v>
      </c>
      <c r="D24" s="249">
        <f>IFERROR(D22+D23,"")</f>
        <v>81295</v>
      </c>
      <c r="E24" s="251"/>
      <c r="F24" s="247">
        <v>1</v>
      </c>
      <c r="G24" s="251"/>
      <c r="H24" s="247">
        <f>IFERROR(D22/D24*H22,0)+IFERROR(D23/D24*H23,0)</f>
        <v>0.11241017282735714</v>
      </c>
      <c r="I24" s="250"/>
      <c r="J24" s="57"/>
      <c r="K24" s="57"/>
      <c r="L24" s="57"/>
      <c r="M24" s="58"/>
    </row>
    <row r="25" spans="2:28" ht="9.9499999999999993" customHeight="1" x14ac:dyDescent="0.25"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ht="7.15" customHeight="1" x14ac:dyDescent="0.25"/>
    <row r="27" spans="2:28" s="11" customFormat="1" ht="22.9" customHeight="1" x14ac:dyDescent="0.25">
      <c r="B27" s="47"/>
      <c r="C27" s="47"/>
      <c r="D27" s="13"/>
      <c r="E27" s="48"/>
      <c r="F27" s="48"/>
      <c r="G27" s="48"/>
      <c r="H27" s="48"/>
      <c r="I27" s="48"/>
      <c r="J27" s="47"/>
      <c r="K27" s="47"/>
      <c r="L27" s="47"/>
      <c r="M27" s="47"/>
    </row>
  </sheetData>
  <sheetProtection algorithmName="SHA-512" hashValue="bOciO7fUZFoOwvsWqZ2b7ZX0dLp5O09OOJa/KXBxgib4/9l02QZ8wWRpyhKPN10q6u4QlBtyrteLRrrRFeyQoQ==" saltValue="blOoFPlh4xJV0kLFmx9skg==" spinCount="100000" sheet="1" objects="1" scenarios="1"/>
  <dataValidations count="6">
    <dataValidation type="list" allowBlank="1" showInputMessage="1" showErrorMessage="1" sqref="D8" xr:uid="{00000000-0002-0000-0000-000000000000}">
      <formula1>"CAPM,Actual Dividends"</formula1>
    </dataValidation>
    <dataValidation type="decimal" operator="greaterThan" allowBlank="1" showInputMessage="1" showErrorMessage="1" errorTitle="Beta" error="Invalid value" promptTitle="Beta" prompt="A measure of how much an equity investment is riskier than the market avarage" sqref="L8" xr:uid="{00000000-0002-0000-0000-000002000000}">
      <formula1>0</formula1>
    </dataValidation>
    <dataValidation type="decimal" allowBlank="1" showInputMessage="1" showErrorMessage="1" errorTitle="Risk-Free Return Rate" error="Invalid value" promptTitle="Risk-Free Return Rate" prompt="Time value of money. Usually, return on 10-year Treasury Bonds" sqref="I8" xr:uid="{00000000-0002-0000-0000-000004000000}">
      <formula1>0</formula1>
      <formula2>1</formula2>
    </dataValidation>
    <dataValidation type="decimal" operator="greaterThan" allowBlank="1" showInputMessage="1" showErrorMessage="1" errorTitle="Market Equity Risk Premium" error="Invalid value" promptTitle="Market Equity Risk Premium" prompt="Return expected from the market, in average, above the risk-free rate" sqref="I9" xr:uid="{00000000-0002-0000-0000-000005000000}">
      <formula1>0</formula1>
    </dataValidation>
    <dataValidation type="decimal" allowBlank="1" showInputMessage="1" showErrorMessage="1" sqref="D9" xr:uid="{00000000-0002-0000-0000-000001000000}">
      <formula1>0</formula1>
      <formula2>1</formula2>
    </dataValidation>
    <dataValidation type="decimal" allowBlank="1" showInputMessage="1" showErrorMessage="1" promptTitle="Size-Related Equity Premiun" prompt="How much a size of the company adds to its market risk (the lesser a company, the greater risk)" sqref="L9" xr:uid="{00000000-0002-0000-0000-000003000000}">
      <formula1>-I9</formula1>
      <formula2>I9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00000000-000E-0000-0000-000004000000}">
            <xm:f>Calc!$D$9&gt;0</xm:f>
            <x14:dxf>
              <fill>
                <patternFill>
                  <bgColor rgb="FFFED9B7"/>
                </patternFill>
              </fill>
            </x14:dxf>
          </x14:cfRule>
          <xm:sqref>I8</xm:sqref>
        </x14:conditionalFormatting>
        <x14:conditionalFormatting xmlns:xm="http://schemas.microsoft.com/office/excel/2006/main">
          <x14:cfRule type="expression" priority="13" id="{00000000-000E-0000-0000-000003000000}">
            <xm:f>Calc!$D$10&gt;0</xm:f>
            <x14:dxf>
              <fill>
                <patternFill>
                  <bgColor rgb="FFFED9B7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4" id="{00000000-000E-0000-0000-000002000000}">
            <xm:f>Calc!$D$11&gt;0</xm:f>
            <x14:dxf>
              <fill>
                <patternFill>
                  <bgColor rgb="FFFED9B7"/>
                </patternFill>
              </fill>
            </x14:dxf>
          </x14:cfRule>
          <xm:sqref>L8</xm:sqref>
        </x14:conditionalFormatting>
        <x14:conditionalFormatting xmlns:xm="http://schemas.microsoft.com/office/excel/2006/main">
          <x14:cfRule type="expression" priority="15" id="{2480E80E-82E0-45A6-99C3-849ACDD171A2}">
            <xm:f>Calc!$D$5=0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G7:L9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Z33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10" customWidth="1"/>
    <col min="2" max="2" width="1.7109375" style="10" customWidth="1"/>
    <col min="3" max="3" width="29.5703125" style="10" customWidth="1"/>
    <col min="4" max="8" width="9.7109375" style="10" customWidth="1"/>
    <col min="9" max="12" width="7.7109375" style="10" customWidth="1"/>
    <col min="13" max="23" width="9.7109375" style="10" customWidth="1"/>
    <col min="24" max="26" width="1.7109375" style="10" customWidth="1"/>
    <col min="27" max="16384" width="8.85546875" style="10"/>
  </cols>
  <sheetData>
    <row r="1" spans="1:26" s="1" customFormat="1" ht="6.75" customHeight="1" x14ac:dyDescent="0.25">
      <c r="B1" s="2"/>
      <c r="E1" s="3"/>
      <c r="F1" s="3"/>
      <c r="G1" s="3"/>
      <c r="H1" s="3"/>
      <c r="I1" s="3"/>
    </row>
    <row r="2" spans="1:26" s="17" customFormat="1" ht="19.899999999999999" customHeight="1" x14ac:dyDescent="0.25">
      <c r="B2" s="35"/>
      <c r="C2" s="166" t="s">
        <v>59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5"/>
      <c r="O2" s="15"/>
      <c r="P2" s="18"/>
      <c r="Q2" s="15"/>
      <c r="R2" s="15"/>
      <c r="S2" s="18"/>
      <c r="T2" s="15"/>
      <c r="U2" s="15"/>
      <c r="V2" s="15"/>
      <c r="W2" s="15"/>
      <c r="X2" s="18"/>
      <c r="Y2" s="19"/>
      <c r="Z2" s="19"/>
    </row>
    <row r="3" spans="1:26" s="31" customFormat="1" ht="24" customHeight="1" x14ac:dyDescent="0.25">
      <c r="B3" s="37"/>
      <c r="C3" s="168" t="s">
        <v>16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3"/>
      <c r="P3" s="32"/>
      <c r="Q3" s="33"/>
      <c r="R3" s="33"/>
      <c r="S3" s="32"/>
      <c r="T3" s="33"/>
      <c r="U3" s="33"/>
      <c r="V3" s="33"/>
      <c r="W3" s="33"/>
      <c r="X3" s="32"/>
      <c r="Y3" s="34"/>
      <c r="Z3" s="34"/>
    </row>
    <row r="4" spans="1:26" s="8" customFormat="1" ht="4.900000000000000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8" customHeight="1" x14ac:dyDescent="0.25">
      <c r="A5" s="7"/>
      <c r="B5" s="92"/>
      <c r="C5" s="151"/>
      <c r="D5" s="152" t="s">
        <v>54</v>
      </c>
      <c r="E5" s="153"/>
      <c r="F5" s="153"/>
      <c r="G5" s="153"/>
      <c r="H5" s="153"/>
      <c r="I5" s="154" t="s">
        <v>80</v>
      </c>
      <c r="J5" s="157"/>
      <c r="K5" s="157"/>
      <c r="L5" s="157"/>
      <c r="M5" s="155" t="s">
        <v>55</v>
      </c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93"/>
      <c r="Y5" s="7"/>
      <c r="Z5" s="7"/>
    </row>
    <row r="6" spans="1:26" s="1" customFormat="1" ht="30" customHeight="1" x14ac:dyDescent="0.25">
      <c r="B6" s="59"/>
      <c r="C6" s="91"/>
      <c r="D6" s="189" t="str">
        <f ca="1">YEAR(TODAY())-4 &amp;" Actuals"</f>
        <v>2018 Actuals</v>
      </c>
      <c r="E6" s="190" t="str">
        <f ca="1">YEAR(TODAY())-3 &amp;" Actuals"</f>
        <v>2019 Actuals</v>
      </c>
      <c r="F6" s="190" t="str">
        <f ca="1">YEAR(TODAY())-2 &amp;" Actuals"</f>
        <v>2020 Actuals</v>
      </c>
      <c r="G6" s="190" t="str">
        <f ca="1">YEAR(TODAY())-1 &amp;" Actuals"</f>
        <v>2021 Actuals</v>
      </c>
      <c r="H6" s="191" t="str">
        <f ca="1">YEAR(TODAY()) &amp;" Forecast"</f>
        <v>2022 Forecast</v>
      </c>
      <c r="I6" s="95" t="s">
        <v>57</v>
      </c>
      <c r="J6" s="96" t="s">
        <v>58</v>
      </c>
      <c r="K6" s="96" t="s">
        <v>17</v>
      </c>
      <c r="L6" s="97" t="s">
        <v>77</v>
      </c>
      <c r="M6" s="192" t="str">
        <f ca="1">YEAR(TODAY())+1 &amp;" Projected"</f>
        <v>2023 Projected</v>
      </c>
      <c r="N6" s="193" t="str">
        <f ca="1">YEAR(TODAY())+2 &amp;" Projected"</f>
        <v>2024 Projected</v>
      </c>
      <c r="O6" s="193" t="str">
        <f ca="1">YEAR(TODAY())+3 &amp;" Projected"</f>
        <v>2025 Projected</v>
      </c>
      <c r="P6" s="193" t="str">
        <f ca="1">YEAR(TODAY())+4 &amp;" Projected"</f>
        <v>2026 Projected</v>
      </c>
      <c r="Q6" s="193" t="str">
        <f ca="1">YEAR(TODAY())+5 &amp;" Projected"</f>
        <v>2027 Projected</v>
      </c>
      <c r="R6" s="193" t="str">
        <f ca="1">YEAR(TODAY())+6 &amp;" Projected"</f>
        <v>2028 Projected</v>
      </c>
      <c r="S6" s="193" t="str">
        <f ca="1">YEAR(TODAY())+7 &amp;" Projected"</f>
        <v>2029 Projected</v>
      </c>
      <c r="T6" s="193" t="str">
        <f ca="1">YEAR(TODAY())+8 &amp;" Projected"</f>
        <v>2030 Projected</v>
      </c>
      <c r="U6" s="193" t="str">
        <f ca="1">YEAR(TODAY())+9 &amp;" Projected"</f>
        <v>2031 Projected</v>
      </c>
      <c r="V6" s="193" t="str">
        <f ca="1">YEAR(TODAY())+10 &amp;" Projected"</f>
        <v>2032 Projected</v>
      </c>
      <c r="W6" s="108" t="s">
        <v>18</v>
      </c>
      <c r="X6" s="56"/>
    </row>
    <row r="7" spans="1:26" s="8" customFormat="1" ht="20.100000000000001" customHeight="1" x14ac:dyDescent="0.25">
      <c r="B7" s="89"/>
      <c r="C7" s="162" t="s">
        <v>19</v>
      </c>
      <c r="D7" s="158">
        <v>24846</v>
      </c>
      <c r="E7" s="109">
        <v>28741</v>
      </c>
      <c r="F7" s="109">
        <v>21453</v>
      </c>
      <c r="G7" s="110">
        <v>22000</v>
      </c>
      <c r="H7" s="111">
        <v>26415</v>
      </c>
      <c r="I7" s="205"/>
      <c r="J7" s="206"/>
      <c r="K7" s="206"/>
      <c r="L7" s="207"/>
      <c r="M7" s="98">
        <f>IFERROR(H7*(1+IF(LEN($L$8)&gt;0,$L$8,$K$8)),0)</f>
        <v>27207.45</v>
      </c>
      <c r="N7" s="99">
        <f>IFERROR(M7*(1+IF(LEN($L$8)&gt;0,$L$8,$K$8))^1,"")</f>
        <v>28023.673500000001</v>
      </c>
      <c r="O7" s="99">
        <f t="shared" ref="O7:V7" si="0">IFERROR(N7*(1+IF(LEN($L$8)&gt;0,$L$8,$K$8))^1,"")</f>
        <v>28864.383705</v>
      </c>
      <c r="P7" s="99">
        <f t="shared" si="0"/>
        <v>29730.31521615</v>
      </c>
      <c r="Q7" s="99">
        <f t="shared" si="0"/>
        <v>30622.2246726345</v>
      </c>
      <c r="R7" s="99">
        <f t="shared" si="0"/>
        <v>31540.891412813537</v>
      </c>
      <c r="S7" s="99">
        <f t="shared" si="0"/>
        <v>32487.118155197943</v>
      </c>
      <c r="T7" s="99">
        <f t="shared" si="0"/>
        <v>33461.731699853881</v>
      </c>
      <c r="U7" s="99">
        <f t="shared" si="0"/>
        <v>34465.583650849498</v>
      </c>
      <c r="V7" s="99">
        <f t="shared" si="0"/>
        <v>35499.551160374984</v>
      </c>
      <c r="W7" s="232"/>
      <c r="X7" s="88"/>
    </row>
    <row r="8" spans="1:26" s="8" customFormat="1" ht="20.100000000000001" customHeight="1" x14ac:dyDescent="0.25">
      <c r="B8" s="89"/>
      <c r="C8" s="163" t="s">
        <v>20</v>
      </c>
      <c r="D8" s="159"/>
      <c r="E8" s="112">
        <f t="shared" ref="E8:H8" si="1">IFERROR(E7/D7-1,0)</f>
        <v>0.15676567656765683</v>
      </c>
      <c r="F8" s="112">
        <f t="shared" si="1"/>
        <v>-0.25357503218398803</v>
      </c>
      <c r="G8" s="113">
        <f t="shared" si="1"/>
        <v>2.5497599403346838E-2</v>
      </c>
      <c r="H8" s="114">
        <f t="shared" si="1"/>
        <v>0.20068181818181818</v>
      </c>
      <c r="I8" s="115">
        <f>MIN(E8:H8)</f>
        <v>-0.25357503218398803</v>
      </c>
      <c r="J8" s="116">
        <f>MAX(E8:H8)</f>
        <v>0.20068181818181818</v>
      </c>
      <c r="K8" s="116">
        <f t="array" ref="K8">IFERROR((H7/INDEX(D7:H7,1,MATCH(1,INDEX(1-ISBLANK(D7:H7),1,0),0)))^(1/(COUNTA(D7:H7)-1))-1,0)</f>
        <v>1.5426594359697843E-2</v>
      </c>
      <c r="L8" s="94">
        <v>0.03</v>
      </c>
      <c r="M8" s="226"/>
      <c r="N8" s="227"/>
      <c r="O8" s="227"/>
      <c r="P8" s="227"/>
      <c r="Q8" s="227"/>
      <c r="R8" s="227"/>
      <c r="S8" s="227"/>
      <c r="T8" s="227"/>
      <c r="U8" s="227"/>
      <c r="V8" s="228"/>
      <c r="W8" s="233"/>
      <c r="X8" s="88"/>
    </row>
    <row r="9" spans="1:26" s="8" customFormat="1" ht="20.100000000000001" customHeight="1" x14ac:dyDescent="0.25">
      <c r="B9" s="89"/>
      <c r="C9" s="164" t="s">
        <v>21</v>
      </c>
      <c r="D9" s="160">
        <v>11580</v>
      </c>
      <c r="E9" s="117">
        <v>15478</v>
      </c>
      <c r="F9" s="117">
        <v>12874</v>
      </c>
      <c r="G9" s="118">
        <v>9865</v>
      </c>
      <c r="H9" s="119">
        <v>10587</v>
      </c>
      <c r="I9" s="208"/>
      <c r="J9" s="209"/>
      <c r="K9" s="209"/>
      <c r="L9" s="210"/>
      <c r="M9" s="100">
        <f>IFERROR(M7*IF(LEN($L$10)&gt;0,$L$10,$K$10),0)</f>
        <v>13307.639713255841</v>
      </c>
      <c r="N9" s="101">
        <f t="shared" ref="N9:V9" si="2">IFERROR(N7*IF(LEN($L$10)&gt;0,$L$10,$K$10),0)</f>
        <v>13706.868904653516</v>
      </c>
      <c r="O9" s="101">
        <f t="shared" si="2"/>
        <v>14118.074971793123</v>
      </c>
      <c r="P9" s="101">
        <f t="shared" si="2"/>
        <v>14541.617220946917</v>
      </c>
      <c r="Q9" s="101">
        <f t="shared" si="2"/>
        <v>14977.865737575323</v>
      </c>
      <c r="R9" s="101">
        <f t="shared" si="2"/>
        <v>15427.201709702584</v>
      </c>
      <c r="S9" s="101">
        <f t="shared" si="2"/>
        <v>15890.017760993662</v>
      </c>
      <c r="T9" s="101">
        <f t="shared" si="2"/>
        <v>16366.718293823471</v>
      </c>
      <c r="U9" s="101">
        <f t="shared" si="2"/>
        <v>16857.719842638176</v>
      </c>
      <c r="V9" s="101">
        <f t="shared" si="2"/>
        <v>17363.45143791732</v>
      </c>
      <c r="W9" s="234"/>
      <c r="X9" s="88"/>
    </row>
    <row r="10" spans="1:26" s="8" customFormat="1" ht="20.100000000000001" customHeight="1" x14ac:dyDescent="0.25">
      <c r="B10" s="89"/>
      <c r="C10" s="163" t="s">
        <v>22</v>
      </c>
      <c r="D10" s="159">
        <f t="shared" ref="D10:H10" si="3">IFERROR(D9/D7,0)</f>
        <v>0.46607099734363683</v>
      </c>
      <c r="E10" s="112">
        <f t="shared" si="3"/>
        <v>0.53853380188580768</v>
      </c>
      <c r="F10" s="112">
        <f t="shared" si="3"/>
        <v>0.60010254975994037</v>
      </c>
      <c r="G10" s="113">
        <f t="shared" si="3"/>
        <v>0.44840909090909092</v>
      </c>
      <c r="H10" s="114">
        <f t="shared" si="3"/>
        <v>0.40079500283929587</v>
      </c>
      <c r="I10" s="115">
        <f>MIN(D10:H10)</f>
        <v>0.40079500283929587</v>
      </c>
      <c r="J10" s="116">
        <f>MAX(D10:H10)</f>
        <v>0.60010254975994037</v>
      </c>
      <c r="K10" s="116">
        <f>IFERROR(SUM(D9:H9)/SUM(D7:H7),0)</f>
        <v>0.48911749220363693</v>
      </c>
      <c r="L10" s="94"/>
      <c r="M10" s="226"/>
      <c r="N10" s="227"/>
      <c r="O10" s="227"/>
      <c r="P10" s="227"/>
      <c r="Q10" s="227"/>
      <c r="R10" s="227"/>
      <c r="S10" s="227"/>
      <c r="T10" s="227"/>
      <c r="U10" s="227"/>
      <c r="V10" s="228"/>
      <c r="W10" s="233"/>
      <c r="X10" s="88"/>
    </row>
    <row r="11" spans="1:26" s="8" customFormat="1" ht="20.100000000000001" customHeight="1" x14ac:dyDescent="0.25">
      <c r="B11" s="89"/>
      <c r="C11" s="164" t="s">
        <v>23</v>
      </c>
      <c r="D11" s="160">
        <v>4800</v>
      </c>
      <c r="E11" s="117">
        <v>5411</v>
      </c>
      <c r="F11" s="117">
        <v>5574</v>
      </c>
      <c r="G11" s="118">
        <v>4524</v>
      </c>
      <c r="H11" s="119">
        <v>4128</v>
      </c>
      <c r="I11" s="211"/>
      <c r="J11" s="212"/>
      <c r="K11" s="212"/>
      <c r="L11" s="213"/>
      <c r="M11" s="100">
        <f>IFERROR(H11*(1+IF(LEN($L$12)&gt;0,$L12,$K12)),0)</f>
        <v>4293.12</v>
      </c>
      <c r="N11" s="101">
        <f>IFERROR(M11*(1+IF(LEN($L12)&gt;0,$L12,$K12)),0)</f>
        <v>4464.8447999999999</v>
      </c>
      <c r="O11" s="101">
        <f t="shared" ref="O11:V11" si="4">IFERROR(N11*(1+IF(LEN($L12)&gt;0,$L12,$K12)),0)</f>
        <v>4643.4385920000004</v>
      </c>
      <c r="P11" s="101">
        <f t="shared" si="4"/>
        <v>4829.1761356800007</v>
      </c>
      <c r="Q11" s="101">
        <f t="shared" si="4"/>
        <v>5022.3431811072005</v>
      </c>
      <c r="R11" s="101">
        <f t="shared" si="4"/>
        <v>5223.2369083514886</v>
      </c>
      <c r="S11" s="101">
        <f t="shared" si="4"/>
        <v>5432.1663846855481</v>
      </c>
      <c r="T11" s="101">
        <f t="shared" si="4"/>
        <v>5649.45304007297</v>
      </c>
      <c r="U11" s="101">
        <f t="shared" si="4"/>
        <v>5875.4311616758887</v>
      </c>
      <c r="V11" s="101">
        <f t="shared" si="4"/>
        <v>6110.4484081429246</v>
      </c>
      <c r="W11" s="233"/>
      <c r="X11" s="88"/>
    </row>
    <row r="12" spans="1:26" s="8" customFormat="1" ht="20.100000000000001" customHeight="1" x14ac:dyDescent="0.25">
      <c r="B12" s="89"/>
      <c r="C12" s="163" t="s">
        <v>24</v>
      </c>
      <c r="D12" s="159"/>
      <c r="E12" s="112">
        <f t="shared" ref="E12" si="5">IFERROR(E11/D11-1,0)</f>
        <v>0.12729166666666658</v>
      </c>
      <c r="F12" s="112">
        <f t="shared" ref="F12:H12" si="6">IFERROR(F11/E11-1,0)</f>
        <v>3.0123821844391108E-2</v>
      </c>
      <c r="G12" s="113">
        <f t="shared" si="6"/>
        <v>-0.18837459634015075</v>
      </c>
      <c r="H12" s="114">
        <f t="shared" si="6"/>
        <v>-8.753315649867377E-2</v>
      </c>
      <c r="I12" s="115">
        <f>MIN(E12:H12)</f>
        <v>-0.18837459634015075</v>
      </c>
      <c r="J12" s="116">
        <f>MAX(E12:H12)</f>
        <v>0.12729166666666658</v>
      </c>
      <c r="K12" s="116">
        <f t="array" ref="K12">IFERROR((H11/INDEX(D11:H11,1,MATCH(1,INDEX(1-ISBLANK(D11:H11),1,0),0)))^(1/(COUNTA(D11:H11)-1))-1,0)</f>
        <v>-3.7003712598241423E-2</v>
      </c>
      <c r="L12" s="94">
        <v>0.04</v>
      </c>
      <c r="M12" s="229"/>
      <c r="N12" s="227"/>
      <c r="O12" s="227"/>
      <c r="P12" s="227"/>
      <c r="Q12" s="227"/>
      <c r="R12" s="227"/>
      <c r="S12" s="227"/>
      <c r="T12" s="227"/>
      <c r="U12" s="227"/>
      <c r="V12" s="228"/>
      <c r="W12" s="233"/>
      <c r="X12" s="88"/>
    </row>
    <row r="13" spans="1:26" s="8" customFormat="1" ht="20.100000000000001" customHeight="1" x14ac:dyDescent="0.25">
      <c r="B13" s="89"/>
      <c r="C13" s="164" t="s">
        <v>25</v>
      </c>
      <c r="D13" s="161">
        <f>IFERROR(D9-D11,"")</f>
        <v>6780</v>
      </c>
      <c r="E13" s="103">
        <f t="shared" ref="E13:H13" si="7">IFERROR(E9-E11,"")</f>
        <v>10067</v>
      </c>
      <c r="F13" s="103">
        <f t="shared" si="7"/>
        <v>7300</v>
      </c>
      <c r="G13" s="104">
        <f t="shared" si="7"/>
        <v>5341</v>
      </c>
      <c r="H13" s="120">
        <f t="shared" si="7"/>
        <v>6459</v>
      </c>
      <c r="I13" s="214"/>
      <c r="J13" s="215"/>
      <c r="K13" s="215"/>
      <c r="L13" s="216"/>
      <c r="M13" s="100">
        <f>IFERROR(M9-M11,"")</f>
        <v>9014.5197132558424</v>
      </c>
      <c r="N13" s="101">
        <f t="shared" ref="N13:V13" si="8">IFERROR(N9-N11,"")</f>
        <v>9242.0241046535157</v>
      </c>
      <c r="O13" s="101">
        <f t="shared" si="8"/>
        <v>9474.6363797931226</v>
      </c>
      <c r="P13" s="101">
        <f t="shared" si="8"/>
        <v>9712.4410852669171</v>
      </c>
      <c r="Q13" s="101">
        <f t="shared" si="8"/>
        <v>9955.5225564681223</v>
      </c>
      <c r="R13" s="101">
        <f t="shared" si="8"/>
        <v>10203.964801351096</v>
      </c>
      <c r="S13" s="101">
        <f t="shared" si="8"/>
        <v>10457.851376308114</v>
      </c>
      <c r="T13" s="101">
        <f t="shared" si="8"/>
        <v>10717.265253750502</v>
      </c>
      <c r="U13" s="101">
        <f t="shared" si="8"/>
        <v>10982.288680962287</v>
      </c>
      <c r="V13" s="101">
        <f t="shared" si="8"/>
        <v>11253.003029774394</v>
      </c>
      <c r="W13" s="233"/>
      <c r="X13" s="88"/>
    </row>
    <row r="14" spans="1:26" s="8" customFormat="1" ht="20.100000000000001" customHeight="1" x14ac:dyDescent="0.25">
      <c r="B14" s="89"/>
      <c r="C14" s="164" t="s">
        <v>26</v>
      </c>
      <c r="D14" s="160">
        <v>6000</v>
      </c>
      <c r="E14" s="117">
        <v>5411</v>
      </c>
      <c r="F14" s="117">
        <v>6000</v>
      </c>
      <c r="G14" s="118">
        <v>4524</v>
      </c>
      <c r="H14" s="119">
        <v>5000</v>
      </c>
      <c r="I14" s="217"/>
      <c r="J14" s="218"/>
      <c r="K14" s="218"/>
      <c r="L14" s="219"/>
      <c r="M14" s="100">
        <f>IFERROR(H14*(1+IF(LEN($L$15)&gt;0,$L15,$K15)),0)</f>
        <v>4777.2139610218337</v>
      </c>
      <c r="N14" s="101">
        <f>IFERROR(M14*(1+IF(LEN($L15)&gt;0,$L15,$K15)),0)</f>
        <v>4564.354645876384</v>
      </c>
      <c r="O14" s="101">
        <f t="shared" ref="O14:V14" si="9">IFERROR(N14*(1+IF(LEN($L15)&gt;0,$L15,$K15)),0)</f>
        <v>4360.9797474671059</v>
      </c>
      <c r="P14" s="101">
        <f t="shared" si="9"/>
        <v>4166.6666666666661</v>
      </c>
      <c r="Q14" s="101">
        <f t="shared" si="9"/>
        <v>3981.0116341848611</v>
      </c>
      <c r="R14" s="101">
        <f t="shared" si="9"/>
        <v>3803.6288715636529</v>
      </c>
      <c r="S14" s="101">
        <f t="shared" si="9"/>
        <v>3634.1497895559214</v>
      </c>
      <c r="T14" s="101">
        <f t="shared" si="9"/>
        <v>3472.2222222222217</v>
      </c>
      <c r="U14" s="101">
        <f t="shared" si="9"/>
        <v>3317.5096951540509</v>
      </c>
      <c r="V14" s="101">
        <f t="shared" si="9"/>
        <v>3169.6907263030439</v>
      </c>
      <c r="W14" s="233"/>
      <c r="X14" s="88"/>
    </row>
    <row r="15" spans="1:26" s="8" customFormat="1" ht="20.100000000000001" customHeight="1" x14ac:dyDescent="0.25">
      <c r="B15" s="89"/>
      <c r="C15" s="163" t="s">
        <v>27</v>
      </c>
      <c r="D15" s="159"/>
      <c r="E15" s="112">
        <f t="shared" ref="E15:H15" si="10">IFERROR(E14/D14-1,0)</f>
        <v>-9.8166666666666624E-2</v>
      </c>
      <c r="F15" s="112">
        <f t="shared" si="10"/>
        <v>0.10885233783034565</v>
      </c>
      <c r="G15" s="113">
        <f t="shared" si="10"/>
        <v>-0.246</v>
      </c>
      <c r="H15" s="114">
        <f t="shared" si="10"/>
        <v>0.10521662245800179</v>
      </c>
      <c r="I15" s="115">
        <f>MIN(E15:H15)</f>
        <v>-0.246</v>
      </c>
      <c r="J15" s="116">
        <f>MAX(E15:H15)</f>
        <v>0.10885233783034565</v>
      </c>
      <c r="K15" s="116">
        <f t="array" ref="K15">IFERROR((H14/INDEX(D14:H14,1,MATCH(1,INDEX(1-ISBLANK(D14:H14),1,0),0)))^(1/(COUNTA(D14:H14)-1))-1,0)</f>
        <v>-4.4557207795633214E-2</v>
      </c>
      <c r="L15" s="94"/>
      <c r="M15" s="226"/>
      <c r="N15" s="227"/>
      <c r="O15" s="227"/>
      <c r="P15" s="227"/>
      <c r="Q15" s="227"/>
      <c r="R15" s="227"/>
      <c r="S15" s="227"/>
      <c r="T15" s="227"/>
      <c r="U15" s="227"/>
      <c r="V15" s="228"/>
      <c r="W15" s="233"/>
      <c r="X15" s="88"/>
    </row>
    <row r="16" spans="1:26" s="8" customFormat="1" ht="20.100000000000001" customHeight="1" x14ac:dyDescent="0.25">
      <c r="B16" s="89"/>
      <c r="C16" s="164" t="s">
        <v>78</v>
      </c>
      <c r="D16" s="160">
        <v>4000</v>
      </c>
      <c r="E16" s="117">
        <v>5000</v>
      </c>
      <c r="F16" s="117">
        <v>4000</v>
      </c>
      <c r="G16" s="118">
        <v>4524</v>
      </c>
      <c r="H16" s="119">
        <v>3000</v>
      </c>
      <c r="I16" s="211"/>
      <c r="J16" s="212"/>
      <c r="K16" s="212"/>
      <c r="L16" s="213"/>
      <c r="M16" s="100">
        <f>IFERROR(H16*(1+IF(LEN($L$17)&gt;0,$L17,$K17)),0)</f>
        <v>2791.8145773062988</v>
      </c>
      <c r="N16" s="101">
        <f>IFERROR(M16*(1+IF(LEN($L17)&gt;0,$L17,$K17)),0)</f>
        <v>2598.076211353316</v>
      </c>
      <c r="O16" s="101">
        <f t="shared" ref="O16:V16" si="11">IFERROR(N16*(1+IF(LEN($L17)&gt;0,$L17,$K17)),0)</f>
        <v>2417.7823466029695</v>
      </c>
      <c r="P16" s="101">
        <f t="shared" si="11"/>
        <v>2250</v>
      </c>
      <c r="Q16" s="101">
        <f t="shared" si="11"/>
        <v>2093.8609329797241</v>
      </c>
      <c r="R16" s="101">
        <f t="shared" si="11"/>
        <v>1948.5571585149869</v>
      </c>
      <c r="S16" s="101">
        <f t="shared" si="11"/>
        <v>1813.3367599522269</v>
      </c>
      <c r="T16" s="101">
        <f t="shared" si="11"/>
        <v>1687.4999999999998</v>
      </c>
      <c r="U16" s="101">
        <f t="shared" si="11"/>
        <v>1570.3956997347927</v>
      </c>
      <c r="V16" s="101">
        <f t="shared" si="11"/>
        <v>1461.4178688862398</v>
      </c>
      <c r="W16" s="233"/>
      <c r="X16" s="88"/>
    </row>
    <row r="17" spans="2:26" s="8" customFormat="1" ht="20.100000000000001" customHeight="1" x14ac:dyDescent="0.25">
      <c r="B17" s="89"/>
      <c r="C17" s="163" t="s">
        <v>71</v>
      </c>
      <c r="D17" s="159"/>
      <c r="E17" s="112">
        <f t="shared" ref="E17:H17" si="12">IFERROR(E16/D16-1,0)</f>
        <v>0.25</v>
      </c>
      <c r="F17" s="112">
        <f t="shared" si="12"/>
        <v>-0.19999999999999996</v>
      </c>
      <c r="G17" s="113">
        <f t="shared" si="12"/>
        <v>0.13100000000000001</v>
      </c>
      <c r="H17" s="114">
        <f t="shared" si="12"/>
        <v>-0.33687002652519893</v>
      </c>
      <c r="I17" s="115">
        <f>MIN(E17:H17)</f>
        <v>-0.33687002652519893</v>
      </c>
      <c r="J17" s="116">
        <f>MAX(E17:H17)</f>
        <v>0.25</v>
      </c>
      <c r="K17" s="116">
        <f t="array" ref="K17">IFERROR((H16/INDEX(D16:H16,1,MATCH(1,INDEX(1-ISBLANK(D16:H16),1,0),0)))^(1/(COUNTA(D16:H16)-1))-1,0)</f>
        <v>-6.9395140897900442E-2</v>
      </c>
      <c r="L17" s="94"/>
      <c r="M17" s="226"/>
      <c r="N17" s="227"/>
      <c r="O17" s="227"/>
      <c r="P17" s="227"/>
      <c r="Q17" s="227"/>
      <c r="R17" s="227"/>
      <c r="S17" s="227"/>
      <c r="T17" s="227"/>
      <c r="U17" s="227"/>
      <c r="V17" s="228"/>
      <c r="W17" s="233"/>
      <c r="X17" s="88"/>
    </row>
    <row r="18" spans="2:26" s="8" customFormat="1" ht="20.100000000000001" customHeight="1" x14ac:dyDescent="0.25">
      <c r="B18" s="89"/>
      <c r="C18" s="164" t="s">
        <v>28</v>
      </c>
      <c r="D18" s="160">
        <v>523</v>
      </c>
      <c r="E18" s="117">
        <v>768.15</v>
      </c>
      <c r="F18" s="117">
        <v>147.12</v>
      </c>
      <c r="G18" s="118">
        <v>589.29999999999995</v>
      </c>
      <c r="H18" s="119">
        <v>254.58</v>
      </c>
      <c r="I18" s="214"/>
      <c r="J18" s="215"/>
      <c r="K18" s="215"/>
      <c r="L18" s="216"/>
      <c r="M18" s="100">
        <f>IFERROR((M13-M16)*WACC!$D$9,0)</f>
        <v>1244.5410271899088</v>
      </c>
      <c r="N18" s="101">
        <f>IFERROR((N13-N16)*WACC!$D$9,0)</f>
        <v>1328.78957866004</v>
      </c>
      <c r="O18" s="101">
        <f>IFERROR((O13-O16)*WACC!$D$9,0)</f>
        <v>1411.3708066380307</v>
      </c>
      <c r="P18" s="101">
        <f>IFERROR((P13-P16)*WACC!$D$9,0)</f>
        <v>1492.4882170533836</v>
      </c>
      <c r="Q18" s="101">
        <f>IFERROR((Q13-Q16)*WACC!$D$9,0)</f>
        <v>1572.3323246976797</v>
      </c>
      <c r="R18" s="101">
        <f>IFERROR((R13-R16)*WACC!$D$9,0)</f>
        <v>1651.081528567222</v>
      </c>
      <c r="S18" s="101">
        <f>IFERROR((S13-S16)*WACC!$D$9,0)</f>
        <v>1728.9029232711775</v>
      </c>
      <c r="T18" s="101">
        <f>IFERROR((T13-T16)*WACC!$D$9,0)</f>
        <v>1805.9530507501004</v>
      </c>
      <c r="U18" s="101">
        <f>IFERROR((U13-U16)*WACC!$D$9,0)</f>
        <v>1882.378596245499</v>
      </c>
      <c r="V18" s="101">
        <f>IFERROR((V13-V16)*WACC!$D$9,0)</f>
        <v>1958.3170321776311</v>
      </c>
      <c r="W18" s="235"/>
      <c r="X18" s="88"/>
    </row>
    <row r="19" spans="2:26" s="8" customFormat="1" ht="20.100000000000001" customHeight="1" x14ac:dyDescent="0.25">
      <c r="B19" s="89"/>
      <c r="C19" s="164" t="s">
        <v>29</v>
      </c>
      <c r="D19" s="161">
        <f>IFERROR(D13-D18-D14,"")</f>
        <v>257</v>
      </c>
      <c r="E19" s="103">
        <f t="shared" ref="E19:H19" si="13">IFERROR(E13-E18-E14,"")</f>
        <v>3887.8500000000004</v>
      </c>
      <c r="F19" s="103">
        <f t="shared" si="13"/>
        <v>1152.8800000000001</v>
      </c>
      <c r="G19" s="104">
        <f t="shared" si="13"/>
        <v>227.69999999999982</v>
      </c>
      <c r="H19" s="120">
        <f t="shared" si="13"/>
        <v>1204.42</v>
      </c>
      <c r="I19" s="220"/>
      <c r="J19" s="221"/>
      <c r="K19" s="221"/>
      <c r="L19" s="222"/>
      <c r="M19" s="100">
        <f>IFERROR(M13-M18-M14,"")</f>
        <v>2992.7647250440996</v>
      </c>
      <c r="N19" s="101">
        <f t="shared" ref="N19:V19" si="14">IFERROR(N13-N18-N14,"")</f>
        <v>3348.8798801170915</v>
      </c>
      <c r="O19" s="101">
        <f t="shared" si="14"/>
        <v>3702.2858256879863</v>
      </c>
      <c r="P19" s="101">
        <f t="shared" si="14"/>
        <v>4053.2862015468672</v>
      </c>
      <c r="Q19" s="101">
        <f t="shared" si="14"/>
        <v>4402.1785975855819</v>
      </c>
      <c r="R19" s="101">
        <f t="shared" si="14"/>
        <v>4749.2544012202216</v>
      </c>
      <c r="S19" s="101">
        <f t="shared" si="14"/>
        <v>5094.798663481014</v>
      </c>
      <c r="T19" s="101">
        <f t="shared" si="14"/>
        <v>5439.0899807781798</v>
      </c>
      <c r="U19" s="101">
        <f t="shared" si="14"/>
        <v>5782.4003895627375</v>
      </c>
      <c r="V19" s="101">
        <f t="shared" si="14"/>
        <v>6124.9952712937193</v>
      </c>
      <c r="W19" s="102">
        <f>IFERROR(V19,"")</f>
        <v>6124.9952712937193</v>
      </c>
      <c r="X19" s="88"/>
    </row>
    <row r="20" spans="2:26" s="8" customFormat="1" ht="20.100000000000001" customHeight="1" x14ac:dyDescent="0.25">
      <c r="B20" s="89"/>
      <c r="C20" s="165" t="s">
        <v>52</v>
      </c>
      <c r="D20" s="230"/>
      <c r="E20" s="230"/>
      <c r="F20" s="230"/>
      <c r="G20" s="231"/>
      <c r="H20" s="121"/>
      <c r="I20" s="223"/>
      <c r="J20" s="224"/>
      <c r="K20" s="224"/>
      <c r="L20" s="225"/>
      <c r="M20" s="105">
        <f>IFERROR(M19/(1+WACC!$H$24)^(COLUMN()-COLUMN($L$19)),0)</f>
        <v>2690.342823310883</v>
      </c>
      <c r="N20" s="106">
        <f>IFERROR(N19/(1+WACC!$H$24)^(COLUMN()-COLUMN($L$19)),0)</f>
        <v>2706.2609237116767</v>
      </c>
      <c r="O20" s="106">
        <f>IFERROR(O19/(1+WACC!$H$24)^(COLUMN()-COLUMN($L$19)),0)</f>
        <v>2689.5219250932264</v>
      </c>
      <c r="P20" s="106">
        <f>IFERROR(P19/(1+WACC!$H$24)^(COLUMN()-COLUMN($L$19)),0)</f>
        <v>2646.9605164780205</v>
      </c>
      <c r="Q20" s="106">
        <f>IFERROR(Q19/(1+WACC!$H$24)^(COLUMN()-COLUMN($L$19)),0)</f>
        <v>2584.2998309492532</v>
      </c>
      <c r="R20" s="106">
        <f>IFERROR(R19/(1+WACC!$H$24)^(COLUMN()-COLUMN($L$19)),0)</f>
        <v>2506.3154035893017</v>
      </c>
      <c r="S20" s="106">
        <f>IFERROR(S19/(1+WACC!$H$24)^(COLUMN()-COLUMN($L$19)),0)</f>
        <v>2416.9761437853449</v>
      </c>
      <c r="T20" s="106">
        <f>IFERROR(T19/(1+WACC!$H$24)^(COLUMN()-COLUMN($L$19)),0)</f>
        <v>2319.5654399115506</v>
      </c>
      <c r="U20" s="106">
        <f>IFERROR(U19/(1+WACC!$H$24)^(COLUMN()-COLUMN($L$19)),0)</f>
        <v>2216.7851026406088</v>
      </c>
      <c r="V20" s="106">
        <f>IFERROR(V19/(1+WACC!$H$24)^(COLUMN()-COLUMN($L$19)),0)</f>
        <v>2110.84449428369</v>
      </c>
      <c r="W20" s="107">
        <f>IFERROR(W19/WACC!$H$24*(1/(1+WACC!$H$24)^10),0)</f>
        <v>18778.055768365262</v>
      </c>
      <c r="X20" s="88"/>
    </row>
    <row r="21" spans="2:26" s="8" customFormat="1" ht="8.1" customHeight="1" x14ac:dyDescent="0.25">
      <c r="B21" s="89"/>
      <c r="C21" s="90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8"/>
    </row>
    <row r="22" spans="2:26" s="8" customFormat="1" ht="20.100000000000001" customHeight="1" x14ac:dyDescent="0.25">
      <c r="B22" s="89"/>
      <c r="C22" s="122"/>
      <c r="D22" s="125" t="s">
        <v>34</v>
      </c>
      <c r="E22" s="126"/>
      <c r="F22" s="127"/>
      <c r="G22" s="126"/>
      <c r="H22" s="128"/>
      <c r="I22" s="125" t="s">
        <v>35</v>
      </c>
      <c r="J22" s="127"/>
      <c r="K22" s="127"/>
      <c r="L22" s="128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8"/>
    </row>
    <row r="23" spans="2:26" s="8" customFormat="1" ht="20.100000000000001" customHeight="1" x14ac:dyDescent="0.25">
      <c r="B23" s="89"/>
      <c r="C23" s="123" t="s">
        <v>53</v>
      </c>
      <c r="D23" s="145">
        <f>IFERROR(SUM(M20:V20),0)*Calc!L19</f>
        <v>24887.87260375356</v>
      </c>
      <c r="E23" s="145"/>
      <c r="F23" s="145"/>
      <c r="G23" s="145"/>
      <c r="H23" s="145"/>
      <c r="I23" s="146">
        <f>IFERROR(D23/D25,"-")</f>
        <v>0.56996091762117984</v>
      </c>
      <c r="J23" s="146"/>
      <c r="K23" s="146"/>
      <c r="L23" s="146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8"/>
    </row>
    <row r="24" spans="2:26" s="8" customFormat="1" ht="20.100000000000001" customHeight="1" x14ac:dyDescent="0.25">
      <c r="B24" s="89"/>
      <c r="C24" s="123" t="s">
        <v>36</v>
      </c>
      <c r="D24" s="145">
        <f>IFERROR(W20,0)*Calc!L19</f>
        <v>18778.055768365262</v>
      </c>
      <c r="E24" s="145"/>
      <c r="F24" s="145"/>
      <c r="G24" s="145"/>
      <c r="H24" s="145"/>
      <c r="I24" s="146">
        <f>IFERROR(D24/D25,"-")</f>
        <v>0.43003908237882005</v>
      </c>
      <c r="J24" s="146"/>
      <c r="K24" s="146"/>
      <c r="L24" s="146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8"/>
    </row>
    <row r="25" spans="2:26" s="8" customFormat="1" ht="20.100000000000001" customHeight="1" x14ac:dyDescent="0.25">
      <c r="B25" s="89"/>
      <c r="C25" s="124" t="s">
        <v>37</v>
      </c>
      <c r="D25" s="145">
        <f>IFERROR(D24+D23,0)</f>
        <v>43665.928372118826</v>
      </c>
      <c r="E25" s="145"/>
      <c r="F25" s="145"/>
      <c r="G25" s="145"/>
      <c r="H25" s="145"/>
      <c r="I25" s="236"/>
      <c r="J25" s="237"/>
      <c r="K25" s="237"/>
      <c r="L25" s="238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8"/>
    </row>
    <row r="26" spans="2:26" s="8" customFormat="1" ht="20.100000000000001" customHeight="1" x14ac:dyDescent="0.25">
      <c r="B26" s="89"/>
      <c r="C26" s="123" t="s">
        <v>38</v>
      </c>
      <c r="D26" s="145">
        <f>IF(LEN(WACC!H17)=0,0,WACC!H17)*Calc!L19</f>
        <v>45000</v>
      </c>
      <c r="E26" s="145"/>
      <c r="F26" s="145"/>
      <c r="G26" s="145"/>
      <c r="H26" s="145"/>
      <c r="I26" s="239"/>
      <c r="J26" s="240"/>
      <c r="K26" s="240"/>
      <c r="L26" s="241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8"/>
    </row>
    <row r="27" spans="2:26" s="8" customFormat="1" ht="20.100000000000001" customHeight="1" x14ac:dyDescent="0.25">
      <c r="B27" s="89"/>
      <c r="C27" s="123" t="s">
        <v>39</v>
      </c>
      <c r="D27" s="245">
        <v>15647</v>
      </c>
      <c r="E27" s="245"/>
      <c r="F27" s="245"/>
      <c r="G27" s="245"/>
      <c r="H27" s="245"/>
      <c r="I27" s="239"/>
      <c r="J27" s="240"/>
      <c r="K27" s="240"/>
      <c r="L27" s="241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8"/>
    </row>
    <row r="28" spans="2:26" s="8" customFormat="1" ht="20.100000000000001" customHeight="1" x14ac:dyDescent="0.25">
      <c r="B28" s="89"/>
      <c r="C28" s="124" t="s">
        <v>79</v>
      </c>
      <c r="D28" s="145">
        <f>IFERROR(D25-D26+D27,0)*Calc!L19</f>
        <v>14312.928372118826</v>
      </c>
      <c r="E28" s="145"/>
      <c r="F28" s="145"/>
      <c r="G28" s="145"/>
      <c r="H28" s="145"/>
      <c r="I28" s="239"/>
      <c r="J28" s="240"/>
      <c r="K28" s="240"/>
      <c r="L28" s="241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8"/>
    </row>
    <row r="29" spans="2:26" s="8" customFormat="1" ht="20.100000000000001" customHeight="1" x14ac:dyDescent="0.25">
      <c r="B29" s="89"/>
      <c r="C29" s="123" t="s">
        <v>40</v>
      </c>
      <c r="D29" s="245">
        <v>5214</v>
      </c>
      <c r="E29" s="245"/>
      <c r="F29" s="245"/>
      <c r="G29" s="245"/>
      <c r="H29" s="245"/>
      <c r="I29" s="239"/>
      <c r="J29" s="240"/>
      <c r="K29" s="240"/>
      <c r="L29" s="241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8"/>
    </row>
    <row r="30" spans="2:26" s="8" customFormat="1" ht="20.100000000000001" customHeight="1" x14ac:dyDescent="0.25">
      <c r="B30" s="89"/>
      <c r="C30" s="124" t="s">
        <v>41</v>
      </c>
      <c r="D30" s="145">
        <f>IFERROR(D28/D29,0)</f>
        <v>2.7450955834520188</v>
      </c>
      <c r="E30" s="145"/>
      <c r="F30" s="145"/>
      <c r="G30" s="145"/>
      <c r="H30" s="145"/>
      <c r="I30" s="242"/>
      <c r="J30" s="243"/>
      <c r="K30" s="243"/>
      <c r="L30" s="244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8"/>
    </row>
    <row r="31" spans="2:26" ht="8.1" customHeight="1" x14ac:dyDescent="0.25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6"/>
      <c r="Y31" s="8"/>
      <c r="Z31" s="8"/>
    </row>
    <row r="32" spans="2:26" ht="7.15" customHeight="1" x14ac:dyDescent="0.25"/>
    <row r="33" spans="2:24" s="11" customFormat="1" ht="22.9" customHeight="1" x14ac:dyDescent="0.25">
      <c r="B33" s="12"/>
      <c r="C33" s="12"/>
      <c r="D33" s="13"/>
      <c r="E33" s="14"/>
      <c r="F33" s="14"/>
      <c r="G33" s="14"/>
      <c r="H33" s="14"/>
      <c r="I33" s="14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</sheetData>
  <sheetProtection algorithmName="SHA-512" hashValue="FSDxrIoELROJSG1te3fxXYvLUUDgTNgKrVKJlS2KQ3e0wFI8j/9H3lE1+2ZLiImD9f0uQN5UZZpzU5YES8XMxw==" saltValue="QqIpvY9fIdAAwZ6UiD8YsQ==" spinCount="100000" sheet="1" objects="1" scenarios="1"/>
  <mergeCells count="2">
    <mergeCell ref="D27:H27"/>
    <mergeCell ref="D29:H29"/>
  </mergeCells>
  <dataValidations disablePrompts="1" count="1">
    <dataValidation type="decimal" allowBlank="1" showInputMessage="1" showErrorMessage="1" sqref="U21:W30 O21:O30 R21:R30" xr:uid="{00000000-0002-0000-0100-000000000000}">
      <formula1>0</formula1>
      <formula2>1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4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9" id="{00000000-000E-0000-0100-000004000000}">
            <xm:f>Calc!$L$19=0</xm:f>
            <x14:dxf>
              <numFmt numFmtId="165" formatCode=";;;"/>
            </x14:dxf>
          </x14:cfRule>
          <xm:sqref>I8:K17 D8:H8 D10:H10 D12:H13 D15:H15 D17:H17 D19:H19 M7:W20</xm:sqref>
        </x14:conditionalFormatting>
        <x14:conditionalFormatting xmlns:xm="http://schemas.microsoft.com/office/excel/2006/main">
          <x14:cfRule type="expression" priority="1" id="{B0CAF9AE-32E2-43ED-A304-B33422FF25EA}">
            <xm:f>Calc!F6=0</xm:f>
            <x14:dxf>
              <fill>
                <patternFill>
                  <bgColor rgb="FFFED9B7"/>
                </patternFill>
              </fill>
            </x14:dxf>
          </x14:cfRule>
          <xm:sqref>D7:H7 D9:H9 D11:H11 D14:H14 D16:H16 D18:H18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R34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0" customWidth="1"/>
    <col min="2" max="2" width="1.7109375" style="10" customWidth="1"/>
    <col min="3" max="3" width="31.140625" style="10" customWidth="1"/>
    <col min="4" max="7" width="9.7109375" style="10" customWidth="1"/>
    <col min="8" max="8" width="10.7109375" style="10" customWidth="1"/>
    <col min="9" max="10" width="10.28515625" style="10" customWidth="1"/>
    <col min="11" max="11" width="9.7109375" style="10" customWidth="1"/>
    <col min="12" max="12" width="12.28515625" style="10" customWidth="1"/>
    <col min="13" max="16" width="10.42578125" style="10" customWidth="1"/>
    <col min="17" max="18" width="1.7109375" style="10" customWidth="1"/>
    <col min="19" max="16384" width="8.85546875" style="10"/>
  </cols>
  <sheetData>
    <row r="1" spans="1:18" s="1" customFormat="1" ht="6.75" customHeight="1" x14ac:dyDescent="0.25">
      <c r="B1" s="2"/>
      <c r="E1" s="3"/>
      <c r="F1" s="3"/>
      <c r="G1" s="3"/>
      <c r="H1" s="3"/>
      <c r="I1" s="3"/>
    </row>
    <row r="2" spans="1:18" s="17" customFormat="1" ht="19.899999999999999" customHeight="1" x14ac:dyDescent="0.25">
      <c r="B2" s="35"/>
      <c r="C2" s="35" t="s">
        <v>59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5"/>
      <c r="O2" s="15"/>
      <c r="P2" s="18"/>
      <c r="Q2" s="18"/>
      <c r="R2" s="19"/>
    </row>
    <row r="3" spans="1:18" s="4" customFormat="1" ht="24" customHeight="1" x14ac:dyDescent="0.25">
      <c r="B3" s="36"/>
      <c r="C3" s="36" t="s">
        <v>42</v>
      </c>
      <c r="D3" s="5"/>
      <c r="E3" s="5"/>
      <c r="F3" s="5"/>
      <c r="G3" s="5"/>
      <c r="H3" s="5"/>
      <c r="I3" s="5"/>
      <c r="J3" s="5"/>
      <c r="K3" s="5"/>
      <c r="L3" s="5"/>
      <c r="M3" s="5"/>
      <c r="N3" s="16"/>
      <c r="O3" s="16"/>
      <c r="P3" s="5"/>
      <c r="Q3" s="5"/>
      <c r="R3" s="6"/>
    </row>
    <row r="4" spans="1:18" s="8" customFormat="1" ht="4.900000000000000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8" customFormat="1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8" customFormat="1" ht="9.9499999999999993" customHeight="1" x14ac:dyDescent="0.25">
      <c r="A6" s="7"/>
      <c r="B6" s="23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7"/>
    </row>
    <row r="7" spans="1:18" s="1" customFormat="1" ht="17.100000000000001" customHeight="1" x14ac:dyDescent="0.25">
      <c r="B7" s="28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29"/>
    </row>
    <row r="8" spans="1:18" s="8" customFormat="1" ht="17.100000000000001" customHeight="1" x14ac:dyDescent="0.25">
      <c r="B8" s="24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22"/>
    </row>
    <row r="9" spans="1:18" s="8" customFormat="1" ht="17.100000000000001" customHeight="1" x14ac:dyDescent="0.25">
      <c r="B9" s="24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22"/>
    </row>
    <row r="10" spans="1:18" s="8" customFormat="1" ht="17.100000000000001" customHeight="1" x14ac:dyDescent="0.25">
      <c r="B10" s="24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22"/>
    </row>
    <row r="11" spans="1:18" s="8" customFormat="1" ht="17.100000000000001" customHeight="1" x14ac:dyDescent="0.25">
      <c r="B11" s="24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22"/>
    </row>
    <row r="12" spans="1:18" s="8" customFormat="1" ht="17.100000000000001" customHeight="1" x14ac:dyDescent="0.25">
      <c r="B12" s="24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22"/>
    </row>
    <row r="13" spans="1:18" s="8" customFormat="1" ht="17.100000000000001" customHeight="1" x14ac:dyDescent="0.25">
      <c r="B13" s="24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22"/>
    </row>
    <row r="14" spans="1:18" s="8" customFormat="1" ht="17.100000000000001" customHeight="1" x14ac:dyDescent="0.25">
      <c r="B14" s="2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22"/>
    </row>
    <row r="15" spans="1:18" s="8" customFormat="1" ht="17.100000000000001" customHeight="1" x14ac:dyDescent="0.25">
      <c r="B15" s="24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22"/>
    </row>
    <row r="16" spans="1:18" s="8" customFormat="1" ht="17.100000000000001" customHeight="1" x14ac:dyDescent="0.25">
      <c r="B16" s="2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22"/>
    </row>
    <row r="17" spans="2:18" s="8" customFormat="1" ht="17.100000000000001" customHeight="1" x14ac:dyDescent="0.25">
      <c r="B17" s="24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22"/>
    </row>
    <row r="18" spans="2:18" s="8" customFormat="1" ht="17.100000000000001" customHeight="1" x14ac:dyDescent="0.25">
      <c r="B18" s="24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22"/>
    </row>
    <row r="19" spans="2:18" s="8" customFormat="1" ht="9.9499999999999993" customHeight="1" x14ac:dyDescent="0.25">
      <c r="B19" s="24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22"/>
    </row>
    <row r="20" spans="2:18" s="8" customFormat="1" ht="17.100000000000001" customHeight="1" x14ac:dyDescent="0.25">
      <c r="B20" s="24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22"/>
    </row>
    <row r="21" spans="2:18" s="8" customFormat="1" ht="17.100000000000001" customHeight="1" x14ac:dyDescent="0.25">
      <c r="B21" s="24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22"/>
    </row>
    <row r="22" spans="2:18" s="8" customFormat="1" ht="17.100000000000001" customHeight="1" x14ac:dyDescent="0.25">
      <c r="B22" s="24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22"/>
    </row>
    <row r="23" spans="2:18" s="8" customFormat="1" ht="17.100000000000001" customHeight="1" x14ac:dyDescent="0.25">
      <c r="B23" s="24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22"/>
    </row>
    <row r="24" spans="2:18" s="8" customFormat="1" ht="17.100000000000001" customHeight="1" x14ac:dyDescent="0.25">
      <c r="B24" s="24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22"/>
    </row>
    <row r="25" spans="2:18" s="8" customFormat="1" ht="17.100000000000001" customHeight="1" x14ac:dyDescent="0.25">
      <c r="B25" s="24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22"/>
    </row>
    <row r="26" spans="2:18" s="8" customFormat="1" ht="17.100000000000001" customHeight="1" x14ac:dyDescent="0.25">
      <c r="B26" s="24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22"/>
    </row>
    <row r="27" spans="2:18" s="8" customFormat="1" ht="17.100000000000001" customHeight="1" x14ac:dyDescent="0.25">
      <c r="B27" s="24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22"/>
    </row>
    <row r="28" spans="2:18" s="8" customFormat="1" ht="17.100000000000001" customHeight="1" x14ac:dyDescent="0.25">
      <c r="B28" s="24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22"/>
    </row>
    <row r="29" spans="2:18" s="8" customFormat="1" ht="17.100000000000001" customHeight="1" x14ac:dyDescent="0.25">
      <c r="B29" s="24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22"/>
    </row>
    <row r="30" spans="2:18" s="8" customFormat="1" ht="17.100000000000001" customHeight="1" x14ac:dyDescent="0.25">
      <c r="B30" s="24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22"/>
    </row>
    <row r="31" spans="2:18" s="8" customFormat="1" ht="17.100000000000001" customHeight="1" x14ac:dyDescent="0.25">
      <c r="B31" s="24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22"/>
    </row>
    <row r="32" spans="2:18" ht="9.9499999999999993" customHeight="1" x14ac:dyDescent="0.25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7"/>
      <c r="R32" s="8"/>
    </row>
    <row r="33" spans="2:17" ht="7.15" customHeight="1" x14ac:dyDescent="0.25"/>
    <row r="34" spans="2:17" s="11" customFormat="1" ht="22.9" customHeight="1" x14ac:dyDescent="0.25">
      <c r="B34" s="12"/>
      <c r="C34" s="12"/>
      <c r="D34" s="13"/>
      <c r="E34" s="14"/>
      <c r="F34" s="14"/>
      <c r="G34" s="14"/>
      <c r="H34" s="14"/>
      <c r="I34" s="14"/>
      <c r="J34" s="12"/>
      <c r="K34" s="12"/>
      <c r="L34" s="12"/>
      <c r="M34" s="12"/>
      <c r="N34" s="12"/>
      <c r="O34" s="12"/>
      <c r="P34" s="12"/>
      <c r="Q34" s="12"/>
    </row>
  </sheetData>
  <sheetProtection algorithmName="SHA-512" hashValue="yNfk2vQn1oPc1/6v+U6mwckY9RShx5E8lBVXB7JI7J5seIDD9uXYrTn6g1LsMF4FgfUfnrnnb9QV9hzWWBbOVQ==" saltValue="e9B5VzJCIPHnorChFBfQ/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7725-AB77-4DA5-BD20-6EBAFE39AD0C}">
  <dimension ref="C3:Q21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2" width="9.140625" style="39"/>
    <col min="3" max="3" width="36.140625" style="39" customWidth="1"/>
    <col min="4" max="5" width="9.140625" style="39"/>
    <col min="6" max="12" width="12.7109375" style="39" customWidth="1"/>
    <col min="13" max="15" width="9.140625" style="39"/>
    <col min="16" max="16" width="3.7109375" style="39" customWidth="1"/>
    <col min="17" max="17" width="14.42578125" style="39" customWidth="1"/>
    <col min="18" max="16384" width="9.140625" style="39"/>
  </cols>
  <sheetData>
    <row r="3" spans="3:17" x14ac:dyDescent="0.25">
      <c r="C3" s="132" t="s">
        <v>65</v>
      </c>
      <c r="D3" s="132"/>
      <c r="F3" s="132" t="s">
        <v>70</v>
      </c>
      <c r="G3" s="132"/>
      <c r="H3" s="132"/>
      <c r="I3" s="132"/>
      <c r="J3" s="132"/>
      <c r="K3" s="132"/>
      <c r="L3" s="132"/>
      <c r="N3" s="132" t="s">
        <v>72</v>
      </c>
      <c r="O3" s="132"/>
      <c r="P3" s="132"/>
      <c r="Q3" s="132"/>
    </row>
    <row r="5" spans="3:17" ht="15" customHeight="1" x14ac:dyDescent="0.25">
      <c r="C5" s="135" t="s">
        <v>0</v>
      </c>
      <c r="D5" s="41">
        <f>IF(WACC!D8="CAPM",1,0)</f>
        <v>1</v>
      </c>
      <c r="F5" s="133" t="str">
        <f ca="1">CashFlow!D6</f>
        <v>2018 Actuals</v>
      </c>
      <c r="G5" s="133" t="str">
        <f ca="1">CashFlow!E6</f>
        <v>2019 Actuals</v>
      </c>
      <c r="H5" s="133" t="str">
        <f ca="1">CashFlow!F6</f>
        <v>2020 Actuals</v>
      </c>
      <c r="I5" s="133" t="str">
        <f ca="1">CashFlow!G6</f>
        <v>2021 Actuals</v>
      </c>
      <c r="J5" s="133" t="str">
        <f ca="1">CashFlow!H6</f>
        <v>2022 Forecast</v>
      </c>
      <c r="K5" s="133" t="s">
        <v>73</v>
      </c>
      <c r="L5" s="134" t="s">
        <v>31</v>
      </c>
      <c r="N5" s="149" t="s">
        <v>74</v>
      </c>
      <c r="O5" s="149" t="s">
        <v>75</v>
      </c>
      <c r="Q5" s="149" t="s">
        <v>76</v>
      </c>
    </row>
    <row r="6" spans="3:17" ht="15" customHeight="1" x14ac:dyDescent="0.25">
      <c r="C6" s="42" t="s">
        <v>66</v>
      </c>
      <c r="D6" s="43"/>
      <c r="F6" s="41">
        <f>IF(LEN(CashFlow!D7)&gt;0,1,0)</f>
        <v>1</v>
      </c>
      <c r="G6" s="41">
        <f>IF(LEN(CashFlow!E7)&gt;0,1,0)</f>
        <v>1</v>
      </c>
      <c r="H6" s="41">
        <f>IF(LEN(CashFlow!F7)&gt;0,1,0)</f>
        <v>1</v>
      </c>
      <c r="I6" s="41">
        <f>IF(LEN(CashFlow!G7)&gt;0,1,0)</f>
        <v>1</v>
      </c>
      <c r="J6" s="41">
        <f>IF(LEN(CashFlow!H7)&gt;0,1,0)</f>
        <v>1</v>
      </c>
      <c r="K6" s="41">
        <f>IF(PRODUCT(H6:J6)=0,0,1)</f>
        <v>1</v>
      </c>
      <c r="L6" s="41">
        <f>IF(AND(F6&gt;0,G6=0),0,1)</f>
        <v>1</v>
      </c>
      <c r="N6" s="38">
        <v>-4</v>
      </c>
      <c r="O6" s="148">
        <f ca="1">IFERROR(YEAR(TODAY())+N6,"")</f>
        <v>2018</v>
      </c>
      <c r="Q6" s="150" t="s">
        <v>43</v>
      </c>
    </row>
    <row r="7" spans="3:17" ht="15" customHeight="1" x14ac:dyDescent="0.25">
      <c r="F7" s="139"/>
      <c r="G7" s="140"/>
      <c r="H7" s="140"/>
      <c r="I7" s="140"/>
      <c r="J7" s="140"/>
      <c r="K7" s="140"/>
      <c r="L7" s="141"/>
      <c r="N7" s="38">
        <v>-3</v>
      </c>
      <c r="O7" s="148">
        <f t="shared" ref="O7:O20" ca="1" si="0">IFERROR(YEAR(TODAY())+N7,"")</f>
        <v>2019</v>
      </c>
      <c r="Q7" s="150" t="s">
        <v>44</v>
      </c>
    </row>
    <row r="8" spans="3:17" ht="15" customHeight="1" x14ac:dyDescent="0.25">
      <c r="C8" s="136" t="s">
        <v>69</v>
      </c>
      <c r="D8" s="137"/>
      <c r="F8" s="41">
        <f>IF(LEN(CashFlow!D9)&gt;0,1,0)</f>
        <v>1</v>
      </c>
      <c r="G8" s="41">
        <f>IF(LEN(CashFlow!E9)&gt;0,1,0)</f>
        <v>1</v>
      </c>
      <c r="H8" s="41">
        <f>IF(LEN(CashFlow!F9)&gt;0,1,0)</f>
        <v>1</v>
      </c>
      <c r="I8" s="41">
        <f>IF(LEN(CashFlow!G9)&gt;0,1,0)</f>
        <v>1</v>
      </c>
      <c r="J8" s="41">
        <f>IF(LEN(CashFlow!H9)&gt;0,1,0)</f>
        <v>1</v>
      </c>
      <c r="K8" s="41">
        <f>IF(PRODUCT(H8:J8)=0,0,1)</f>
        <v>1</v>
      </c>
      <c r="L8" s="41">
        <f>IF(AND(F8&gt;0,G8=0),0,1)</f>
        <v>1</v>
      </c>
      <c r="N8" s="38">
        <v>-2</v>
      </c>
      <c r="O8" s="148">
        <f t="shared" ca="1" si="0"/>
        <v>2020</v>
      </c>
      <c r="Q8" s="150" t="s">
        <v>45</v>
      </c>
    </row>
    <row r="9" spans="3:17" ht="15" customHeight="1" x14ac:dyDescent="0.25">
      <c r="C9" s="69" t="s">
        <v>48</v>
      </c>
      <c r="D9" s="40">
        <f>IFERROR(IF(AND($D$5=1,LEN(WACC!$I$8)=0),1,0),"")</f>
        <v>0</v>
      </c>
      <c r="F9" s="139"/>
      <c r="G9" s="140"/>
      <c r="H9" s="140"/>
      <c r="I9" s="140"/>
      <c r="J9" s="140"/>
      <c r="K9" s="140"/>
      <c r="L9" s="141"/>
      <c r="N9" s="38">
        <v>-1</v>
      </c>
      <c r="O9" s="148">
        <f t="shared" ca="1" si="0"/>
        <v>2021</v>
      </c>
    </row>
    <row r="10" spans="3:17" ht="15" customHeight="1" x14ac:dyDescent="0.25">
      <c r="C10" s="69" t="s">
        <v>49</v>
      </c>
      <c r="D10" s="40">
        <f>IFERROR(IF(AND($D$5=1,LEN(WACC!$I$9)=0),1,0),"")</f>
        <v>0</v>
      </c>
      <c r="F10" s="41">
        <f>IF(LEN(CashFlow!D11)&gt;0,1,0)</f>
        <v>1</v>
      </c>
      <c r="G10" s="41">
        <f>IF(LEN(CashFlow!E11)&gt;0,1,0)</f>
        <v>1</v>
      </c>
      <c r="H10" s="41">
        <f>IF(LEN(CashFlow!F11)&gt;0,1,0)</f>
        <v>1</v>
      </c>
      <c r="I10" s="41">
        <f>IF(LEN(CashFlow!G11)&gt;0,1,0)</f>
        <v>1</v>
      </c>
      <c r="J10" s="41">
        <f>IF(LEN(CashFlow!H11)&gt;0,1,0)</f>
        <v>1</v>
      </c>
      <c r="K10" s="41">
        <f>IF(PRODUCT(H10:J10)=0,0,1)</f>
        <v>1</v>
      </c>
      <c r="L10" s="41">
        <f>IF(AND(F10&gt;0,G10=0),0,1)</f>
        <v>1</v>
      </c>
      <c r="N10" s="38">
        <v>0</v>
      </c>
      <c r="O10" s="148">
        <f t="shared" ca="1" si="0"/>
        <v>2022</v>
      </c>
    </row>
    <row r="11" spans="3:17" ht="15" customHeight="1" x14ac:dyDescent="0.25">
      <c r="C11" s="69" t="s">
        <v>50</v>
      </c>
      <c r="D11" s="40">
        <f>IFERROR(IF(AND($D$5=1,LEN(WACC!$L$8)=0),1,0),"")</f>
        <v>0</v>
      </c>
      <c r="F11" s="139"/>
      <c r="G11" s="140"/>
      <c r="H11" s="140"/>
      <c r="I11" s="140"/>
      <c r="J11" s="140"/>
      <c r="K11" s="140"/>
      <c r="L11" s="141"/>
      <c r="N11" s="38">
        <v>1</v>
      </c>
      <c r="O11" s="148">
        <f t="shared" ca="1" si="0"/>
        <v>2023</v>
      </c>
    </row>
    <row r="12" spans="3:17" ht="15" customHeight="1" x14ac:dyDescent="0.25">
      <c r="F12" s="131"/>
      <c r="G12" s="129"/>
      <c r="H12" s="129"/>
      <c r="I12" s="129"/>
      <c r="J12" s="129"/>
      <c r="K12" s="129"/>
      <c r="L12" s="130"/>
      <c r="N12" s="38">
        <v>2</v>
      </c>
      <c r="O12" s="148">
        <f t="shared" ca="1" si="0"/>
        <v>2024</v>
      </c>
    </row>
    <row r="13" spans="3:17" ht="15" customHeight="1" x14ac:dyDescent="0.25">
      <c r="F13" s="41">
        <f>IF(LEN(CashFlow!D14)&gt;0,1,0)</f>
        <v>1</v>
      </c>
      <c r="G13" s="41">
        <f>IF(LEN(CashFlow!E14)&gt;0,1,0)</f>
        <v>1</v>
      </c>
      <c r="H13" s="41">
        <f>IF(LEN(CashFlow!F14)&gt;0,1,0)</f>
        <v>1</v>
      </c>
      <c r="I13" s="41">
        <f>IF(LEN(CashFlow!G14)&gt;0,1,0)</f>
        <v>1</v>
      </c>
      <c r="J13" s="41">
        <f>IF(LEN(CashFlow!H14)&gt;0,1,0)</f>
        <v>1</v>
      </c>
      <c r="K13" s="41">
        <f>IF(PRODUCT(H13:J13)=0,0,1)</f>
        <v>1</v>
      </c>
      <c r="L13" s="41">
        <f>IF(AND(F13&gt;0,G13=0),0,1)</f>
        <v>1</v>
      </c>
      <c r="N13" s="38">
        <v>3</v>
      </c>
      <c r="O13" s="148">
        <f t="shared" ca="1" si="0"/>
        <v>2025</v>
      </c>
    </row>
    <row r="14" spans="3:17" ht="15" customHeight="1" x14ac:dyDescent="0.25">
      <c r="F14" s="139"/>
      <c r="G14" s="140"/>
      <c r="H14" s="140"/>
      <c r="I14" s="140"/>
      <c r="J14" s="140"/>
      <c r="K14" s="140"/>
      <c r="L14" s="141"/>
      <c r="N14" s="38">
        <v>4</v>
      </c>
      <c r="O14" s="148">
        <f t="shared" ca="1" si="0"/>
        <v>2026</v>
      </c>
    </row>
    <row r="15" spans="3:17" ht="15" customHeight="1" x14ac:dyDescent="0.25">
      <c r="F15" s="41">
        <f>IF(LEN(CashFlow!D16)&gt;0,1,0)</f>
        <v>1</v>
      </c>
      <c r="G15" s="41">
        <f>IF(LEN(CashFlow!E16)&gt;0,1,0)</f>
        <v>1</v>
      </c>
      <c r="H15" s="41">
        <f>IF(LEN(CashFlow!F16)&gt;0,1,0)</f>
        <v>1</v>
      </c>
      <c r="I15" s="41">
        <f>IF(LEN(CashFlow!G16)&gt;0,1,0)</f>
        <v>1</v>
      </c>
      <c r="J15" s="41">
        <f>IF(LEN(CashFlow!H16)&gt;0,1,0)</f>
        <v>1</v>
      </c>
      <c r="K15" s="41">
        <f>IF(PRODUCT(H15:J15)=0,0,1)</f>
        <v>1</v>
      </c>
      <c r="L15" s="41">
        <f>IF(AND(F15&gt;0,G15=0),0,1)</f>
        <v>1</v>
      </c>
      <c r="N15" s="38">
        <v>5</v>
      </c>
      <c r="O15" s="148">
        <f t="shared" ca="1" si="0"/>
        <v>2027</v>
      </c>
    </row>
    <row r="16" spans="3:17" ht="15" customHeight="1" x14ac:dyDescent="0.25">
      <c r="F16" s="139"/>
      <c r="G16" s="140"/>
      <c r="H16" s="140"/>
      <c r="I16" s="140"/>
      <c r="J16" s="140"/>
      <c r="K16" s="140"/>
      <c r="L16" s="141"/>
      <c r="N16" s="38">
        <v>6</v>
      </c>
      <c r="O16" s="148">
        <f t="shared" ca="1" si="0"/>
        <v>2028</v>
      </c>
    </row>
    <row r="17" spans="6:15" ht="15" customHeight="1" x14ac:dyDescent="0.25">
      <c r="F17" s="41">
        <f>IF(LEN(CashFlow!D18)&gt;0,1,0)</f>
        <v>1</v>
      </c>
      <c r="G17" s="41">
        <f>IF(LEN(CashFlow!E18)&gt;0,1,0)</f>
        <v>1</v>
      </c>
      <c r="H17" s="41">
        <f>IF(LEN(CashFlow!F18)&gt;0,1,0)</f>
        <v>1</v>
      </c>
      <c r="I17" s="41">
        <f>IF(LEN(CashFlow!G18)&gt;0,1,0)</f>
        <v>1</v>
      </c>
      <c r="J17" s="41">
        <f>IF(LEN(CashFlow!H18)&gt;0,1,0)</f>
        <v>1</v>
      </c>
      <c r="K17" s="41">
        <f>IF(PRODUCT(H17:J17)=0,0,1)</f>
        <v>1</v>
      </c>
      <c r="L17" s="41">
        <f>IF(AND(F17&gt;0,G17=0),0,1)</f>
        <v>1</v>
      </c>
      <c r="N17" s="38">
        <v>7</v>
      </c>
      <c r="O17" s="148">
        <f t="shared" ca="1" si="0"/>
        <v>2029</v>
      </c>
    </row>
    <row r="18" spans="6:15" ht="15" customHeight="1" x14ac:dyDescent="0.25">
      <c r="F18" s="142"/>
      <c r="G18" s="143"/>
      <c r="H18" s="143"/>
      <c r="I18" s="143"/>
      <c r="J18" s="143"/>
      <c r="K18" s="143"/>
      <c r="L18" s="144"/>
      <c r="N18" s="38">
        <v>8</v>
      </c>
      <c r="O18" s="148">
        <f t="shared" ca="1" si="0"/>
        <v>2030</v>
      </c>
    </row>
    <row r="19" spans="6:15" ht="15" customHeight="1" x14ac:dyDescent="0.25">
      <c r="F19" s="147" t="s">
        <v>32</v>
      </c>
      <c r="G19" s="138"/>
      <c r="H19" s="138"/>
      <c r="I19" s="138"/>
      <c r="J19" s="138"/>
      <c r="K19" s="137"/>
      <c r="L19" s="41">
        <f>PRODUCT(K6:L17)</f>
        <v>1</v>
      </c>
      <c r="N19" s="38">
        <v>9</v>
      </c>
      <c r="O19" s="148">
        <f t="shared" ca="1" si="0"/>
        <v>2031</v>
      </c>
    </row>
    <row r="20" spans="6:15" ht="15" customHeight="1" x14ac:dyDescent="0.25">
      <c r="F20" s="42" t="s">
        <v>30</v>
      </c>
      <c r="G20" s="129"/>
      <c r="H20" s="129"/>
      <c r="I20" s="129"/>
      <c r="J20" s="129"/>
      <c r="K20" s="129"/>
      <c r="L20" s="130"/>
      <c r="N20" s="38">
        <v>10</v>
      </c>
      <c r="O20" s="148">
        <f t="shared" ca="1" si="0"/>
        <v>2032</v>
      </c>
    </row>
    <row r="21" spans="6:15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WACC</vt:lpstr>
      <vt:lpstr>CashFlow</vt:lpstr>
      <vt:lpstr>Charts</vt:lpstr>
      <vt:lpstr>Calc</vt:lpstr>
      <vt:lpstr>ToU</vt:lpstr>
      <vt:lpstr>CashFlow!Print_Area</vt:lpstr>
      <vt:lpstr>Charts!Print_Area</vt:lpstr>
      <vt:lpstr>ToU!Print_Area</vt:lpstr>
      <vt:lpstr>WACC!Print_Area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2022-04-25T12:42:06Z</cp:lastPrinted>
  <dcterms:created xsi:type="dcterms:W3CDTF">2018-11-13T14:01:04Z</dcterms:created>
  <dcterms:modified xsi:type="dcterms:W3CDTF">2022-05-11T06:15:29Z</dcterms:modified>
  <dc:title>Discounted Cash Flow V2 Template</dc:title>
  <dc:subject>Discounted Cash Flow V2</dc:subject>
  <dc:description>Discounted Cash Flow V2 template by Master Productivity Kit — masterproductivitykit.com</dc:description>
  <cp:keywords>Master Productivity Kit, Excel template, Google Sheets template</cp:keywords>
  <cp:category>Business Template</cp:category>
</cp:coreProperties>
</file>