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8DC006C3-1F6B-4979-9A28-876B38DBBEA7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  <sheet name="FinancialStatement" sheetId="13" r:id="rId2"/>
    <sheet name="Calc" sheetId="17" state="hidden" r:id="rId3"/>
  </sheets>
  <definedNames>
    <definedName name="cumBalance">OFFSET(Calc!$P$6,,,Calc!$AB$6)</definedName>
    <definedName name="datesStart">Calc!$AD$6</definedName>
    <definedName name="fixedCosts">OFFSET(Calc!$U$6,,,Calc!$AB$6)</definedName>
    <definedName name="investment">FinancialStatement!$H$6</definedName>
    <definedName name="periods">OFFSET(Calc!$O$6,,,Calc!$AB$6)</definedName>
    <definedName name="periodsCount">Calc!$AB$6</definedName>
    <definedName name="periodStart">Calc!$B$6</definedName>
    <definedName name="pieHeaders">OFFSET(Calc!$X$5,,,,Calc!$AB$7)</definedName>
    <definedName name="pieValues">OFFSET(Calc!$X$6,,,,Calc!$AB$7)</definedName>
    <definedName name="_xlnm.Print_Area" localSheetId="0">Dashboard!$B$2:$N$47</definedName>
    <definedName name="_xlnm.Print_Area" localSheetId="1">FinancialStatement!$B$5:$O$59</definedName>
    <definedName name="profitStart">Calc!$J$6</definedName>
    <definedName name="revenuesStart">FinancialStatement!$E$6</definedName>
    <definedName name="totalCost">OFFSET(Calc!$T$6,,,Calc!$AB$6)</definedName>
    <definedName name="variableCosts">OFFSET(Calc!$V$6,,,Calc!$AB$6)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13" l="1"/>
  <c r="F39" i="13"/>
  <c r="F38" i="13"/>
  <c r="F37" i="13"/>
  <c r="F36" i="13"/>
  <c r="F35" i="13"/>
  <c r="H6" i="17"/>
  <c r="C8" i="17"/>
  <c r="D8" i="17"/>
  <c r="E8" i="17"/>
  <c r="F8" i="17"/>
  <c r="G8" i="17"/>
  <c r="C9" i="17"/>
  <c r="D9" i="17"/>
  <c r="E9" i="17"/>
  <c r="F9" i="17"/>
  <c r="G9" i="17"/>
  <c r="C10" i="17"/>
  <c r="D10" i="17"/>
  <c r="E10" i="17"/>
  <c r="F10" i="17"/>
  <c r="G10" i="17"/>
  <c r="C11" i="17"/>
  <c r="D11" i="17"/>
  <c r="E11" i="17"/>
  <c r="F11" i="17"/>
  <c r="G11" i="17"/>
  <c r="C12" i="17"/>
  <c r="D12" i="17"/>
  <c r="E12" i="17"/>
  <c r="F12" i="17"/>
  <c r="G12" i="17"/>
  <c r="C13" i="17"/>
  <c r="D13" i="17"/>
  <c r="E13" i="17"/>
  <c r="F13" i="17"/>
  <c r="G13" i="17"/>
  <c r="C14" i="17"/>
  <c r="D14" i="17"/>
  <c r="E14" i="17"/>
  <c r="M14" i="17" s="1"/>
  <c r="O14" i="17" s="1"/>
  <c r="F14" i="17"/>
  <c r="G14" i="17"/>
  <c r="C15" i="17"/>
  <c r="D15" i="17"/>
  <c r="E15" i="17"/>
  <c r="F15" i="17"/>
  <c r="G15" i="17"/>
  <c r="D7" i="17"/>
  <c r="E7" i="17"/>
  <c r="F7" i="17"/>
  <c r="G7" i="17"/>
  <c r="C7" i="17"/>
  <c r="E14" i="13"/>
  <c r="E15" i="13"/>
  <c r="E7" i="13" l="1"/>
  <c r="E8" i="13"/>
  <c r="E9" i="13"/>
  <c r="E10" i="13"/>
  <c r="E11" i="13"/>
  <c r="E12" i="13"/>
  <c r="E13" i="13"/>
  <c r="I6" i="13"/>
  <c r="M16" i="1"/>
  <c r="E6" i="17"/>
  <c r="M6" i="17" l="1"/>
  <c r="I9" i="13"/>
  <c r="I14" i="13"/>
  <c r="I15" i="13"/>
  <c r="I7" i="13"/>
  <c r="I8" i="13"/>
  <c r="I10" i="13"/>
  <c r="I11" i="13"/>
  <c r="I12" i="13"/>
  <c r="I13" i="13"/>
  <c r="O6" i="17" l="1"/>
  <c r="R6" i="17"/>
  <c r="E59" i="13"/>
  <c r="U6" i="17"/>
  <c r="V6" i="17"/>
  <c r="AE6" i="17"/>
  <c r="AD6" i="17" s="1"/>
  <c r="C59" i="13"/>
  <c r="L6" i="13" l="1"/>
  <c r="I59" i="13"/>
  <c r="M10" i="1"/>
  <c r="M9" i="1"/>
  <c r="M14" i="1"/>
  <c r="M13" i="1"/>
  <c r="X6" i="17"/>
  <c r="AB7" i="17"/>
  <c r="O59" i="13"/>
  <c r="L59" i="13"/>
  <c r="AE7" i="17"/>
  <c r="AD7" i="17" s="1"/>
  <c r="AE15" i="17"/>
  <c r="AD15" i="17" s="1"/>
  <c r="AE14" i="17"/>
  <c r="AD14" i="17" s="1"/>
  <c r="AE13" i="17"/>
  <c r="AD13" i="17" s="1"/>
  <c r="AE12" i="17"/>
  <c r="AD12" i="17" s="1"/>
  <c r="AE11" i="17"/>
  <c r="AD11" i="17" s="1"/>
  <c r="AE10" i="17"/>
  <c r="AD10" i="17" s="1"/>
  <c r="AE9" i="17"/>
  <c r="AD9" i="17" s="1"/>
  <c r="AE8" i="17"/>
  <c r="AD8" i="17" s="1"/>
  <c r="L20" i="1"/>
  <c r="M8" i="1" l="1"/>
  <c r="M12" i="1"/>
  <c r="J7" i="13"/>
  <c r="I6" i="17"/>
  <c r="I15" i="17"/>
  <c r="I12" i="17"/>
  <c r="I9" i="17"/>
  <c r="I14" i="17"/>
  <c r="I11" i="17"/>
  <c r="I13" i="17"/>
  <c r="J12" i="13"/>
  <c r="K12" i="13" s="1"/>
  <c r="J14" i="13"/>
  <c r="K14" i="13" s="1"/>
  <c r="J8" i="13"/>
  <c r="K8" i="13" s="1"/>
  <c r="J15" i="13"/>
  <c r="K15" i="13" s="1"/>
  <c r="I10" i="17"/>
  <c r="I8" i="17"/>
  <c r="I7" i="17"/>
  <c r="J11" i="13"/>
  <c r="K11" i="13" s="1"/>
  <c r="J13" i="13"/>
  <c r="K13" i="13" s="1"/>
  <c r="J10" i="13"/>
  <c r="K10" i="13" s="1"/>
  <c r="J9" i="13"/>
  <c r="J6" i="13"/>
  <c r="K7" i="13" l="1"/>
  <c r="L7" i="13"/>
  <c r="L8" i="13" s="1"/>
  <c r="L9" i="13" s="1"/>
  <c r="L10" i="13" s="1"/>
  <c r="L11" i="13" s="1"/>
  <c r="L12" i="13" s="1"/>
  <c r="L13" i="13" s="1"/>
  <c r="L14" i="13" s="1"/>
  <c r="L15" i="13" s="1"/>
  <c r="L6" i="17"/>
  <c r="T6" i="17"/>
  <c r="M15" i="17"/>
  <c r="R15" i="17" s="1"/>
  <c r="M13" i="17"/>
  <c r="R13" i="17" s="1"/>
  <c r="M7" i="17"/>
  <c r="O7" i="17" s="1"/>
  <c r="J7" i="17"/>
  <c r="K7" i="17" s="1"/>
  <c r="V14" i="17"/>
  <c r="M11" i="17"/>
  <c r="O11" i="17" s="1"/>
  <c r="M9" i="17"/>
  <c r="U9" i="17" s="1"/>
  <c r="M10" i="17"/>
  <c r="U10" i="17" s="1"/>
  <c r="J6" i="17"/>
  <c r="K6" i="17" s="1"/>
  <c r="J8" i="17"/>
  <c r="J14" i="17"/>
  <c r="K14" i="17" s="1"/>
  <c r="J12" i="17"/>
  <c r="K12" i="17" s="1"/>
  <c r="J10" i="17"/>
  <c r="K10" i="17" s="1"/>
  <c r="M8" i="17"/>
  <c r="J9" i="17"/>
  <c r="M12" i="17"/>
  <c r="J13" i="17"/>
  <c r="K13" i="17" s="1"/>
  <c r="J11" i="17"/>
  <c r="J15" i="17"/>
  <c r="K15" i="17" s="1"/>
  <c r="K9" i="13"/>
  <c r="K6" i="13"/>
  <c r="P6" i="17" l="1"/>
  <c r="L7" i="17"/>
  <c r="L8" i="17" s="1"/>
  <c r="L9" i="17" s="1"/>
  <c r="L10" i="17" s="1"/>
  <c r="L11" i="17" s="1"/>
  <c r="L12" i="17" s="1"/>
  <c r="L13" i="17" s="1"/>
  <c r="L14" i="17" s="1"/>
  <c r="L15" i="17" s="1"/>
  <c r="S6" i="17"/>
  <c r="K11" i="17"/>
  <c r="M18" i="1"/>
  <c r="U14" i="17"/>
  <c r="K8" i="17"/>
  <c r="T14" i="17"/>
  <c r="O15" i="17"/>
  <c r="T15" i="17"/>
  <c r="V15" i="17"/>
  <c r="U15" i="17"/>
  <c r="R14" i="17"/>
  <c r="O13" i="17"/>
  <c r="O9" i="17"/>
  <c r="U13" i="17"/>
  <c r="V13" i="17"/>
  <c r="T13" i="17"/>
  <c r="V7" i="17"/>
  <c r="T7" i="17"/>
  <c r="R7" i="17"/>
  <c r="R9" i="17"/>
  <c r="V9" i="17"/>
  <c r="T9" i="17"/>
  <c r="U7" i="17"/>
  <c r="R10" i="17"/>
  <c r="U11" i="17"/>
  <c r="O10" i="17"/>
  <c r="R11" i="17"/>
  <c r="T10" i="17"/>
  <c r="T11" i="17"/>
  <c r="V10" i="17"/>
  <c r="V11" i="17"/>
  <c r="P7" i="17"/>
  <c r="T12" i="17"/>
  <c r="V12" i="17"/>
  <c r="U12" i="17"/>
  <c r="T8" i="17"/>
  <c r="V8" i="17"/>
  <c r="U8" i="17"/>
  <c r="R12" i="17"/>
  <c r="R8" i="17"/>
  <c r="O8" i="17"/>
  <c r="O12" i="17"/>
  <c r="K9" i="17"/>
  <c r="AF6" i="17" l="1"/>
  <c r="AB6" i="17"/>
  <c r="M24" i="1" s="1"/>
  <c r="Y6" i="17"/>
  <c r="Z6" i="17"/>
  <c r="S7" i="17"/>
  <c r="P8" i="17"/>
  <c r="M22" i="1" l="1"/>
  <c r="P9" i="17"/>
  <c r="S8" i="17"/>
  <c r="S9" i="17" l="1"/>
  <c r="S10" i="17" l="1"/>
  <c r="P10" i="17"/>
  <c r="P11" i="17" l="1"/>
  <c r="M20" i="1"/>
  <c r="S11" i="17"/>
  <c r="S12" i="17"/>
  <c r="S13" i="17" l="1"/>
  <c r="P12" i="17"/>
  <c r="P14" i="17" l="1"/>
  <c r="P13" i="17"/>
  <c r="S14" i="17" l="1"/>
  <c r="S15" i="17"/>
  <c r="P15" i="17" l="1"/>
</calcChain>
</file>

<file path=xl/sharedStrings.xml><?xml version="1.0" encoding="utf-8"?>
<sst xmlns="http://schemas.openxmlformats.org/spreadsheetml/2006/main" count="99" uniqueCount="71">
  <si>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</si>
  <si>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</si>
  <si>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</si>
  <si>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</si>
  <si>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</si>
  <si>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</si>
  <si>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</si>
  <si>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Revenues</t>
  </si>
  <si>
    <t>Net Profit</t>
  </si>
  <si>
    <t>Cumulative Balance</t>
  </si>
  <si>
    <t>Product 1</t>
  </si>
  <si>
    <t>Product 2</t>
  </si>
  <si>
    <t>Product 3</t>
  </si>
  <si>
    <t>Product 4</t>
  </si>
  <si>
    <t>Sales Price</t>
  </si>
  <si>
    <t>Net Value</t>
  </si>
  <si>
    <t>USD</t>
  </si>
  <si>
    <t>Total Cost</t>
  </si>
  <si>
    <t>Acquiring facility</t>
  </si>
  <si>
    <t>Inventory</t>
  </si>
  <si>
    <t>Storage hardware</t>
  </si>
  <si>
    <t>Store equipment</t>
  </si>
  <si>
    <t>Software</t>
  </si>
  <si>
    <t>Cash required</t>
  </si>
  <si>
    <t>Unit Price (Weighted Average)</t>
  </si>
  <si>
    <t>Salaries</t>
  </si>
  <si>
    <t>Rent</t>
  </si>
  <si>
    <t>Electricity</t>
  </si>
  <si>
    <t>Gas</t>
  </si>
  <si>
    <t>Raw Materials</t>
  </si>
  <si>
    <t>Machinery Oil</t>
  </si>
  <si>
    <t>Commissions</t>
  </si>
  <si>
    <t>REVENUES</t>
  </si>
  <si>
    <t>Active</t>
  </si>
  <si>
    <t>Periods</t>
  </si>
  <si>
    <t>INTERNAL RATE OF RETURN (of Project)</t>
  </si>
  <si>
    <t>NET PRESENT VALUE (of Project)</t>
  </si>
  <si>
    <t>Initial Investment</t>
  </si>
  <si>
    <t>INITIAL INVESTMENT</t>
  </si>
  <si>
    <t>FINANCIAL STATEMENTS</t>
  </si>
  <si>
    <t>Dates for IRR Calculation</t>
  </si>
  <si>
    <t>Period Counter</t>
  </si>
  <si>
    <t>Dynamic Month Mover</t>
  </si>
  <si>
    <t xml:space="preserve">Initial Investment </t>
  </si>
  <si>
    <t>COGS</t>
  </si>
  <si>
    <t>Variable Costs</t>
  </si>
  <si>
    <t>Fixed Costs</t>
  </si>
  <si>
    <t>TERMS OF USE</t>
  </si>
  <si>
    <t>END USER LICENSE AGREEMENT</t>
  </si>
  <si>
    <t>Period:</t>
  </si>
  <si>
    <t>Unit Price (Avg.)</t>
  </si>
  <si>
    <r>
      <t xml:space="preserve">Unit Price 
</t>
    </r>
    <r>
      <rPr>
        <sz val="11"/>
        <color theme="0"/>
        <rFont val="Arial"/>
        <family val="2"/>
        <charset val="162"/>
        <scheme val="minor"/>
      </rPr>
      <t>(Avg.)</t>
    </r>
  </si>
  <si>
    <r>
      <t xml:space="preserve">Net Profit 
</t>
    </r>
    <r>
      <rPr>
        <sz val="11"/>
        <color theme="0"/>
        <rFont val="Arial"/>
        <family val="2"/>
        <charset val="162"/>
        <scheme val="minor"/>
      </rPr>
      <t>(per unit)</t>
    </r>
  </si>
  <si>
    <t>Office furniture</t>
  </si>
  <si>
    <t>Remodeling</t>
  </si>
  <si>
    <t>Water</t>
  </si>
  <si>
    <t>Sales Qty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</si>
  <si>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</si>
  <si>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BREAK EVEN ANALYSIS TEMPLATE</t>
  </si>
  <si>
    <t>Row Count</t>
  </si>
  <si>
    <r>
      <t xml:space="preserve">Monthly Sales </t>
    </r>
    <r>
      <rPr>
        <sz val="11"/>
        <color theme="0"/>
        <rFont val="Arial"/>
        <family val="2"/>
        <charset val="162"/>
        <scheme val="minor"/>
      </rPr>
      <t>(Qty.)</t>
    </r>
  </si>
  <si>
    <t>VALUE CALCULATORS</t>
  </si>
  <si>
    <t>Product Name</t>
  </si>
  <si>
    <t>Total Sales (Qty)</t>
  </si>
  <si>
    <t>Discount Rate (Annual)</t>
  </si>
  <si>
    <t>Total Variable Cost</t>
  </si>
  <si>
    <t>Total Fixed Cost</t>
  </si>
  <si>
    <t>Total Initial Investment</t>
  </si>
  <si>
    <t>TOTAL COST</t>
  </si>
  <si>
    <t>NET PROFIT (LOSS)</t>
  </si>
  <si>
    <t>Monthly Production (Units)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</si>
</sst>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;[Red]#,##0.00"/>
    <numFmt numFmtId="165" formatCode="#,##0;[Red]#,##0"/>
    <numFmt numFmtId="166" formatCode="#,##0.0"/>
  </numFmts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i/>
      <sz val="11"/>
      <color rgb="FF1F4E78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1"/>
      <name val="Arial"/>
      <family val="2"/>
      <scheme val="minor"/>
    </font>
    <font>
      <b/>
      <i/>
      <sz val="11"/>
      <color rgb="FF1F4E78"/>
      <name val="Arial"/>
      <family val="2"/>
      <scheme val="minor"/>
    </font>
    <font>
      <i/>
      <sz val="11"/>
      <color rgb="FF1F4E78"/>
      <name val="Arial"/>
      <family val="2"/>
      <scheme val="minor"/>
    </font>
    <font>
      <i/>
      <sz val="11"/>
      <color rgb="FFF2F2F2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theme="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theme="4"/>
      </patternFill>
    </fill>
    <fill>
      <patternFill patternType="solid">
        <fgColor rgb="FFFFC000"/>
        <bgColor theme="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theme="4"/>
      </patternFill>
    </fill>
    <fill>
      <patternFill patternType="solid">
        <fgColor rgb="FFF2F2F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201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10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0" fontId="19" fillId="2" borderId="0" xfId="1" applyFont="1" applyFill="1" applyAlignment="1">
      <alignment vertical="center"/>
    </xf>
    <xf numFmtId="0" fontId="19" fillId="0" borderId="2" xfId="0" applyFont="1" applyBorder="1"/>
    <xf numFmtId="0" fontId="0" fillId="2" borderId="2" xfId="0" applyFill="1" applyBorder="1"/>
    <xf numFmtId="0" fontId="0" fillId="2" borderId="0" xfId="0" applyFill="1"/>
    <xf numFmtId="0" fontId="0" fillId="2" borderId="4" xfId="0" applyFill="1" applyBorder="1" applyAlignment="1">
      <alignment horizontal="left" indent="1"/>
    </xf>
    <xf numFmtId="9" fontId="6" fillId="2" borderId="0" xfId="0" applyNumberFormat="1" applyFont="1" applyFill="1"/>
    <xf numFmtId="0" fontId="0" fillId="0" borderId="4" xfId="0" applyBorder="1" applyProtection="1">
      <protection locked="0"/>
    </xf>
    <xf numFmtId="0" fontId="20" fillId="8" borderId="10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left" indent="1"/>
    </xf>
    <xf numFmtId="0" fontId="12" fillId="2" borderId="13" xfId="0" applyFont="1" applyFill="1" applyBorder="1"/>
    <xf numFmtId="0" fontId="12" fillId="2" borderId="17" xfId="0" applyFont="1" applyFill="1" applyBorder="1"/>
    <xf numFmtId="0" fontId="0" fillId="0" borderId="5" xfId="0" applyBorder="1" applyAlignment="1" applyProtection="1">
      <alignment horizontal="right"/>
      <protection locked="0"/>
    </xf>
    <xf numFmtId="0" fontId="12" fillId="2" borderId="4" xfId="0" applyFont="1" applyFill="1" applyBorder="1"/>
    <xf numFmtId="0" fontId="20" fillId="8" borderId="3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 indent="2"/>
    </xf>
    <xf numFmtId="0" fontId="22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indent="2"/>
    </xf>
    <xf numFmtId="0" fontId="2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1" fillId="0" borderId="20" xfId="6" applyBorder="1" applyAlignment="1">
      <alignment horizontal="left" wrapText="1" indent="1"/>
    </xf>
    <xf numFmtId="0" fontId="1" fillId="2" borderId="0" xfId="6" applyFill="1"/>
    <xf numFmtId="0" fontId="1" fillId="0" borderId="19" xfId="6" applyBorder="1" applyAlignment="1">
      <alignment horizontal="left" indent="1"/>
    </xf>
    <xf numFmtId="0" fontId="1" fillId="0" borderId="19" xfId="6" applyBorder="1" applyAlignment="1">
      <alignment horizontal="left" vertical="center" wrapText="1" indent="1"/>
    </xf>
    <xf numFmtId="0" fontId="1" fillId="0" borderId="19" xfId="6" applyBorder="1" applyAlignment="1">
      <alignment horizontal="left" vertical="top" wrapText="1" indent="2"/>
    </xf>
    <xf numFmtId="0" fontId="12" fillId="0" borderId="19" xfId="6" applyFont="1" applyBorder="1" applyAlignment="1">
      <alignment horizontal="left" indent="1"/>
    </xf>
    <xf numFmtId="0" fontId="1" fillId="0" borderId="21" xfId="6" applyBorder="1" applyAlignment="1">
      <alignment horizontal="left" indent="1"/>
    </xf>
    <xf numFmtId="0" fontId="22" fillId="4" borderId="0" xfId="0" applyFont="1" applyFill="1" applyAlignment="1">
      <alignment horizontal="right" vertical="center"/>
    </xf>
    <xf numFmtId="0" fontId="23" fillId="6" borderId="0" xfId="0" applyFont="1" applyFill="1" applyAlignment="1">
      <alignment horizontal="right" vertical="center"/>
    </xf>
    <xf numFmtId="0" fontId="14" fillId="2" borderId="0" xfId="4" applyFont="1" applyFill="1" applyAlignment="1">
      <alignment vertical="center"/>
    </xf>
    <xf numFmtId="0" fontId="15" fillId="2" borderId="0" xfId="4" applyFont="1" applyFill="1" applyAlignment="1">
      <alignment vertical="center"/>
    </xf>
    <xf numFmtId="0" fontId="16" fillId="2" borderId="0" xfId="4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1" applyAlignment="1">
      <alignment vertical="center"/>
    </xf>
    <xf numFmtId="0" fontId="6" fillId="0" borderId="0" xfId="0" applyFont="1"/>
    <xf numFmtId="0" fontId="21" fillId="2" borderId="0" xfId="0" applyFont="1" applyFill="1" applyAlignment="1">
      <alignment horizontal="left" vertical="center" indent="5"/>
    </xf>
    <xf numFmtId="49" fontId="11" fillId="3" borderId="0" xfId="0" applyNumberFormat="1" applyFont="1" applyFill="1" applyAlignment="1">
      <alignment horizontal="left" vertical="center" indent="6"/>
    </xf>
    <xf numFmtId="0" fontId="7" fillId="2" borderId="0" xfId="0" applyFont="1" applyFill="1" applyAlignment="1">
      <alignment horizontal="left" vertical="center" indent="5"/>
    </xf>
    <xf numFmtId="49" fontId="8" fillId="5" borderId="0" xfId="0" applyNumberFormat="1" applyFont="1" applyFill="1" applyAlignment="1">
      <alignment horizontal="left" vertical="center" indent="6"/>
    </xf>
    <xf numFmtId="0" fontId="20" fillId="11" borderId="9" xfId="0" applyFont="1" applyFill="1" applyBorder="1" applyAlignment="1">
      <alignment horizontal="center" vertical="center" shrinkToFit="1"/>
    </xf>
    <xf numFmtId="0" fontId="20" fillId="8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0" fillId="12" borderId="11" xfId="0" applyFont="1" applyFill="1" applyBorder="1" applyAlignment="1" applyProtection="1">
      <alignment horizontal="center" vertical="center" shrinkToFit="1"/>
      <protection locked="0"/>
    </xf>
    <xf numFmtId="166" fontId="26" fillId="13" borderId="3" xfId="0" applyNumberFormat="1" applyFont="1" applyFill="1" applyBorder="1" applyAlignment="1" applyProtection="1">
      <alignment horizontal="center" vertical="center"/>
      <protection hidden="1"/>
    </xf>
    <xf numFmtId="166" fontId="26" fillId="13" borderId="5" xfId="0" applyNumberFormat="1" applyFont="1" applyFill="1" applyBorder="1" applyAlignment="1" applyProtection="1">
      <alignment horizontal="center" vertical="center"/>
      <protection hidden="1"/>
    </xf>
    <xf numFmtId="165" fontId="2" fillId="0" borderId="23" xfId="0" applyNumberFormat="1" applyFont="1" applyBorder="1" applyAlignment="1" applyProtection="1">
      <alignment horizontal="center" vertical="center"/>
      <protection locked="0"/>
    </xf>
    <xf numFmtId="165" fontId="2" fillId="0" borderId="25" xfId="0" applyNumberFormat="1" applyFont="1" applyBorder="1" applyAlignment="1" applyProtection="1">
      <alignment horizontal="center" vertical="center"/>
      <protection locked="0"/>
    </xf>
    <xf numFmtId="164" fontId="2" fillId="0" borderId="26" xfId="0" applyNumberFormat="1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Border="1" applyAlignment="1" applyProtection="1">
      <alignment horizontal="center" vertical="center"/>
      <protection locked="0"/>
    </xf>
    <xf numFmtId="165" fontId="2" fillId="0" borderId="30" xfId="0" applyNumberFormat="1" applyFont="1" applyBorder="1" applyAlignment="1" applyProtection="1">
      <alignment horizontal="center" vertical="center"/>
      <protection locked="0"/>
    </xf>
    <xf numFmtId="165" fontId="2" fillId="0" borderId="27" xfId="0" applyNumberFormat="1" applyFont="1" applyBorder="1" applyAlignment="1" applyProtection="1">
      <alignment horizontal="center" vertical="center"/>
      <protection locked="0"/>
    </xf>
    <xf numFmtId="165" fontId="2" fillId="0" borderId="28" xfId="0" applyNumberFormat="1" applyFont="1" applyBorder="1" applyAlignment="1" applyProtection="1">
      <alignment horizontal="center" vertical="center"/>
      <protection locked="0"/>
    </xf>
    <xf numFmtId="3" fontId="6" fillId="0" borderId="24" xfId="0" applyNumberFormat="1" applyFont="1" applyBorder="1" applyAlignment="1" applyProtection="1">
      <alignment horizontal="center" vertical="center"/>
      <protection locked="0"/>
    </xf>
    <xf numFmtId="3" fontId="6" fillId="0" borderId="26" xfId="0" applyNumberFormat="1" applyFont="1" applyBorder="1" applyAlignment="1" applyProtection="1">
      <alignment horizontal="center" vertical="center"/>
      <protection locked="0"/>
    </xf>
    <xf numFmtId="3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24" xfId="0" applyNumberFormat="1" applyFont="1" applyBorder="1" applyAlignment="1" applyProtection="1">
      <alignment horizontal="center" vertical="center"/>
      <protection locked="0"/>
    </xf>
    <xf numFmtId="3" fontId="6" fillId="0" borderId="34" xfId="0" applyNumberFormat="1" applyFont="1" applyBorder="1" applyAlignment="1" applyProtection="1">
      <alignment horizontal="center" vertical="center"/>
      <protection locked="0"/>
    </xf>
    <xf numFmtId="166" fontId="6" fillId="0" borderId="34" xfId="0" applyNumberFormat="1" applyFont="1" applyBorder="1" applyAlignment="1" applyProtection="1">
      <alignment horizontal="center" vertical="center"/>
      <protection locked="0"/>
    </xf>
    <xf numFmtId="166" fontId="6" fillId="0" borderId="26" xfId="0" applyNumberFormat="1" applyFont="1" applyBorder="1" applyAlignment="1" applyProtection="1">
      <alignment horizontal="center" vertical="center"/>
      <protection locked="0"/>
    </xf>
    <xf numFmtId="3" fontId="6" fillId="0" borderId="32" xfId="0" applyNumberFormat="1" applyFont="1" applyBorder="1" applyAlignment="1" applyProtection="1">
      <alignment horizontal="center" vertical="center"/>
      <protection locked="0"/>
    </xf>
    <xf numFmtId="164" fontId="2" fillId="0" borderId="30" xfId="0" applyNumberFormat="1" applyFont="1" applyBorder="1" applyAlignment="1" applyProtection="1">
      <alignment horizontal="center" vertical="center"/>
      <protection locked="0"/>
    </xf>
    <xf numFmtId="3" fontId="26" fillId="13" borderId="0" xfId="0" applyNumberFormat="1" applyFont="1" applyFill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left" indent="1"/>
      <protection locked="0"/>
    </xf>
    <xf numFmtId="10" fontId="0" fillId="0" borderId="8" xfId="0" applyNumberFormat="1" applyBorder="1" applyAlignment="1" applyProtection="1">
      <alignment horizontal="right"/>
      <protection locked="0"/>
    </xf>
    <xf numFmtId="0" fontId="12" fillId="2" borderId="35" xfId="0" applyFont="1" applyFill="1" applyBorder="1"/>
    <xf numFmtId="0" fontId="0" fillId="2" borderId="36" xfId="0" applyFill="1" applyBorder="1" applyAlignment="1">
      <alignment horizontal="left" indent="1"/>
    </xf>
    <xf numFmtId="0" fontId="12" fillId="2" borderId="17" xfId="0" applyFont="1" applyFill="1" applyBorder="1" applyProtection="1">
      <protection hidden="1"/>
    </xf>
    <xf numFmtId="0" fontId="0" fillId="0" borderId="29" xfId="0" applyBorder="1" applyAlignment="1" applyProtection="1">
      <alignment horizontal="left" vertical="center" shrinkToFit="1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0" borderId="31" xfId="0" applyBorder="1" applyAlignment="1" applyProtection="1">
      <alignment horizontal="left" vertical="center" shrinkToFit="1"/>
      <protection locked="0"/>
    </xf>
    <xf numFmtId="3" fontId="26" fillId="13" borderId="12" xfId="0" applyNumberFormat="1" applyFont="1" applyFill="1" applyBorder="1" applyAlignment="1" applyProtection="1">
      <alignment horizontal="center" vertical="center"/>
      <protection hidden="1"/>
    </xf>
    <xf numFmtId="3" fontId="26" fillId="13" borderId="12" xfId="0" applyNumberFormat="1" applyFont="1" applyFill="1" applyBorder="1" applyAlignment="1" applyProtection="1">
      <alignment horizontal="center"/>
      <protection hidden="1"/>
    </xf>
    <xf numFmtId="2" fontId="26" fillId="13" borderId="12" xfId="0" applyNumberFormat="1" applyFont="1" applyFill="1" applyBorder="1" applyAlignment="1" applyProtection="1">
      <alignment horizontal="center"/>
      <protection hidden="1"/>
    </xf>
    <xf numFmtId="165" fontId="0" fillId="2" borderId="19" xfId="0" applyNumberFormat="1" applyFill="1" applyBorder="1" applyAlignment="1" applyProtection="1">
      <alignment horizontal="center" vertical="center"/>
      <protection hidden="1"/>
    </xf>
    <xf numFmtId="165" fontId="0" fillId="2" borderId="21" xfId="0" applyNumberFormat="1" applyFill="1" applyBorder="1" applyAlignment="1" applyProtection="1">
      <alignment horizontal="center" vertical="center"/>
      <protection hidden="1"/>
    </xf>
    <xf numFmtId="165" fontId="0" fillId="2" borderId="4" xfId="0" applyNumberFormat="1" applyFill="1" applyBorder="1" applyAlignment="1" applyProtection="1">
      <alignment horizontal="center" vertical="center"/>
      <protection hidden="1"/>
    </xf>
    <xf numFmtId="165" fontId="0" fillId="2" borderId="5" xfId="0" applyNumberFormat="1" applyFill="1" applyBorder="1" applyAlignment="1" applyProtection="1">
      <alignment horizontal="center" vertical="center"/>
      <protection hidden="1"/>
    </xf>
    <xf numFmtId="165" fontId="0" fillId="2" borderId="6" xfId="0" applyNumberFormat="1" applyFill="1" applyBorder="1" applyAlignment="1" applyProtection="1">
      <alignment horizontal="center" vertical="center"/>
      <protection hidden="1"/>
    </xf>
    <xf numFmtId="165" fontId="0" fillId="2" borderId="7" xfId="0" applyNumberFormat="1" applyFill="1" applyBorder="1" applyAlignment="1" applyProtection="1">
      <alignment horizontal="center" vertical="center"/>
      <protection hidden="1"/>
    </xf>
    <xf numFmtId="165" fontId="0" fillId="2" borderId="8" xfId="0" applyNumberFormat="1" applyFill="1" applyBorder="1" applyAlignment="1" applyProtection="1">
      <alignment horizontal="center" vertical="center"/>
      <protection hidden="1"/>
    </xf>
    <xf numFmtId="14" fontId="0" fillId="10" borderId="4" xfId="0" applyNumberFormat="1" applyFill="1" applyBorder="1" applyAlignment="1" applyProtection="1">
      <alignment horizontal="center" vertical="center"/>
      <protection hidden="1"/>
    </xf>
    <xf numFmtId="0" fontId="0" fillId="10" borderId="0" xfId="0" applyFill="1" applyAlignment="1" applyProtection="1">
      <alignment horizontal="center" vertical="center"/>
      <protection hidden="1"/>
    </xf>
    <xf numFmtId="0" fontId="0" fillId="10" borderId="5" xfId="0" applyFill="1" applyBorder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14" fontId="0" fillId="10" borderId="6" xfId="0" applyNumberFormat="1" applyFill="1" applyBorder="1" applyAlignment="1" applyProtection="1">
      <alignment horizontal="center" vertical="center"/>
      <protection hidden="1"/>
    </xf>
    <xf numFmtId="0" fontId="0" fillId="10" borderId="7" xfId="0" applyFill="1" applyBorder="1" applyAlignment="1" applyProtection="1">
      <alignment horizontal="center" vertical="center"/>
      <protection hidden="1"/>
    </xf>
    <xf numFmtId="3" fontId="0" fillId="2" borderId="0" xfId="0" applyNumberFormat="1" applyFill="1" applyAlignment="1" applyProtection="1">
      <alignment horizontal="center" vertical="center"/>
      <protection hidden="1"/>
    </xf>
    <xf numFmtId="3" fontId="0" fillId="2" borderId="7" xfId="0" applyNumberFormat="1" applyFill="1" applyBorder="1" applyAlignment="1" applyProtection="1">
      <alignment horizontal="center" vertical="center"/>
      <protection hidden="1"/>
    </xf>
    <xf numFmtId="3" fontId="0" fillId="0" borderId="0" xfId="0" applyNumberFormat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2" borderId="5" xfId="0" applyNumberFormat="1" applyFill="1" applyBorder="1" applyAlignment="1" applyProtection="1">
      <alignment horizontal="center" vertical="center"/>
      <protection hidden="1"/>
    </xf>
    <xf numFmtId="3" fontId="0" fillId="2" borderId="8" xfId="0" applyNumberFormat="1" applyFill="1" applyBorder="1" applyAlignment="1" applyProtection="1">
      <alignment horizontal="center" vertical="center"/>
      <protection hidden="1"/>
    </xf>
    <xf numFmtId="3" fontId="26" fillId="13" borderId="37" xfId="0" applyNumberFormat="1" applyFont="1" applyFill="1" applyBorder="1" applyAlignment="1" applyProtection="1">
      <alignment horizontal="center" vertical="center"/>
      <protection hidden="1"/>
    </xf>
    <xf numFmtId="3" fontId="26" fillId="13" borderId="38" xfId="0" applyNumberFormat="1" applyFont="1" applyFill="1" applyBorder="1" applyAlignment="1" applyProtection="1">
      <alignment horizontal="center" vertical="center"/>
      <protection hidden="1"/>
    </xf>
    <xf numFmtId="4" fontId="26" fillId="13" borderId="38" xfId="0" applyNumberFormat="1" applyFont="1" applyFill="1" applyBorder="1" applyAlignment="1" applyProtection="1">
      <alignment horizontal="center" vertical="center"/>
      <protection hidden="1"/>
    </xf>
    <xf numFmtId="3" fontId="26" fillId="13" borderId="39" xfId="0" applyNumberFormat="1" applyFont="1" applyFill="1" applyBorder="1" applyAlignment="1" applyProtection="1">
      <alignment horizontal="center" vertical="center"/>
      <protection hidden="1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3" fontId="26" fillId="13" borderId="43" xfId="0" applyNumberFormat="1" applyFont="1" applyFill="1" applyBorder="1" applyAlignment="1" applyProtection="1">
      <alignment horizontal="center" vertical="center"/>
      <protection hidden="1"/>
    </xf>
    <xf numFmtId="3" fontId="26" fillId="13" borderId="44" xfId="0" applyNumberFormat="1" applyFont="1" applyFill="1" applyBorder="1" applyAlignment="1" applyProtection="1">
      <alignment horizontal="center" vertical="center"/>
      <protection hidden="1"/>
    </xf>
    <xf numFmtId="4" fontId="26" fillId="13" borderId="44" xfId="0" applyNumberFormat="1" applyFont="1" applyFill="1" applyBorder="1" applyAlignment="1" applyProtection="1">
      <alignment horizontal="center" vertical="center"/>
      <protection hidden="1"/>
    </xf>
    <xf numFmtId="3" fontId="26" fillId="13" borderId="45" xfId="0" applyNumberFormat="1" applyFont="1" applyFill="1" applyBorder="1" applyAlignment="1" applyProtection="1">
      <alignment horizontal="center" vertical="center"/>
      <protection hidden="1"/>
    </xf>
    <xf numFmtId="3" fontId="30" fillId="2" borderId="5" xfId="0" applyNumberFormat="1" applyFont="1" applyFill="1" applyBorder="1" applyAlignment="1" applyProtection="1">
      <alignment horizontal="right"/>
      <protection hidden="1"/>
    </xf>
    <xf numFmtId="4" fontId="31" fillId="2" borderId="5" xfId="0" applyNumberFormat="1" applyFont="1" applyFill="1" applyBorder="1" applyAlignment="1" applyProtection="1">
      <alignment horizontal="right"/>
      <protection hidden="1"/>
    </xf>
    <xf numFmtId="3" fontId="31" fillId="2" borderId="16" xfId="0" applyNumberFormat="1" applyFont="1" applyFill="1" applyBorder="1" applyAlignment="1" applyProtection="1">
      <alignment horizontal="right"/>
      <protection hidden="1"/>
    </xf>
    <xf numFmtId="3" fontId="30" fillId="2" borderId="14" xfId="0" applyNumberFormat="1" applyFont="1" applyFill="1" applyBorder="1" applyAlignment="1" applyProtection="1">
      <alignment horizontal="right"/>
      <protection hidden="1"/>
    </xf>
    <xf numFmtId="3" fontId="31" fillId="2" borderId="5" xfId="0" applyNumberFormat="1" applyFont="1" applyFill="1" applyBorder="1" applyAlignment="1" applyProtection="1">
      <alignment horizontal="right"/>
      <protection hidden="1"/>
    </xf>
    <xf numFmtId="3" fontId="30" fillId="2" borderId="18" xfId="0" applyNumberFormat="1" applyFont="1" applyFill="1" applyBorder="1" applyAlignment="1" applyProtection="1">
      <alignment horizontal="right"/>
      <protection hidden="1"/>
    </xf>
    <xf numFmtId="10" fontId="30" fillId="2" borderId="18" xfId="0" applyNumberFormat="1" applyFont="1" applyFill="1" applyBorder="1" applyAlignment="1" applyProtection="1">
      <alignment horizontal="right"/>
      <protection hidden="1"/>
    </xf>
    <xf numFmtId="49" fontId="11" fillId="3" borderId="0" xfId="0" applyNumberFormat="1" applyFont="1" applyFill="1" applyAlignment="1">
      <alignment horizontal="left" vertical="center" indent="4"/>
    </xf>
    <xf numFmtId="49" fontId="8" fillId="5" borderId="0" xfId="0" applyNumberFormat="1" applyFont="1" applyFill="1" applyAlignment="1">
      <alignment horizontal="left" vertical="center" indent="4"/>
    </xf>
    <xf numFmtId="3" fontId="32" fillId="13" borderId="2" xfId="0" applyNumberFormat="1" applyFont="1" applyFill="1" applyBorder="1" applyAlignment="1" applyProtection="1">
      <alignment horizontal="center" vertical="center"/>
      <protection hidden="1"/>
    </xf>
    <xf numFmtId="0" fontId="29" fillId="0" borderId="46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0" fontId="29" fillId="0" borderId="6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/>
    <xf numFmtId="0" fontId="0" fillId="2" borderId="2" xfId="0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0" fontId="28" fillId="9" borderId="9" xfId="0" applyFont="1" applyFill="1" applyBorder="1" applyAlignment="1">
      <alignment vertical="center" shrinkToFit="1"/>
    </xf>
    <xf numFmtId="0" fontId="28" fillId="9" borderId="9" xfId="0" applyFont="1" applyFill="1" applyBorder="1" applyAlignment="1">
      <alignment vertical="center"/>
    </xf>
    <xf numFmtId="164" fontId="0" fillId="2" borderId="0" xfId="0" applyNumberFormat="1" applyFill="1"/>
    <xf numFmtId="0" fontId="16" fillId="2" borderId="4" xfId="0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6" fillId="2" borderId="10" xfId="0" applyFont="1" applyFill="1" applyBorder="1"/>
    <xf numFmtId="0" fontId="20" fillId="14" borderId="9" xfId="0" applyFont="1" applyFill="1" applyBorder="1" applyAlignment="1">
      <alignment vertical="center" wrapText="1"/>
    </xf>
    <xf numFmtId="0" fontId="20" fillId="14" borderId="10" xfId="0" applyFont="1" applyFill="1" applyBorder="1" applyAlignment="1">
      <alignment vertical="center" wrapText="1"/>
    </xf>
    <xf numFmtId="0" fontId="20" fillId="14" borderId="10" xfId="0" applyFont="1" applyFill="1" applyBorder="1" applyAlignment="1">
      <alignment horizontal="left" vertical="center" indent="5"/>
    </xf>
    <xf numFmtId="0" fontId="20" fillId="14" borderId="11" xfId="0" applyFont="1" applyFill="1" applyBorder="1" applyAlignment="1">
      <alignment vertical="center" wrapText="1"/>
    </xf>
    <xf numFmtId="0" fontId="6" fillId="2" borderId="7" xfId="0" applyFont="1" applyFill="1" applyBorder="1"/>
    <xf numFmtId="0" fontId="6" fillId="2" borderId="0" xfId="0" applyFont="1" applyFill="1" applyAlignment="1">
      <alignment wrapText="1"/>
    </xf>
    <xf numFmtId="0" fontId="20" fillId="8" borderId="1" xfId="0" applyFont="1" applyFill="1" applyBorder="1" applyAlignment="1">
      <alignment horizontal="left" vertical="center" shrinkToFit="1"/>
    </xf>
    <xf numFmtId="0" fontId="20" fillId="8" borderId="2" xfId="0" applyFont="1" applyFill="1" applyBorder="1" applyAlignment="1">
      <alignment horizontal="center" vertical="center" shrinkToFit="1"/>
    </xf>
    <xf numFmtId="0" fontId="20" fillId="8" borderId="11" xfId="0" applyFont="1" applyFill="1" applyBorder="1" applyAlignment="1">
      <alignment horizontal="center" vertical="center" shrinkToFit="1"/>
    </xf>
    <xf numFmtId="0" fontId="20" fillId="8" borderId="1" xfId="0" applyFont="1" applyFill="1" applyBorder="1" applyAlignment="1">
      <alignment horizontal="center" vertical="center" shrinkToFit="1"/>
    </xf>
    <xf numFmtId="0" fontId="20" fillId="8" borderId="3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/>
    </xf>
    <xf numFmtId="165" fontId="2" fillId="2" borderId="2" xfId="0" applyNumberFormat="1" applyFont="1" applyFill="1" applyBorder="1"/>
    <xf numFmtId="164" fontId="2" fillId="2" borderId="2" xfId="0" applyNumberFormat="1" applyFont="1" applyFill="1" applyBorder="1"/>
    <xf numFmtId="0" fontId="24" fillId="2" borderId="0" xfId="0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 indent="7"/>
    </xf>
    <xf numFmtId="49" fontId="11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indent="7"/>
    </xf>
    <xf numFmtId="49" fontId="8" fillId="5" borderId="0" xfId="0" applyNumberFormat="1" applyFont="1" applyFill="1" applyAlignment="1">
      <alignment vertical="center"/>
    </xf>
    <xf numFmtId="0" fontId="3" fillId="2" borderId="0" xfId="5" applyFill="1" applyAlignment="1">
      <alignment vertical="center"/>
    </xf>
    <xf numFmtId="0" fontId="20" fillId="8" borderId="8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20" fillId="8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1" fillId="15" borderId="25" xfId="0" applyNumberFormat="1" applyFont="1" applyFill="1" applyBorder="1" applyAlignment="1">
      <alignment horizontal="center" vertical="center"/>
    </xf>
    <xf numFmtId="164" fontId="1" fillId="15" borderId="27" xfId="0" applyNumberFormat="1" applyFont="1" applyFill="1" applyBorder="1" applyAlignment="1">
      <alignment horizontal="center" vertical="center"/>
    </xf>
    <xf numFmtId="165" fontId="1" fillId="15" borderId="28" xfId="0" applyNumberFormat="1" applyFont="1" applyFill="1" applyBorder="1" applyAlignment="1">
      <alignment horizontal="center" vertical="center"/>
    </xf>
    <xf numFmtId="165" fontId="1" fillId="15" borderId="26" xfId="0" applyNumberFormat="1" applyFont="1" applyFill="1" applyBorder="1" applyAlignment="1">
      <alignment horizontal="center" vertical="center"/>
    </xf>
    <xf numFmtId="165" fontId="1" fillId="15" borderId="22" xfId="0" applyNumberFormat="1" applyFont="1" applyFill="1" applyBorder="1" applyAlignment="1">
      <alignment horizontal="center" vertical="center"/>
    </xf>
    <xf numFmtId="164" fontId="1" fillId="15" borderId="5" xfId="0" applyNumberFormat="1" applyFont="1" applyFill="1" applyBorder="1" applyAlignment="1">
      <alignment horizontal="center" vertical="center"/>
    </xf>
    <xf numFmtId="165" fontId="1" fillId="15" borderId="5" xfId="0" applyNumberFormat="1" applyFont="1" applyFill="1" applyBorder="1" applyAlignment="1">
      <alignment horizontal="center" vertical="center"/>
    </xf>
    <xf numFmtId="3" fontId="26" fillId="15" borderId="37" xfId="0" applyNumberFormat="1" applyFont="1" applyFill="1" applyBorder="1" applyAlignment="1" applyProtection="1">
      <alignment horizontal="center" vertical="center"/>
      <protection hidden="1"/>
    </xf>
    <xf numFmtId="3" fontId="26" fillId="15" borderId="38" xfId="0" applyNumberFormat="1" applyFont="1" applyFill="1" applyBorder="1" applyAlignment="1" applyProtection="1">
      <alignment horizontal="center" vertical="center"/>
      <protection hidden="1"/>
    </xf>
    <xf numFmtId="4" fontId="26" fillId="15" borderId="38" xfId="0" applyNumberFormat="1" applyFont="1" applyFill="1" applyBorder="1" applyAlignment="1" applyProtection="1">
      <alignment horizontal="center" vertical="center"/>
      <protection hidden="1"/>
    </xf>
    <xf numFmtId="3" fontId="26" fillId="15" borderId="39" xfId="0" applyNumberFormat="1" applyFont="1" applyFill="1" applyBorder="1" applyAlignment="1" applyProtection="1">
      <alignment horizontal="center" vertical="center"/>
      <protection hidden="1"/>
    </xf>
    <xf numFmtId="3" fontId="26" fillId="15" borderId="40" xfId="0" applyNumberFormat="1" applyFont="1" applyFill="1" applyBorder="1" applyAlignment="1" applyProtection="1">
      <alignment horizontal="center" vertical="center"/>
      <protection hidden="1"/>
    </xf>
    <xf numFmtId="3" fontId="26" fillId="15" borderId="41" xfId="0" applyNumberFormat="1" applyFont="1" applyFill="1" applyBorder="1" applyAlignment="1" applyProtection="1">
      <alignment horizontal="center" vertical="center"/>
      <protection hidden="1"/>
    </xf>
    <xf numFmtId="4" fontId="26" fillId="15" borderId="41" xfId="0" applyNumberFormat="1" applyFont="1" applyFill="1" applyBorder="1" applyAlignment="1" applyProtection="1">
      <alignment horizontal="center" vertical="center"/>
      <protection hidden="1"/>
    </xf>
    <xf numFmtId="3" fontId="26" fillId="15" borderId="42" xfId="0" applyNumberFormat="1" applyFont="1" applyFill="1" applyBorder="1" applyAlignment="1" applyProtection="1">
      <alignment horizontal="center" vertical="center"/>
      <protection hidden="1"/>
    </xf>
    <xf numFmtId="0" fontId="0" fillId="15" borderId="25" xfId="0" applyFill="1" applyBorder="1" applyAlignment="1">
      <alignment horizontal="left" vertical="center" shrinkToFit="1"/>
    </xf>
    <xf numFmtId="3" fontId="6" fillId="15" borderId="26" xfId="0" applyNumberFormat="1" applyFont="1" applyFill="1" applyBorder="1" applyAlignment="1">
      <alignment horizontal="center" vertical="center"/>
    </xf>
    <xf numFmtId="3" fontId="6" fillId="15" borderId="34" xfId="0" applyNumberFormat="1" applyFont="1" applyFill="1" applyBorder="1" applyAlignment="1">
      <alignment horizontal="center" vertical="center"/>
    </xf>
    <xf numFmtId="166" fontId="6" fillId="15" borderId="34" xfId="0" applyNumberFormat="1" applyFont="1" applyFill="1" applyBorder="1" applyAlignment="1">
      <alignment horizontal="center" vertical="center"/>
    </xf>
    <xf numFmtId="166" fontId="6" fillId="15" borderId="26" xfId="0" applyNumberFormat="1" applyFont="1" applyFill="1" applyBorder="1" applyAlignment="1">
      <alignment horizontal="center" vertical="center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5" xr:uid="{9E0806F0-692B-47DA-BD07-BDC1A0F26CA0}"/>
    <cellStyle name="Normal 3" xfId="3" xr:uid="{6CDF8B16-5B16-4C1E-8190-16EFBDFCEFB4}"/>
    <cellStyle name="Normal 3 2" xfId="6" xr:uid="{7092343E-E6FA-4474-A37B-B1E8B702002A}"/>
  </cellStyles>
  <dxfs count="22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4659260841701"/>
        </left>
        <right style="thin">
          <color indexed="64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4" formatCode="#,##0.0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1" hidden="1"/>
    </dxf>
    <dxf>
      <border outline="0">
        <top style="thin">
          <color indexed="64"/>
        </top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bottom/>
        <vertical/>
        <horizontal/>
      </border>
      <protection locked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  <protection locked="1" hidden="1"/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3" formatCode="#,##0"/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protection locked="1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border>
        <vertical style="thin">
          <color theme="2" tint="-0.24994659260841701"/>
        </vertical>
        <horizontal style="thin">
          <color theme="2" tint="-0.2499465926084170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</dxfs>
  <tableStyles count="5" defaultTableStyle="TableStyleMedium2" defaultPivotStyle="PivotStyleLight16">
    <tableStyle name="Table Style 1" pivot="0" count="0" xr9:uid="{508EBC89-BE3C-436D-AE70-1442279D855D}"/>
    <tableStyle name="Table Style 2" pivot="0" count="0" xr9:uid="{DF412DBE-920E-4A8B-ADB9-A9E56CB9294F}"/>
    <tableStyle name="Table Style 3" pivot="0" count="1" xr9:uid="{8469F0CC-5C44-4D56-9A58-BC1BE9D2DA31}">
      <tableStyleElement type="wholeTable" dxfId="21"/>
    </tableStyle>
    <tableStyle name="Table Style 4" pivot="0" count="1" xr9:uid="{7526C6C3-5677-4A6F-84B9-42004CCB2EFC}">
      <tableStyleElement type="wholeTable" dxfId="20"/>
    </tableStyle>
    <tableStyle name="Table Style 5" pivot="0" count="1" xr9:uid="{76BEA12E-9FBB-4809-A11F-397655853520}">
      <tableStyleElement type="wholeTable" dxfId="19"/>
    </tableStyle>
  </tableStyles>
  <colors>
    <mruColors>
      <color rgb="FFCCCCCC"/>
      <color rgb="FFF2F2F2"/>
      <color rgb="FFA6A6A6"/>
      <color rgb="FF2F75B5"/>
      <color rgb="FF00D25F"/>
      <color rgb="FFFF50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Break-Even Analysis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n-U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Calc!$P$5</c:f>
              <c:strCache>
                <c:ptCount val="1"/>
                <c:pt idx="0">
                  <c:v>Cumulative Balance</c:v>
                </c:pt>
              </c:strCache>
            </c:strRef>
          </c:tx>
          <c:spPr>
            <a:solidFill>
              <a:srgbClr val="70AD47"/>
            </a:solidFill>
            <a:ln>
              <a:solidFill>
                <a:schemeClr val="bg1"/>
              </a:solidFill>
            </a:ln>
            <a:effectLst/>
          </c:spPr>
          <c:invertIfNegative val="1"/>
          <c:dLbls>
            <c:numFmt formatCode="#,###&quot;&quot;;[Red]#,##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[0]!periods</c:f>
              <c:numCache>
                <c:formatCode>#,##0;[Red]#,##0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[0]!cumBalance</c:f>
              <c:numCache>
                <c:formatCode>#,##0</c:formatCode>
                <c:ptCount val="8"/>
                <c:pt idx="0">
                  <c:v>-311500</c:v>
                </c:pt>
                <c:pt idx="1">
                  <c:v>-261500</c:v>
                </c:pt>
                <c:pt idx="2">
                  <c:v>-211500</c:v>
                </c:pt>
                <c:pt idx="3">
                  <c:v>-161500</c:v>
                </c:pt>
                <c:pt idx="4">
                  <c:v>-111500</c:v>
                </c:pt>
                <c:pt idx="5">
                  <c:v>-61500</c:v>
                </c:pt>
                <c:pt idx="6">
                  <c:v>-11500</c:v>
                </c:pt>
                <c:pt idx="7">
                  <c:v>38500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D7D31"/>
                  </a:solidFill>
                  <a:ln>
                    <a:solidFill>
                      <a:schemeClr val="bg1"/>
                    </a:solidFill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0F3-47E9-80FD-2BA36FA038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9230623"/>
        <c:axId val="479231039"/>
      </c:barChart>
      <c:catAx>
        <c:axId val="479230623"/>
        <c:scaling>
          <c:orientation val="minMax"/>
        </c:scaling>
        <c:delete val="0"/>
        <c:axPos val="b"/>
        <c:numFmt formatCode="#,###&quot;&quot;;[Red]#,###&quot;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231039"/>
        <c:crosses val="autoZero"/>
        <c:auto val="1"/>
        <c:lblAlgn val="ctr"/>
        <c:lblOffset val="100"/>
        <c:noMultiLvlLbl val="0"/>
      </c:catAx>
      <c:valAx>
        <c:axId val="479231039"/>
        <c:scaling>
          <c:orientation val="minMax"/>
        </c:scaling>
        <c:delete val="0"/>
        <c:axPos val="l"/>
        <c:numFmt formatCode="#,###&quot;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230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Company </a:t>
            </a:r>
            <a:r>
              <a:rPr lang="tr-TR" sz="1400" b="1" i="0" baseline="0">
                <a:effectLst/>
              </a:rPr>
              <a:t>Financials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Calc!$T$5</c:f>
              <c:strCache>
                <c:ptCount val="1"/>
                <c:pt idx="0">
                  <c:v>Total Cost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[0]!periods</c:f>
              <c:numCache>
                <c:formatCode>#,##0;[Red]#,##0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[0]!totalCost</c:f>
              <c:numCache>
                <c:formatCode>#,##0</c:formatCode>
                <c:ptCount val="8"/>
                <c:pt idx="0">
                  <c:v>311500</c:v>
                </c:pt>
                <c:pt idx="1">
                  <c:v>125000</c:v>
                </c:pt>
                <c:pt idx="2">
                  <c:v>125000</c:v>
                </c:pt>
                <c:pt idx="3">
                  <c:v>125000</c:v>
                </c:pt>
                <c:pt idx="4">
                  <c:v>125000</c:v>
                </c:pt>
                <c:pt idx="5">
                  <c:v>125000</c:v>
                </c:pt>
                <c:pt idx="6">
                  <c:v>125000</c:v>
                </c:pt>
                <c:pt idx="7">
                  <c:v>125000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A8-44FD-9014-0107C593E503}"/>
            </c:ext>
          </c:extLst>
        </c:ser>
        <c:ser>
          <c:idx val="2"/>
          <c:order val="2"/>
          <c:tx>
            <c:strRef>
              <c:f>Calc!$U$5</c:f>
              <c:strCache>
                <c:ptCount val="1"/>
                <c:pt idx="0">
                  <c:v>Fixed Costs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[0]!periods</c:f>
              <c:numCache>
                <c:formatCode>#,##0;[Red]#,##0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[0]!fixedCosts</c:f>
              <c:numCache>
                <c:formatCode>#,##0</c:formatCode>
                <c:ptCount val="8"/>
                <c:pt idx="0">
                  <c:v>0</c:v>
                </c:pt>
                <c:pt idx="1">
                  <c:v>50000</c:v>
                </c:pt>
                <c:pt idx="2">
                  <c:v>50000</c:v>
                </c:pt>
                <c:pt idx="3">
                  <c:v>50000</c:v>
                </c:pt>
                <c:pt idx="4">
                  <c:v>50000</c:v>
                </c:pt>
                <c:pt idx="5">
                  <c:v>50000</c:v>
                </c:pt>
                <c:pt idx="6">
                  <c:v>50000</c:v>
                </c:pt>
                <c:pt idx="7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A8-44FD-9014-0107C593E503}"/>
            </c:ext>
          </c:extLst>
        </c:ser>
        <c:ser>
          <c:idx val="3"/>
          <c:order val="3"/>
          <c:tx>
            <c:strRef>
              <c:f>Calc!$V$5</c:f>
              <c:strCache>
                <c:ptCount val="1"/>
                <c:pt idx="0">
                  <c:v>Variable Costs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[0]!periods</c:f>
              <c:numCache>
                <c:formatCode>#,##0;[Red]#,##0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[0]!variableCosts</c:f>
              <c:numCache>
                <c:formatCode>#,##0</c:formatCode>
                <c:ptCount val="8"/>
                <c:pt idx="0">
                  <c:v>0</c:v>
                </c:pt>
                <c:pt idx="1">
                  <c:v>75000</c:v>
                </c:pt>
                <c:pt idx="2">
                  <c:v>75000</c:v>
                </c:pt>
                <c:pt idx="3">
                  <c:v>75000</c:v>
                </c:pt>
                <c:pt idx="4">
                  <c:v>75000</c:v>
                </c:pt>
                <c:pt idx="5">
                  <c:v>75000</c:v>
                </c:pt>
                <c:pt idx="6">
                  <c:v>75000</c:v>
                </c:pt>
                <c:pt idx="7">
                  <c:v>75000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A8-44FD-9014-0107C593E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5097599"/>
        <c:axId val="1835100095"/>
      </c:lineChart>
      <c:lineChart>
        <c:grouping val="standard"/>
        <c:varyColors val="0"/>
        <c:ser>
          <c:idx val="0"/>
          <c:order val="0"/>
          <c:tx>
            <c:strRef>
              <c:f>Calc!$S$5</c:f>
              <c:strCache>
                <c:ptCount val="1"/>
                <c:pt idx="0">
                  <c:v>Cumulative Balance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[0]!periods</c:f>
              <c:numCache>
                <c:formatCode>#,##0;[Red]#,##0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[0]!cumBalance</c:f>
              <c:numCache>
                <c:formatCode>#,##0</c:formatCode>
                <c:ptCount val="8"/>
                <c:pt idx="0">
                  <c:v>-311500</c:v>
                </c:pt>
                <c:pt idx="1">
                  <c:v>-261500</c:v>
                </c:pt>
                <c:pt idx="2">
                  <c:v>-211500</c:v>
                </c:pt>
                <c:pt idx="3">
                  <c:v>-161500</c:v>
                </c:pt>
                <c:pt idx="4">
                  <c:v>-111500</c:v>
                </c:pt>
                <c:pt idx="5">
                  <c:v>-61500</c:v>
                </c:pt>
                <c:pt idx="6">
                  <c:v>-11500</c:v>
                </c:pt>
                <c:pt idx="7">
                  <c:v>38500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A8-44FD-9014-0107C593E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8084720"/>
        <c:axId val="748084304"/>
      </c:lineChart>
      <c:catAx>
        <c:axId val="1835097599"/>
        <c:scaling>
          <c:orientation val="minMax"/>
        </c:scaling>
        <c:delete val="0"/>
        <c:axPos val="b"/>
        <c:numFmt formatCode="#,###&quot;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5100095"/>
        <c:crosses val="autoZero"/>
        <c:auto val="1"/>
        <c:lblAlgn val="ctr"/>
        <c:lblOffset val="100"/>
        <c:noMultiLvlLbl val="0"/>
      </c:catAx>
      <c:valAx>
        <c:axId val="183510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#&quot;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5097599"/>
        <c:crosses val="autoZero"/>
        <c:crossBetween val="between"/>
      </c:valAx>
      <c:valAx>
        <c:axId val="7480843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Cumulative</a:t>
                </a:r>
                <a:r>
                  <a:rPr lang="en-US" baseline="0"/>
                  <a:t> Value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8084720"/>
        <c:crosses val="max"/>
        <c:crossBetween val="between"/>
      </c:valAx>
      <c:catAx>
        <c:axId val="748084720"/>
        <c:scaling>
          <c:orientation val="minMax"/>
        </c:scaling>
        <c:delete val="1"/>
        <c:axPos val="b"/>
        <c:numFmt formatCode="#,##0;[Red]#,##0" sourceLinked="1"/>
        <c:majorTickMark val="out"/>
        <c:minorTickMark val="none"/>
        <c:tickLblPos val="nextTo"/>
        <c:crossAx val="7480843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400" b="1" i="0" baseline="0">
                <a:effectLst/>
              </a:rPr>
              <a:t>Cost Distribution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F2-4FC1-BBC4-8DA1FAAB1D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F2-4FC1-BBC4-8DA1FAAB1D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F2-4FC1-BBC4-8DA1FAAB1D49}"/>
              </c:ext>
            </c:extLst>
          </c:dPt>
          <c:dLbls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[0]!pieHeaders</c:f>
              <c:strCache>
                <c:ptCount val="3"/>
                <c:pt idx="0">
                  <c:v>Initial Investment </c:v>
                </c:pt>
                <c:pt idx="1">
                  <c:v>Fixed Costs</c:v>
                </c:pt>
                <c:pt idx="2">
                  <c:v>Variable Costs</c:v>
                </c:pt>
              </c:strCache>
            </c:strRef>
          </c:cat>
          <c:val>
            <c:numRef>
              <c:f>[0]!pieValues</c:f>
              <c:numCache>
                <c:formatCode>#,##0;[Red]#,##0</c:formatCode>
                <c:ptCount val="3"/>
                <c:pt idx="0">
                  <c:v>311500</c:v>
                </c:pt>
                <c:pt idx="1">
                  <c:v>350000</c:v>
                </c:pt>
                <c:pt idx="2">
                  <c:v>525000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F2-4FC1-BBC4-8DA1FAAB1D4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4.png"/><Relationship Id="rId3" Type="http://schemas.openxmlformats.org/officeDocument/2006/relationships/image" Target="../media/image1.png"/><Relationship Id="rId2" Type="http://schemas.openxmlformats.org/officeDocument/2006/relationships/hyperlink" Target="#FinancialStatement!A6"/><Relationship Id="rId6" Type="http://schemas.microsoft.com/office/2007/relationships/hdphoto" Target="../media/hdphoto1.wdp"/><Relationship Id="rId11" Type="http://schemas.openxmlformats.org/officeDocument/2006/relationships/chart" Target="../charts/chart3.xml"/><Relationship Id="rId5" Type="http://schemas.openxmlformats.org/officeDocument/2006/relationships/image" Target="../media/image2.png"/><Relationship Id="rId10" Type="http://schemas.openxmlformats.org/officeDocument/2006/relationships/chart" Target="../charts/chart2.xml"/><Relationship Id="rId9" Type="http://schemas.openxmlformats.org/officeDocument/2006/relationships/chart" Target="../charts/chart1.xml"/><Relationship Id="rId14" Type="http://schemas.openxmlformats.org/officeDocument/2006/relationships/image" Target="../media/image6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hyperlink" Target="#Dashboard!M7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817530</xdr:colOff>
      <xdr:row>1</xdr:row>
      <xdr:rowOff>78993</xdr:rowOff>
    </xdr:from>
    <xdr:to>
      <xdr:col>7</xdr:col>
      <xdr:colOff>519336</xdr:colOff>
      <xdr:row>2</xdr:row>
      <xdr:rowOff>220205</xdr:rowOff>
    </xdr:to>
    <xdr:sp macro="" textlink="">
      <xdr:nvSpPr>
        <xdr:cNvPr id="25" name="Rounded Rectangle 2">
          <a:hlinkClick xmlns:r="http://schemas.openxmlformats.org/officeDocument/2006/relationships" r:id="rId2" tooltip="Financial Statements"/>
          <a:extLst>
            <a:ext uri="{FF2B5EF4-FFF2-40B4-BE49-F238E27FC236}">
              <a16:creationId xmlns:a16="http://schemas.microsoft.com/office/drawing/2014/main" id="{6EBB5292-DC09-47D4-8406-24812DA9028C}"/>
            </a:ext>
          </a:extLst>
        </xdr:cNvPr>
        <xdr:cNvSpPr/>
      </xdr:nvSpPr>
      <xdr:spPr>
        <a:xfrm>
          <a:off x="5046630" y="164718"/>
          <a:ext cx="1416306" cy="388862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/>
          <a:r>
            <a:rPr lang="tr-TR" sz="11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FINANCIAL STATEMENTS</a:t>
          </a:r>
        </a:p>
      </xdr:txBody>
    </xdr:sp>
    <xdr:clientData/>
  </xdr:twoCellAnchor>
  <xdr:twoCellAnchor editAs="oneCell">
    <xdr:from>
      <xdr:col>1</xdr:col>
      <xdr:colOff>63317</xdr:colOff>
      <xdr:row>1</xdr:row>
      <xdr:rowOff>58108</xdr:rowOff>
    </xdr:from>
    <xdr:to>
      <xdr:col>2</xdr:col>
      <xdr:colOff>262484</xdr:colOff>
      <xdr:row>2</xdr:row>
      <xdr:rowOff>246692</xdr:rowOff>
    </xdr:to>
    <xdr:pic>
      <xdr:nvPicPr>
        <xdr:cNvPr id="27" name="mainicon">
          <a:extLst>
            <a:ext uri="{FF2B5EF4-FFF2-40B4-BE49-F238E27FC236}">
              <a16:creationId xmlns:a16="http://schemas.microsoft.com/office/drawing/2014/main" id="{D2628448-A1A7-4012-8357-EC01BC786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967" y="143833"/>
          <a:ext cx="427767" cy="43623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190499</xdr:colOff>
      <xdr:row>25</xdr:row>
      <xdr:rowOff>180975</xdr:rowOff>
    </xdr:from>
    <xdr:to>
      <xdr:col>13</xdr:col>
      <xdr:colOff>8174</xdr:colOff>
      <xdr:row>44</xdr:row>
      <xdr:rowOff>345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904B56A-A8FE-470B-9B2E-1031387A5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</xdr:col>
      <xdr:colOff>190500</xdr:colOff>
      <xdr:row>5</xdr:row>
      <xdr:rowOff>180974</xdr:rowOff>
    </xdr:from>
    <xdr:to>
      <xdr:col>6</xdr:col>
      <xdr:colOff>715800</xdr:colOff>
      <xdr:row>25</xdr:row>
      <xdr:rowOff>9559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B81C8EA-993A-435C-9618-E305A5696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66675</xdr:colOff>
      <xdr:row>5</xdr:row>
      <xdr:rowOff>179295</xdr:rowOff>
    </xdr:from>
    <xdr:to>
      <xdr:col>10</xdr:col>
      <xdr:colOff>590925</xdr:colOff>
      <xdr:row>25</xdr:row>
      <xdr:rowOff>7327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5C3772D-C562-47F3-AB4C-BA27476DDE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oneCellAnchor>
    <xdr:from>
      <xdr:col>11</xdr:col>
      <xdr:colOff>1926909</xdr:colOff>
      <xdr:row>1</xdr:row>
      <xdr:rowOff>130425</xdr:rowOff>
    </xdr:from>
    <xdr:ext cx="1016190" cy="292166"/>
    <xdr:pic>
      <xdr:nvPicPr>
        <xdr:cNvPr id="1027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6190" cy="292166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58108</xdr:rowOff>
    </xdr:from>
    <xdr:to>
      <xdr:col>1</xdr:col>
      <xdr:colOff>493200</xdr:colOff>
      <xdr:row>2</xdr:row>
      <xdr:rowOff>246692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852CE05A-38BE-436B-854D-AFD045FDD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3833"/>
          <a:ext cx="432000" cy="43623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549562</xdr:colOff>
      <xdr:row>1</xdr:row>
      <xdr:rowOff>51225</xdr:rowOff>
    </xdr:from>
    <xdr:to>
      <xdr:col>7</xdr:col>
      <xdr:colOff>812512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5D8CD3A2-A322-4251-83B7-B5F004E104F9}"/>
            </a:ext>
          </a:extLst>
        </xdr:cNvPr>
        <xdr:cNvGrpSpPr/>
      </xdr:nvGrpSpPr>
      <xdr:grpSpPr>
        <a:xfrm>
          <a:off x="4912012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CCF0D656-FB0A-D576-8BE7-E8F38772E1C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D2EB7E1B-6B5A-A4A1-36CF-34BFD61CDB0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812485</xdr:colOff>
      <xdr:row>1</xdr:row>
      <xdr:rowOff>130425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48394D6A-EC04-4FB7-B023-F92CEB4D06B1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5851397-B5D9-1119-4E2C-547B90CFA52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523D883-AB7A-6D6B-47A0-AF0FC6C2735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154036-5C8F-448E-8391-CA21F5A563C3}" name="Table1" displayName="Table1" ref="E5:E30" totalsRowShown="0" headerRowDxfId="10" dataDxfId="9" tableBorderDxfId="8">
  <autoFilter ref="E5:E30" xr:uid="{68154036-5C8F-448E-8391-CA21F5A563C3}">
    <filterColumn colId="0" hiddenButton="1"/>
  </autoFilter>
  <tableColumns count="1">
    <tableColumn id="1" xr3:uid="{CC744403-0533-4FBD-BA67-1092062D9728}" name="Revenues" dataDxfId="7">
      <calculatedColumnFormula>IFERROR(IF(OR(LEN(C6)=0,LEN(D6)=0),"",C6*D6),"")</calculatedColumnFormula>
    </tableColumn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2AA28B-E2CD-4DB2-8014-92873AB630FA}" name="Table2" displayName="Table2" ref="I5:L30" totalsRowShown="0" headerRowDxfId="6" headerRowBorderDxfId="5" tableBorderDxfId="4">
  <autoFilter ref="I5:L30" xr:uid="{582AA28B-E2CD-4DB2-8014-92873AB630FA}">
    <filterColumn colId="0" hiddenButton="1"/>
    <filterColumn colId="1" hiddenButton="1"/>
    <filterColumn colId="2" hiddenButton="1"/>
    <filterColumn colId="3" hiddenButton="1"/>
  </autoFilter>
  <tableColumns count="4">
    <tableColumn id="1" xr3:uid="{CCB655E3-B126-4435-B9C4-1FF2A4F4E8F6}" name="Total Cost" dataDxfId="3">
      <calculatedColumnFormula>IFERROR(IF(AND(LEN(F6)=0,LEN(G6)=0,LEN(H6)=0),IF(LEN(E6)=0,"",""),F6+G6+H6),"")</calculatedColumnFormula>
    </tableColumn>
    <tableColumn id="2" xr3:uid="{C877EB66-4623-457D-9CDF-9A4508C1887D}" name="Net Profit" dataDxfId="2">
      <calculatedColumnFormula>IFERROR(E6-I6,"")</calculatedColumnFormula>
    </tableColumn>
    <tableColumn id="3" xr3:uid="{4D648C93-4F7A-4DA0-B1DF-201CFE2A3B3D}" name="Net Profit _x000a_(per unit)" dataDxfId="1">
      <calculatedColumnFormula>IFERROR(J6/C6,"")</calculatedColumnFormula>
    </tableColumn>
    <tableColumn id="4" xr3:uid="{2FC7ADA7-53AA-4FAA-98C9-C756CF052B7D}" name="Cumulative Balance" dataDxfId="0"/>
  </tableColumns>
  <tableStyleInfo name="Table Style 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fitToPage="1"/>
  </sheetPr>
  <dimension ref="A1:P48"/>
  <sheetViews>
    <sheetView showGridLines="0" showRowColHeaders="0" tabSelected="1" zoomScaleNormal="100" zoomScaleSheetLayoutView="70" workbookViewId="0">
      <pane ySplit="4" topLeftCell="A5" activePane="bottomLeft" state="frozen"/>
      <selection activeCell="A6" sqref="A6"/>
      <selection pane="bottomLeft" activeCell="M7" sqref="M7"/>
    </sheetView>
  </sheetViews>
  <sheetFormatPr defaultColWidth="8.85546875" defaultRowHeight="15" x14ac:dyDescent="0.25"/>
  <cols>
    <col min="1" max="1" width="3.7109375" style="7" customWidth="1"/>
    <col min="2" max="2" width="3.42578125" style="7" customWidth="1"/>
    <col min="3" max="3" width="30.5703125" style="7" bestFit="1" customWidth="1"/>
    <col min="4" max="10" width="12.85546875" style="7" customWidth="1"/>
    <col min="11" max="11" width="11.85546875" style="7" customWidth="1"/>
    <col min="12" max="12" width="36.7109375" style="7" customWidth="1"/>
    <col min="13" max="13" width="12.7109375" style="7" customWidth="1"/>
    <col min="14" max="14" width="2.85546875" style="7" customWidth="1"/>
    <col min="15" max="16384" width="8.85546875" style="7"/>
  </cols>
  <sheetData>
    <row r="1" spans="1:14" s="1" customFormat="1" ht="6.75" customHeight="1" x14ac:dyDescent="0.25">
      <c r="B1" s="2"/>
      <c r="E1" s="3"/>
      <c r="F1" s="3"/>
      <c r="G1" s="3"/>
    </row>
    <row r="2" spans="1:14" s="36" customFormat="1" ht="20.100000000000001" customHeight="1" x14ac:dyDescent="0.25">
      <c r="A2" s="61"/>
      <c r="B2" s="62"/>
      <c r="C2" s="140" t="s">
        <v>58</v>
      </c>
      <c r="D2" s="55"/>
      <c r="E2" s="55"/>
      <c r="F2" s="55"/>
      <c r="G2" s="55"/>
      <c r="H2" s="55"/>
      <c r="I2" s="55"/>
      <c r="J2" s="55"/>
      <c r="K2" s="50"/>
      <c r="L2" s="50"/>
      <c r="M2" s="55"/>
      <c r="N2" s="55"/>
    </row>
    <row r="3" spans="1:14" s="4" customFormat="1" ht="24" customHeight="1" x14ac:dyDescent="0.25">
      <c r="A3" s="63"/>
      <c r="B3" s="64"/>
      <c r="C3" s="141" t="s">
        <v>0</v>
      </c>
      <c r="D3" s="5"/>
      <c r="E3" s="5"/>
      <c r="F3" s="5"/>
      <c r="G3" s="5"/>
      <c r="H3" s="5"/>
      <c r="I3" s="5"/>
      <c r="J3" s="5"/>
      <c r="K3" s="51"/>
      <c r="L3" s="51"/>
      <c r="M3" s="5"/>
      <c r="N3" s="5"/>
    </row>
    <row r="4" spans="1:14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4.9000000000000004" customHeight="1" x14ac:dyDescent="0.25">
      <c r="A5" s="6"/>
      <c r="B5" s="6"/>
      <c r="C5" s="20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5" customHeight="1" x14ac:dyDescent="0.25">
      <c r="A6" s="6"/>
      <c r="B6" s="8"/>
      <c r="C6" s="21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0.100000000000001" customHeight="1" x14ac:dyDescent="0.25">
      <c r="B7" s="11"/>
      <c r="C7"/>
      <c r="D7"/>
      <c r="E7"/>
      <c r="F7"/>
      <c r="G7"/>
      <c r="H7"/>
      <c r="I7"/>
      <c r="J7"/>
      <c r="K7"/>
      <c r="L7" s="65" t="s">
        <v>49</v>
      </c>
      <c r="M7" s="71">
        <v>5</v>
      </c>
      <c r="N7" s="12"/>
    </row>
    <row r="8" spans="1:14" x14ac:dyDescent="0.25">
      <c r="B8" s="11"/>
      <c r="C8"/>
      <c r="D8"/>
      <c r="E8"/>
      <c r="F8"/>
      <c r="G8"/>
      <c r="H8"/>
      <c r="I8"/>
      <c r="J8"/>
      <c r="K8"/>
      <c r="L8" s="34" t="s">
        <v>32</v>
      </c>
      <c r="M8" s="133">
        <f>IFERROR(IF(M9*M10=0,"",M9*M10),"")</f>
        <v>175000</v>
      </c>
      <c r="N8" s="12"/>
    </row>
    <row r="9" spans="1:14" x14ac:dyDescent="0.25">
      <c r="B9" s="11"/>
      <c r="C9"/>
      <c r="D9"/>
      <c r="E9"/>
      <c r="F9"/>
      <c r="G9"/>
      <c r="H9"/>
      <c r="I9"/>
      <c r="J9"/>
      <c r="K9"/>
      <c r="L9" s="24" t="s">
        <v>24</v>
      </c>
      <c r="M9" s="134">
        <f>IFERROR(IF(INDEX(Calc!$B$6:$L$15,MATCH(Dashboard!$M$7,Calc!$B$6:$B$15,0),MATCH(Calc!$D$5,Calc!$B$5:$L$5,0))=0,"",INDEX(Calc!$B$6:$L$15,MATCH(Dashboard!$M$7,Calc!$B$6:$B$15,0),MATCH(Calc!$D$5,Calc!$B$5:$L$5,0))),"")</f>
        <v>100</v>
      </c>
      <c r="N9" s="12"/>
    </row>
    <row r="10" spans="1:14" x14ac:dyDescent="0.25">
      <c r="B10" s="11"/>
      <c r="C10"/>
      <c r="D10"/>
      <c r="E10"/>
      <c r="F10"/>
      <c r="G10"/>
      <c r="H10"/>
      <c r="I10"/>
      <c r="J10"/>
      <c r="K10"/>
      <c r="L10" s="30" t="s">
        <v>70</v>
      </c>
      <c r="M10" s="135">
        <f>IFERROR(IF(INDEX(Calc!$B$6:$L$15,MATCH(Dashboard!$M$7,Calc!$B$6:$B$15,0),MATCH(Calc!$C$5,Calc!$B$5:$L$5,0))=0,"",INDEX(Calc!$B$6:$L$15,MATCH(Dashboard!$M$7,Calc!$B$6:$B$15,0),MATCH(Calc!$C$5,Calc!$B$5:$L$5,0))),"")</f>
        <v>1750</v>
      </c>
      <c r="N10" s="12"/>
    </row>
    <row r="11" spans="1:14" ht="15" customHeight="1" x14ac:dyDescent="0.25">
      <c r="B11" s="11"/>
      <c r="C11"/>
      <c r="D11"/>
      <c r="E11"/>
      <c r="F11"/>
      <c r="G11"/>
      <c r="H11"/>
      <c r="I11"/>
      <c r="J11"/>
      <c r="K11"/>
      <c r="L11" s="26"/>
      <c r="M11" s="33"/>
      <c r="N11" s="12"/>
    </row>
    <row r="12" spans="1:14" x14ac:dyDescent="0.25">
      <c r="B12" s="11"/>
      <c r="C12"/>
      <c r="D12"/>
      <c r="E12"/>
      <c r="F12"/>
      <c r="G12"/>
      <c r="H12"/>
      <c r="I12"/>
      <c r="J12"/>
      <c r="K12"/>
      <c r="L12" s="96" t="s">
        <v>68</v>
      </c>
      <c r="M12" s="136">
        <f>IFERROR(IF($M$13+$M$14=0,"",$M$13+$M$14),"")</f>
        <v>125000</v>
      </c>
      <c r="N12" s="12"/>
    </row>
    <row r="13" spans="1:14" ht="15" customHeight="1" x14ac:dyDescent="0.25">
      <c r="B13" s="11"/>
      <c r="C13"/>
      <c r="D13"/>
      <c r="E13"/>
      <c r="F13"/>
      <c r="G13"/>
      <c r="H13"/>
      <c r="I13"/>
      <c r="J13"/>
      <c r="K13"/>
      <c r="L13" s="24" t="s">
        <v>45</v>
      </c>
      <c r="M13" s="137">
        <f>IFERROR(IF(INDEX(Calc!$B$6:$L$15,MATCH(Dashboard!$M$7,Calc!$B$6:$B$15,0),MATCH(Calc!$G$5,Calc!$B$5:$L$5,0))=0,"",INDEX(Calc!$B$6:$L$15,MATCH(Dashboard!$M$7,Calc!$B$6:$B$15,0),MATCH(Calc!$G$5,Calc!$B$5:$L$5,0))),"")</f>
        <v>75000</v>
      </c>
      <c r="N13" s="12"/>
    </row>
    <row r="14" spans="1:14" x14ac:dyDescent="0.25">
      <c r="B14" s="11"/>
      <c r="C14"/>
      <c r="D14"/>
      <c r="E14"/>
      <c r="F14"/>
      <c r="G14"/>
      <c r="H14"/>
      <c r="I14"/>
      <c r="J14"/>
      <c r="K14"/>
      <c r="L14" s="97" t="s">
        <v>46</v>
      </c>
      <c r="M14" s="135">
        <f>IFERROR(IF(INDEX(Calc!$B$6:$L$15,MATCH(Dashboard!$M$7,Calc!$B$6:$B$15,0),MATCH(Calc!$F$5,Calc!$B$5:$L$5,0))=0,"",INDEX(Calc!$B$6:$L$15,MATCH(Dashboard!$M$7,Calc!$B$6:$B$15,0),MATCH(Calc!$F$5,Calc!$B$5:$L$5,0))),"")</f>
        <v>50000</v>
      </c>
      <c r="N14" s="12"/>
    </row>
    <row r="15" spans="1:14" ht="15" customHeight="1" x14ac:dyDescent="0.25">
      <c r="B15" s="11"/>
      <c r="C15"/>
      <c r="D15"/>
      <c r="E15"/>
      <c r="F15"/>
      <c r="G15"/>
      <c r="H15"/>
      <c r="I15"/>
      <c r="J15"/>
      <c r="K15"/>
      <c r="L15" s="26"/>
      <c r="M15" s="33"/>
      <c r="N15" s="12"/>
    </row>
    <row r="16" spans="1:14" x14ac:dyDescent="0.25">
      <c r="B16" s="11"/>
      <c r="C16"/>
      <c r="D16"/>
      <c r="E16"/>
      <c r="F16"/>
      <c r="G16"/>
      <c r="H16"/>
      <c r="I16"/>
      <c r="J16"/>
      <c r="K16"/>
      <c r="L16" s="32" t="s">
        <v>38</v>
      </c>
      <c r="M16" s="138">
        <f>IFERROR(IF(investment=0,"",investment),"")</f>
        <v>311500</v>
      </c>
      <c r="N16" s="12"/>
    </row>
    <row r="17" spans="2:14" ht="15" customHeight="1" x14ac:dyDescent="0.25">
      <c r="B17" s="11"/>
      <c r="C17"/>
      <c r="D17"/>
      <c r="E17"/>
      <c r="F17"/>
      <c r="G17"/>
      <c r="H17"/>
      <c r="I17"/>
      <c r="J17"/>
      <c r="K17"/>
      <c r="L17" s="26"/>
      <c r="M17" s="33"/>
      <c r="N17" s="12"/>
    </row>
    <row r="18" spans="2:14" x14ac:dyDescent="0.25">
      <c r="B18" s="11"/>
      <c r="C18"/>
      <c r="D18"/>
      <c r="E18"/>
      <c r="F18"/>
      <c r="G18"/>
      <c r="H18"/>
      <c r="I18"/>
      <c r="J18"/>
      <c r="K18"/>
      <c r="L18" s="32" t="s">
        <v>69</v>
      </c>
      <c r="M18" s="138">
        <f>IFERROR(INDEX(Calc!$B$6:$L$15,MATCH(Dashboard!$M$7,Calc!$B$6:$B$15,0),MATCH(Calc!$J$5,Calc!$B$5:$L$5,0)),"")</f>
        <v>50000</v>
      </c>
      <c r="N18" s="12"/>
    </row>
    <row r="19" spans="2:14" ht="15" customHeight="1" x14ac:dyDescent="0.25">
      <c r="B19" s="11"/>
      <c r="C19"/>
      <c r="D19"/>
      <c r="E19"/>
      <c r="F19"/>
      <c r="G19"/>
      <c r="H19"/>
      <c r="I19"/>
      <c r="J19"/>
      <c r="K19"/>
      <c r="L19" s="26"/>
      <c r="M19" s="33"/>
      <c r="N19" s="12"/>
    </row>
    <row r="20" spans="2:14" x14ac:dyDescent="0.25">
      <c r="B20" s="11"/>
      <c r="C20"/>
      <c r="D20"/>
      <c r="E20"/>
      <c r="F20"/>
      <c r="G20"/>
      <c r="H20"/>
      <c r="I20"/>
      <c r="J20"/>
      <c r="K20"/>
      <c r="L20" s="98" t="str">
        <f>"CUMULATIVE BALANCE OF PERIOD" &amp;" "&amp;$M$7</f>
        <v>CUMULATIVE BALANCE OF PERIOD 5</v>
      </c>
      <c r="M20" s="138">
        <f>IFERROR(INDEX(Calc!$B$6:$L$15,MATCH(Dashboard!$M$7,Calc!$B$6:$B$15,0),MATCH(Calc!$L$5,Calc!$B$5:$L$5,0)),"")</f>
        <v>-61500</v>
      </c>
      <c r="N20" s="12"/>
    </row>
    <row r="21" spans="2:14" ht="15" customHeight="1" x14ac:dyDescent="0.25">
      <c r="B21" s="11"/>
      <c r="C21"/>
      <c r="D21"/>
      <c r="E21"/>
      <c r="F21"/>
      <c r="G21"/>
      <c r="H21"/>
      <c r="I21"/>
      <c r="J21"/>
      <c r="K21"/>
      <c r="L21" s="26"/>
      <c r="M21" s="33"/>
      <c r="N21" s="12"/>
    </row>
    <row r="22" spans="2:14" x14ac:dyDescent="0.25">
      <c r="B22" s="11"/>
      <c r="C22"/>
      <c r="D22"/>
      <c r="E22"/>
      <c r="F22"/>
      <c r="G22"/>
      <c r="H22"/>
      <c r="I22"/>
      <c r="J22"/>
      <c r="K22"/>
      <c r="L22" s="32" t="s">
        <v>35</v>
      </c>
      <c r="M22" s="139">
        <f ca="1">IFERROR(XIRR(OFFSET(profitStart,0,0,periodsCount,1),OFFSET(datesStart,0,0,periodsCount,1)),"")</f>
        <v>0.43396152853965753</v>
      </c>
      <c r="N22" s="12"/>
    </row>
    <row r="23" spans="2:14" x14ac:dyDescent="0.25">
      <c r="B23" s="11"/>
      <c r="C23"/>
      <c r="D23"/>
      <c r="E23"/>
      <c r="F23"/>
      <c r="G23"/>
      <c r="H23"/>
      <c r="I23"/>
      <c r="J23"/>
      <c r="K23"/>
      <c r="L23" s="26"/>
      <c r="M23" s="33"/>
      <c r="N23" s="12"/>
    </row>
    <row r="24" spans="2:14" ht="15" customHeight="1" x14ac:dyDescent="0.25">
      <c r="B24" s="11"/>
      <c r="C24"/>
      <c r="D24"/>
      <c r="E24"/>
      <c r="F24"/>
      <c r="G24"/>
      <c r="H24"/>
      <c r="I24"/>
      <c r="J24"/>
      <c r="K24"/>
      <c r="L24" s="31" t="s">
        <v>36</v>
      </c>
      <c r="M24" s="136">
        <f ca="1">IFERROR(NPV($M$25/12,OFFSET(profitStart,1,0,periodsCount-1,1))-investment,"")</f>
        <v>37336.243934732745</v>
      </c>
      <c r="N24" s="12"/>
    </row>
    <row r="25" spans="2:14" x14ac:dyDescent="0.25">
      <c r="B25" s="11"/>
      <c r="C25"/>
      <c r="D25"/>
      <c r="E25"/>
      <c r="F25"/>
      <c r="G25"/>
      <c r="H25"/>
      <c r="I25"/>
      <c r="J25"/>
      <c r="K25"/>
      <c r="L25" s="94" t="s">
        <v>64</v>
      </c>
      <c r="M25" s="95">
        <v>0.01</v>
      </c>
      <c r="N25" s="12"/>
    </row>
    <row r="26" spans="2:14" ht="19.5" customHeight="1" x14ac:dyDescent="0.25">
      <c r="B26" s="11"/>
      <c r="C26"/>
      <c r="D26"/>
      <c r="E26"/>
      <c r="F26"/>
      <c r="G26"/>
      <c r="H26"/>
      <c r="I26"/>
      <c r="J26"/>
      <c r="K26"/>
      <c r="L26"/>
      <c r="M26"/>
      <c r="N26" s="12"/>
    </row>
    <row r="27" spans="2:14" x14ac:dyDescent="0.25">
      <c r="B27" s="11"/>
      <c r="C27"/>
      <c r="D27"/>
      <c r="E27"/>
      <c r="F27"/>
      <c r="G27"/>
      <c r="H27"/>
      <c r="I27"/>
      <c r="J27"/>
      <c r="K27"/>
      <c r="L27"/>
      <c r="M27"/>
      <c r="N27" s="12"/>
    </row>
    <row r="28" spans="2:14" x14ac:dyDescent="0.25">
      <c r="B28" s="11"/>
      <c r="C28"/>
      <c r="D28"/>
      <c r="E28"/>
      <c r="F28"/>
      <c r="G28"/>
      <c r="H28"/>
      <c r="I28"/>
      <c r="J28"/>
      <c r="K28"/>
      <c r="L28"/>
      <c r="M28"/>
      <c r="N28" s="12"/>
    </row>
    <row r="29" spans="2:14" x14ac:dyDescent="0.25">
      <c r="B29" s="11"/>
      <c r="C29"/>
      <c r="D29"/>
      <c r="E29"/>
      <c r="F29"/>
      <c r="G29"/>
      <c r="H29"/>
      <c r="I29"/>
      <c r="J29"/>
      <c r="K29"/>
      <c r="L29"/>
      <c r="M29"/>
      <c r="N29" s="12"/>
    </row>
    <row r="30" spans="2:14" x14ac:dyDescent="0.25">
      <c r="B30" s="11"/>
      <c r="C30"/>
      <c r="D30"/>
      <c r="E30"/>
      <c r="F30"/>
      <c r="G30"/>
      <c r="H30"/>
      <c r="I30"/>
      <c r="J30"/>
      <c r="K30"/>
      <c r="L30"/>
      <c r="M30"/>
      <c r="N30" s="12"/>
    </row>
    <row r="31" spans="2:14" x14ac:dyDescent="0.25">
      <c r="B31" s="11"/>
      <c r="C31"/>
      <c r="D31"/>
      <c r="E31"/>
      <c r="F31"/>
      <c r="G31"/>
      <c r="H31"/>
      <c r="I31"/>
      <c r="J31"/>
      <c r="K31"/>
      <c r="L31"/>
      <c r="M31"/>
      <c r="N31" s="12"/>
    </row>
    <row r="32" spans="2:14" x14ac:dyDescent="0.25">
      <c r="B32" s="11"/>
      <c r="C32"/>
      <c r="D32"/>
      <c r="E32"/>
      <c r="F32"/>
      <c r="G32"/>
      <c r="H32"/>
      <c r="I32"/>
      <c r="J32"/>
      <c r="K32"/>
      <c r="L32"/>
      <c r="M32"/>
      <c r="N32" s="12"/>
    </row>
    <row r="33" spans="2:16" x14ac:dyDescent="0.25">
      <c r="B33" s="11"/>
      <c r="C33"/>
      <c r="D33"/>
      <c r="E33"/>
      <c r="F33"/>
      <c r="G33"/>
      <c r="H33"/>
      <c r="I33"/>
      <c r="J33"/>
      <c r="K33"/>
      <c r="L33"/>
      <c r="M33"/>
      <c r="N33" s="12"/>
    </row>
    <row r="34" spans="2:16" x14ac:dyDescent="0.25">
      <c r="B34" s="11"/>
      <c r="C34"/>
      <c r="D34"/>
      <c r="E34"/>
      <c r="F34"/>
      <c r="G34"/>
      <c r="H34"/>
      <c r="I34"/>
      <c r="J34"/>
      <c r="K34"/>
      <c r="L34"/>
      <c r="M34"/>
      <c r="N34" s="12"/>
    </row>
    <row r="35" spans="2:16" x14ac:dyDescent="0.25">
      <c r="B35" s="11"/>
      <c r="C35"/>
      <c r="D35"/>
      <c r="E35"/>
      <c r="F35"/>
      <c r="G35"/>
      <c r="H35"/>
      <c r="I35"/>
      <c r="J35"/>
      <c r="K35"/>
      <c r="L35"/>
      <c r="M35"/>
      <c r="N35" s="12"/>
    </row>
    <row r="36" spans="2:16" x14ac:dyDescent="0.25">
      <c r="B36" s="11"/>
      <c r="C36"/>
      <c r="D36"/>
      <c r="E36"/>
      <c r="F36"/>
      <c r="G36"/>
      <c r="H36"/>
      <c r="I36"/>
      <c r="J36"/>
      <c r="K36"/>
      <c r="L36"/>
      <c r="M36"/>
      <c r="N36" s="12"/>
    </row>
    <row r="37" spans="2:16" x14ac:dyDescent="0.25">
      <c r="B37" s="11"/>
      <c r="C37"/>
      <c r="D37"/>
      <c r="E37"/>
      <c r="F37"/>
      <c r="G37"/>
      <c r="H37"/>
      <c r="I37"/>
      <c r="J37"/>
      <c r="K37"/>
      <c r="L37"/>
      <c r="M37"/>
      <c r="N37" s="12"/>
    </row>
    <row r="38" spans="2:16" x14ac:dyDescent="0.25">
      <c r="B38" s="11"/>
      <c r="C38"/>
      <c r="D38"/>
      <c r="E38"/>
      <c r="F38"/>
      <c r="G38"/>
      <c r="H38"/>
      <c r="I38"/>
      <c r="J38"/>
      <c r="K38"/>
      <c r="L38"/>
      <c r="M38"/>
      <c r="N38" s="12"/>
    </row>
    <row r="39" spans="2:16" x14ac:dyDescent="0.25">
      <c r="B39" s="11"/>
      <c r="C39"/>
      <c r="D39"/>
      <c r="E39"/>
      <c r="F39"/>
      <c r="G39"/>
      <c r="H39"/>
      <c r="I39"/>
      <c r="J39"/>
      <c r="K39"/>
      <c r="L39"/>
      <c r="M39"/>
      <c r="N39" s="12"/>
      <c r="P39" s="25"/>
    </row>
    <row r="40" spans="2:16" x14ac:dyDescent="0.25">
      <c r="B40" s="11"/>
      <c r="C40"/>
      <c r="D40"/>
      <c r="E40"/>
      <c r="F40"/>
      <c r="G40"/>
      <c r="H40"/>
      <c r="I40"/>
      <c r="J40"/>
      <c r="K40"/>
      <c r="L40"/>
      <c r="M40"/>
      <c r="N40" s="12"/>
    </row>
    <row r="41" spans="2:16" x14ac:dyDescent="0.25">
      <c r="B41" s="11"/>
      <c r="C41"/>
      <c r="D41"/>
      <c r="E41"/>
      <c r="F41"/>
      <c r="G41"/>
      <c r="H41"/>
      <c r="I41"/>
      <c r="J41"/>
      <c r="K41"/>
      <c r="L41"/>
      <c r="M41"/>
      <c r="N41" s="12"/>
    </row>
    <row r="42" spans="2:16" x14ac:dyDescent="0.25">
      <c r="B42" s="11"/>
      <c r="C42"/>
      <c r="D42"/>
      <c r="E42"/>
      <c r="F42"/>
      <c r="G42"/>
      <c r="H42"/>
      <c r="I42"/>
      <c r="J42"/>
      <c r="K42"/>
      <c r="L42"/>
      <c r="M42"/>
      <c r="N42" s="12"/>
    </row>
    <row r="43" spans="2:16" x14ac:dyDescent="0.25">
      <c r="B43" s="11"/>
      <c r="C43"/>
      <c r="D43"/>
      <c r="E43"/>
      <c r="F43"/>
      <c r="G43"/>
      <c r="H43"/>
      <c r="I43"/>
      <c r="J43"/>
      <c r="K43"/>
      <c r="L43"/>
      <c r="M43"/>
      <c r="N43" s="12"/>
    </row>
    <row r="44" spans="2:16" x14ac:dyDescent="0.25">
      <c r="B44" s="11"/>
      <c r="C44"/>
      <c r="D44"/>
      <c r="E44"/>
      <c r="F44"/>
      <c r="G44"/>
      <c r="H44"/>
      <c r="I44"/>
      <c r="J44"/>
      <c r="K44"/>
      <c r="L44"/>
      <c r="M44"/>
      <c r="N44" s="12"/>
    </row>
    <row r="45" spans="2:16" ht="14.25" customHeight="1" x14ac:dyDescent="0.25">
      <c r="B45" s="13"/>
      <c r="C45" s="14"/>
      <c r="D45"/>
      <c r="E45" s="14"/>
      <c r="F45" s="14"/>
      <c r="G45" s="14"/>
      <c r="H45" s="14"/>
      <c r="I45" s="14"/>
      <c r="J45" s="14"/>
      <c r="K45" s="14"/>
      <c r="L45" s="14"/>
      <c r="M45" s="14"/>
      <c r="N45" s="15"/>
    </row>
    <row r="46" spans="2:16" ht="7.35" customHeight="1" x14ac:dyDescent="0.25">
      <c r="C46" s="23"/>
      <c r="D46" s="22"/>
    </row>
    <row r="47" spans="2:16" s="16" customFormat="1" ht="22.9" customHeight="1" x14ac:dyDescent="0.25">
      <c r="B47" s="17"/>
      <c r="C47" s="17"/>
      <c r="D47" s="17"/>
      <c r="E47" s="18"/>
      <c r="F47" s="19"/>
      <c r="G47" s="19"/>
      <c r="H47" s="19"/>
      <c r="I47" s="17"/>
      <c r="J47" s="17"/>
      <c r="K47" s="17"/>
      <c r="L47" s="17"/>
      <c r="M47" s="17"/>
      <c r="N47" s="17"/>
    </row>
    <row r="48" spans="2:16" x14ac:dyDescent="0.25">
      <c r="C48" s="23"/>
      <c r="D48" s="23"/>
    </row>
  </sheetData>
  <sheetProtection algorithmName="SHA-512" hashValue="vGJK2k7yEWJ9ne3UdIHpNlIgtpHos1oZPWRSnA9EWnQRPMmaXpEnAEM3TLXqEQtyLJN9pavAx6rAc8i3cKhl2A==" saltValue="hr6llJqLM6JpaO1sQUcNtA==" spinCount="100000" sheet="1" objects="1" scenarios="1" formatRows="0"/>
  <conditionalFormatting sqref="M18">
    <cfRule type="expression" dxfId="18" priority="5">
      <formula>$M$18&lt;0</formula>
    </cfRule>
  </conditionalFormatting>
  <conditionalFormatting sqref="M20">
    <cfRule type="expression" dxfId="17" priority="4">
      <formula>$M$20&lt;0</formula>
    </cfRule>
  </conditionalFormatting>
  <conditionalFormatting sqref="M22">
    <cfRule type="expression" dxfId="16" priority="2">
      <formula>$M$22&lt;0</formula>
    </cfRule>
  </conditionalFormatting>
  <conditionalFormatting sqref="M24">
    <cfRule type="expression" dxfId="15" priority="1">
      <formula>$M$24&lt;0</formula>
    </cfRule>
  </conditionalFormatting>
  <dataValidations count="1">
    <dataValidation type="list" allowBlank="1" showInputMessage="1" showErrorMessage="1" sqref="M7" xr:uid="{CF69835E-6A89-42B0-BB59-96DFFA7AE079}">
      <formula1>OFFSET(periodStart,0,0,COUNTA(periods),1)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5B21-6F22-429C-A24C-EFC418BA575A}">
  <sheetPr codeName="Sheet1">
    <pageSetUpPr fitToPage="1"/>
  </sheetPr>
  <dimension ref="A1:R66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8.85546875" defaultRowHeight="15" outlineLevelRow="1" x14ac:dyDescent="0.25"/>
  <cols>
    <col min="1" max="1" width="3.7109375" style="7" customWidth="1"/>
    <col min="2" max="2" width="14.7109375" style="7" customWidth="1"/>
    <col min="3" max="4" width="11.7109375" style="7" customWidth="1"/>
    <col min="5" max="5" width="11.85546875" style="7" customWidth="1"/>
    <col min="6" max="7" width="11.7109375" style="7" customWidth="1"/>
    <col min="8" max="8" width="20.28515625" style="7" customWidth="1"/>
    <col min="9" max="10" width="11.85546875" style="7" customWidth="1"/>
    <col min="11" max="11" width="18" style="7" customWidth="1"/>
    <col min="12" max="12" width="20.5703125" style="7" customWidth="1"/>
    <col min="13" max="13" width="4" style="23" customWidth="1"/>
    <col min="14" max="14" width="24" style="7" customWidth="1"/>
    <col min="15" max="15" width="11.7109375" style="7" customWidth="1"/>
    <col min="16" max="16" width="7.7109375" style="7" bestFit="1" customWidth="1"/>
    <col min="17" max="17" width="10.42578125" style="7" bestFit="1" customWidth="1"/>
    <col min="18" max="18" width="20" style="7" bestFit="1" customWidth="1"/>
    <col min="19" max="16384" width="8.85546875" style="7"/>
  </cols>
  <sheetData>
    <row r="1" spans="1:15" s="1" customFormat="1" ht="6.75" customHeight="1" x14ac:dyDescent="0.25">
      <c r="B1" s="2"/>
      <c r="E1" s="3"/>
      <c r="F1" s="3"/>
      <c r="G1" s="3"/>
      <c r="M1" s="23"/>
    </row>
    <row r="2" spans="1:15" s="170" customFormat="1" ht="20.100000000000001" customHeight="1" x14ac:dyDescent="0.25">
      <c r="B2" s="171" t="s">
        <v>58</v>
      </c>
      <c r="C2" s="172"/>
      <c r="D2" s="173"/>
      <c r="E2" s="173"/>
      <c r="F2" s="173"/>
      <c r="G2" s="173"/>
      <c r="H2" s="173"/>
      <c r="I2" s="173"/>
      <c r="J2" s="173"/>
      <c r="K2" s="50"/>
      <c r="L2" s="50"/>
      <c r="M2" s="173"/>
      <c r="N2" s="173"/>
      <c r="O2" s="173"/>
    </row>
    <row r="3" spans="1:15" s="4" customFormat="1" ht="24" customHeight="1" x14ac:dyDescent="0.25">
      <c r="B3" s="174" t="s">
        <v>39</v>
      </c>
      <c r="C3" s="175"/>
      <c r="D3" s="5"/>
      <c r="E3" s="5"/>
      <c r="F3" s="5"/>
      <c r="G3" s="5"/>
      <c r="H3" s="5"/>
      <c r="I3" s="5"/>
      <c r="J3" s="5"/>
      <c r="K3" s="51"/>
      <c r="L3" s="51"/>
      <c r="M3" s="5"/>
      <c r="N3" s="5"/>
      <c r="O3" s="5"/>
    </row>
    <row r="4" spans="1:15" ht="5.0999999999999996" customHeight="1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</row>
    <row r="5" spans="1:15" ht="30" x14ac:dyDescent="0.25">
      <c r="A5" s="176"/>
      <c r="B5" s="28" t="s">
        <v>34</v>
      </c>
      <c r="C5" s="29" t="s">
        <v>60</v>
      </c>
      <c r="D5" s="29" t="s">
        <v>51</v>
      </c>
      <c r="E5" s="66" t="s">
        <v>7</v>
      </c>
      <c r="F5" s="29" t="s">
        <v>46</v>
      </c>
      <c r="G5" s="29" t="s">
        <v>45</v>
      </c>
      <c r="H5" s="29" t="s">
        <v>37</v>
      </c>
      <c r="I5" s="27" t="s">
        <v>17</v>
      </c>
      <c r="J5" s="27" t="s">
        <v>8</v>
      </c>
      <c r="K5" s="27" t="s">
        <v>52</v>
      </c>
      <c r="L5" s="177" t="s">
        <v>9</v>
      </c>
      <c r="M5" s="178"/>
      <c r="N5" s="179" t="s">
        <v>37</v>
      </c>
      <c r="O5" s="35" t="s">
        <v>16</v>
      </c>
    </row>
    <row r="6" spans="1:15" x14ac:dyDescent="0.25">
      <c r="B6" s="167">
        <v>0</v>
      </c>
      <c r="C6" s="168"/>
      <c r="D6" s="169"/>
      <c r="E6" s="142">
        <v>0</v>
      </c>
      <c r="F6" s="168"/>
      <c r="G6" s="168"/>
      <c r="H6" s="128">
        <v>311500</v>
      </c>
      <c r="I6" s="129">
        <f>IFERROR(IF(AND(LEN(F6)=0,LEN(G6)=0,LEN(H6)=0),IF(LEN(E6)=0,"",""),F6+G6+H6),"")</f>
        <v>311500</v>
      </c>
      <c r="J6" s="130">
        <f t="shared" ref="J6:J15" si="0">IFERROR(E6-I6,"")</f>
        <v>-311500</v>
      </c>
      <c r="K6" s="131" t="str">
        <f t="shared" ref="K6:K15" si="1">IFERROR(J6/C6,"")</f>
        <v/>
      </c>
      <c r="L6" s="132">
        <f>IFERROR(E6-I6,"")</f>
        <v>-311500</v>
      </c>
      <c r="N6" s="99" t="s">
        <v>18</v>
      </c>
      <c r="O6" s="83">
        <v>175000</v>
      </c>
    </row>
    <row r="7" spans="1:15" x14ac:dyDescent="0.25">
      <c r="B7" s="152">
        <v>1</v>
      </c>
      <c r="C7" s="74">
        <v>1750</v>
      </c>
      <c r="D7" s="92">
        <v>100</v>
      </c>
      <c r="E7" s="93">
        <f t="shared" ref="E7:E15" si="2">IFERROR(IF(OR(LEN(C7)=0,LEN(D7)=0),"",C7*D7),"")</f>
        <v>175000</v>
      </c>
      <c r="F7" s="79">
        <v>50000</v>
      </c>
      <c r="G7" s="80">
        <v>75000</v>
      </c>
      <c r="H7" s="153"/>
      <c r="I7" s="124">
        <f t="shared" ref="I7:I15" si="3">IFERROR(IF(AND(LEN(F7)=0,LEN(G7)=0,LEN(H7)=0),IF(LEN(E7)=0,"",""),F7+G7+H7),"")</f>
        <v>125000</v>
      </c>
      <c r="J7" s="125">
        <f>IFERROR(E7-I7,"")</f>
        <v>50000</v>
      </c>
      <c r="K7" s="126">
        <f t="shared" si="1"/>
        <v>28.571428571428573</v>
      </c>
      <c r="L7" s="127">
        <f>IFERROR(L6+J7,"")</f>
        <v>-261500</v>
      </c>
      <c r="N7" s="100" t="s">
        <v>23</v>
      </c>
      <c r="O7" s="84">
        <v>50000</v>
      </c>
    </row>
    <row r="8" spans="1:15" x14ac:dyDescent="0.25">
      <c r="B8" s="152">
        <v>2</v>
      </c>
      <c r="C8" s="75">
        <v>1750</v>
      </c>
      <c r="D8" s="76">
        <v>100</v>
      </c>
      <c r="E8" s="93">
        <f t="shared" si="2"/>
        <v>175000</v>
      </c>
      <c r="F8" s="75">
        <v>50000</v>
      </c>
      <c r="G8" s="81">
        <v>75000</v>
      </c>
      <c r="H8" s="153"/>
      <c r="I8" s="124">
        <f t="shared" si="3"/>
        <v>125000</v>
      </c>
      <c r="J8" s="125">
        <f t="shared" si="0"/>
        <v>50000</v>
      </c>
      <c r="K8" s="126">
        <f t="shared" si="1"/>
        <v>28.571428571428573</v>
      </c>
      <c r="L8" s="127">
        <f>IFERROR(L7+J8,"")</f>
        <v>-211500</v>
      </c>
      <c r="N8" s="100" t="s">
        <v>54</v>
      </c>
      <c r="O8" s="84">
        <v>5000</v>
      </c>
    </row>
    <row r="9" spans="1:15" x14ac:dyDescent="0.25">
      <c r="B9" s="152">
        <v>3</v>
      </c>
      <c r="C9" s="75">
        <v>1750</v>
      </c>
      <c r="D9" s="76">
        <v>100</v>
      </c>
      <c r="E9" s="93">
        <f t="shared" si="2"/>
        <v>175000</v>
      </c>
      <c r="F9" s="75">
        <v>50000</v>
      </c>
      <c r="G9" s="81">
        <v>75000</v>
      </c>
      <c r="H9" s="153"/>
      <c r="I9" s="124">
        <f t="shared" si="3"/>
        <v>125000</v>
      </c>
      <c r="J9" s="125">
        <f t="shared" si="0"/>
        <v>50000</v>
      </c>
      <c r="K9" s="126">
        <f t="shared" si="1"/>
        <v>28.571428571428573</v>
      </c>
      <c r="L9" s="127">
        <f t="shared" ref="L9:L15" si="4">IFERROR(L8+J9,"")</f>
        <v>-161500</v>
      </c>
      <c r="N9" s="100" t="s">
        <v>19</v>
      </c>
      <c r="O9" s="84">
        <v>7500</v>
      </c>
    </row>
    <row r="10" spans="1:15" x14ac:dyDescent="0.25">
      <c r="B10" s="152">
        <v>4</v>
      </c>
      <c r="C10" s="75">
        <v>1750</v>
      </c>
      <c r="D10" s="76">
        <v>100</v>
      </c>
      <c r="E10" s="93">
        <f t="shared" si="2"/>
        <v>175000</v>
      </c>
      <c r="F10" s="75">
        <v>50000</v>
      </c>
      <c r="G10" s="81">
        <v>75000</v>
      </c>
      <c r="H10" s="153"/>
      <c r="I10" s="124">
        <f t="shared" si="3"/>
        <v>125000</v>
      </c>
      <c r="J10" s="125">
        <f t="shared" si="0"/>
        <v>50000</v>
      </c>
      <c r="K10" s="126">
        <f t="shared" si="1"/>
        <v>28.571428571428573</v>
      </c>
      <c r="L10" s="127">
        <f t="shared" si="4"/>
        <v>-111500</v>
      </c>
      <c r="N10" s="100" t="s">
        <v>20</v>
      </c>
      <c r="O10" s="84">
        <v>10000</v>
      </c>
    </row>
    <row r="11" spans="1:15" x14ac:dyDescent="0.25">
      <c r="B11" s="152">
        <v>5</v>
      </c>
      <c r="C11" s="75">
        <v>1750</v>
      </c>
      <c r="D11" s="77">
        <v>100</v>
      </c>
      <c r="E11" s="93">
        <f t="shared" si="2"/>
        <v>175000</v>
      </c>
      <c r="F11" s="75">
        <v>50000</v>
      </c>
      <c r="G11" s="81">
        <v>75000</v>
      </c>
      <c r="H11" s="153"/>
      <c r="I11" s="124">
        <f t="shared" si="3"/>
        <v>125000</v>
      </c>
      <c r="J11" s="125">
        <f t="shared" si="0"/>
        <v>50000</v>
      </c>
      <c r="K11" s="126">
        <f t="shared" si="1"/>
        <v>28.571428571428573</v>
      </c>
      <c r="L11" s="127">
        <f t="shared" si="4"/>
        <v>-61500</v>
      </c>
      <c r="N11" s="100" t="s">
        <v>21</v>
      </c>
      <c r="O11" s="84">
        <v>15000</v>
      </c>
    </row>
    <row r="12" spans="1:15" x14ac:dyDescent="0.25">
      <c r="B12" s="152">
        <v>6</v>
      </c>
      <c r="C12" s="75">
        <v>1750</v>
      </c>
      <c r="D12" s="77">
        <v>100</v>
      </c>
      <c r="E12" s="93">
        <f t="shared" si="2"/>
        <v>175000</v>
      </c>
      <c r="F12" s="75">
        <v>50000</v>
      </c>
      <c r="G12" s="81">
        <v>75000</v>
      </c>
      <c r="H12" s="153"/>
      <c r="I12" s="124">
        <f t="shared" si="3"/>
        <v>125000</v>
      </c>
      <c r="J12" s="125">
        <f t="shared" si="0"/>
        <v>50000</v>
      </c>
      <c r="K12" s="126">
        <f t="shared" si="1"/>
        <v>28.571428571428573</v>
      </c>
      <c r="L12" s="127">
        <f t="shared" si="4"/>
        <v>-11500</v>
      </c>
      <c r="N12" s="100" t="s">
        <v>53</v>
      </c>
      <c r="O12" s="84">
        <v>6000</v>
      </c>
    </row>
    <row r="13" spans="1:15" x14ac:dyDescent="0.25">
      <c r="B13" s="152">
        <v>7</v>
      </c>
      <c r="C13" s="75">
        <v>1750</v>
      </c>
      <c r="D13" s="77">
        <v>100</v>
      </c>
      <c r="E13" s="93">
        <f t="shared" si="2"/>
        <v>175000</v>
      </c>
      <c r="F13" s="75">
        <v>50000</v>
      </c>
      <c r="G13" s="81">
        <v>75000</v>
      </c>
      <c r="H13" s="153"/>
      <c r="I13" s="124">
        <f t="shared" si="3"/>
        <v>125000</v>
      </c>
      <c r="J13" s="125">
        <f t="shared" si="0"/>
        <v>50000</v>
      </c>
      <c r="K13" s="126">
        <f>IFERROR(J13/C13,"")</f>
        <v>28.571428571428573</v>
      </c>
      <c r="L13" s="127">
        <f t="shared" si="4"/>
        <v>38500</v>
      </c>
      <c r="N13" s="100" t="s">
        <v>22</v>
      </c>
      <c r="O13" s="84">
        <v>3000</v>
      </c>
    </row>
    <row r="14" spans="1:15" x14ac:dyDescent="0.25">
      <c r="B14" s="152">
        <v>8</v>
      </c>
      <c r="C14" s="75"/>
      <c r="D14" s="78"/>
      <c r="E14" s="93" t="str">
        <f t="shared" si="2"/>
        <v/>
      </c>
      <c r="F14" s="75"/>
      <c r="G14" s="82"/>
      <c r="H14" s="153"/>
      <c r="I14" s="124" t="str">
        <f t="shared" si="3"/>
        <v/>
      </c>
      <c r="J14" s="125" t="str">
        <f t="shared" si="0"/>
        <v/>
      </c>
      <c r="K14" s="126" t="str">
        <f t="shared" si="1"/>
        <v/>
      </c>
      <c r="L14" s="127" t="str">
        <f t="shared" si="4"/>
        <v/>
      </c>
      <c r="N14" s="100"/>
      <c r="O14" s="84"/>
    </row>
    <row r="15" spans="1:15" x14ac:dyDescent="0.25">
      <c r="B15" s="152">
        <v>9</v>
      </c>
      <c r="C15" s="75"/>
      <c r="D15" s="78"/>
      <c r="E15" s="93" t="str">
        <f t="shared" si="2"/>
        <v/>
      </c>
      <c r="F15" s="75"/>
      <c r="G15" s="82"/>
      <c r="H15" s="153"/>
      <c r="I15" s="124" t="str">
        <f t="shared" si="3"/>
        <v/>
      </c>
      <c r="J15" s="125" t="str">
        <f t="shared" si="0"/>
        <v/>
      </c>
      <c r="K15" s="126" t="str">
        <f t="shared" si="1"/>
        <v/>
      </c>
      <c r="L15" s="127" t="str">
        <f t="shared" si="4"/>
        <v/>
      </c>
      <c r="N15" s="100"/>
      <c r="O15" s="84"/>
    </row>
    <row r="16" spans="1:15" x14ac:dyDescent="0.25">
      <c r="B16" s="152">
        <v>10</v>
      </c>
      <c r="C16" s="181"/>
      <c r="D16" s="182"/>
      <c r="E16" s="93"/>
      <c r="F16" s="181"/>
      <c r="G16" s="183"/>
      <c r="H16" s="153"/>
      <c r="I16" s="188"/>
      <c r="J16" s="189"/>
      <c r="K16" s="190"/>
      <c r="L16" s="191"/>
      <c r="N16" s="196"/>
      <c r="O16" s="197"/>
    </row>
    <row r="17" spans="2:15" x14ac:dyDescent="0.25">
      <c r="B17" s="152">
        <v>11</v>
      </c>
      <c r="C17" s="181"/>
      <c r="D17" s="182"/>
      <c r="E17" s="93"/>
      <c r="F17" s="181"/>
      <c r="G17" s="184"/>
      <c r="H17" s="153"/>
      <c r="I17" s="188"/>
      <c r="J17" s="189"/>
      <c r="K17" s="190"/>
      <c r="L17" s="191"/>
      <c r="N17" s="196"/>
      <c r="O17" s="197"/>
    </row>
    <row r="18" spans="2:15" x14ac:dyDescent="0.25">
      <c r="B18" s="152">
        <v>12</v>
      </c>
      <c r="C18" s="181"/>
      <c r="D18" s="182"/>
      <c r="E18" s="93"/>
      <c r="F18" s="181"/>
      <c r="G18" s="184"/>
      <c r="H18" s="153"/>
      <c r="I18" s="188"/>
      <c r="J18" s="189"/>
      <c r="K18" s="190"/>
      <c r="L18" s="191"/>
      <c r="N18" s="196"/>
      <c r="O18" s="197"/>
    </row>
    <row r="19" spans="2:15" hidden="1" outlineLevel="1" x14ac:dyDescent="0.25">
      <c r="B19" s="152">
        <v>13</v>
      </c>
      <c r="C19" s="181"/>
      <c r="D19" s="182"/>
      <c r="E19" s="93"/>
      <c r="F19" s="181"/>
      <c r="G19" s="184"/>
      <c r="H19" s="153"/>
      <c r="I19" s="188"/>
      <c r="J19" s="189"/>
      <c r="K19" s="190"/>
      <c r="L19" s="191"/>
      <c r="N19" s="196"/>
      <c r="O19" s="197"/>
    </row>
    <row r="20" spans="2:15" hidden="1" outlineLevel="1" x14ac:dyDescent="0.25">
      <c r="B20" s="152">
        <v>14</v>
      </c>
      <c r="C20" s="181"/>
      <c r="D20" s="182"/>
      <c r="E20" s="93"/>
      <c r="F20" s="181"/>
      <c r="G20" s="184"/>
      <c r="H20" s="153"/>
      <c r="I20" s="188"/>
      <c r="J20" s="189"/>
      <c r="K20" s="190"/>
      <c r="L20" s="191"/>
      <c r="N20" s="196"/>
      <c r="O20" s="197"/>
    </row>
    <row r="21" spans="2:15" hidden="1" outlineLevel="1" x14ac:dyDescent="0.25">
      <c r="B21" s="152">
        <v>15</v>
      </c>
      <c r="C21" s="181"/>
      <c r="D21" s="182"/>
      <c r="E21" s="93"/>
      <c r="F21" s="181"/>
      <c r="G21" s="184"/>
      <c r="H21" s="153"/>
      <c r="I21" s="188"/>
      <c r="J21" s="189"/>
      <c r="K21" s="190"/>
      <c r="L21" s="191"/>
      <c r="N21" s="196"/>
      <c r="O21" s="197"/>
    </row>
    <row r="22" spans="2:15" hidden="1" outlineLevel="1" x14ac:dyDescent="0.25">
      <c r="B22" s="152">
        <v>16</v>
      </c>
      <c r="C22" s="181"/>
      <c r="D22" s="182"/>
      <c r="E22" s="93"/>
      <c r="F22" s="181"/>
      <c r="G22" s="184"/>
      <c r="H22" s="153"/>
      <c r="I22" s="188"/>
      <c r="J22" s="189"/>
      <c r="K22" s="190"/>
      <c r="L22" s="191"/>
      <c r="N22" s="196"/>
      <c r="O22" s="197"/>
    </row>
    <row r="23" spans="2:15" hidden="1" outlineLevel="1" x14ac:dyDescent="0.25">
      <c r="B23" s="152">
        <v>17</v>
      </c>
      <c r="C23" s="181"/>
      <c r="D23" s="182"/>
      <c r="E23" s="93"/>
      <c r="F23" s="181"/>
      <c r="G23" s="184"/>
      <c r="H23" s="153"/>
      <c r="I23" s="188"/>
      <c r="J23" s="189"/>
      <c r="K23" s="190"/>
      <c r="L23" s="191"/>
      <c r="N23" s="196"/>
      <c r="O23" s="197"/>
    </row>
    <row r="24" spans="2:15" hidden="1" outlineLevel="1" x14ac:dyDescent="0.25">
      <c r="B24" s="152">
        <v>18</v>
      </c>
      <c r="C24" s="181"/>
      <c r="D24" s="182"/>
      <c r="E24" s="93"/>
      <c r="F24" s="181"/>
      <c r="G24" s="184"/>
      <c r="H24" s="153"/>
      <c r="I24" s="188"/>
      <c r="J24" s="189"/>
      <c r="K24" s="190"/>
      <c r="L24" s="191"/>
      <c r="N24" s="196"/>
      <c r="O24" s="197"/>
    </row>
    <row r="25" spans="2:15" hidden="1" outlineLevel="1" x14ac:dyDescent="0.25">
      <c r="B25" s="152">
        <v>19</v>
      </c>
      <c r="C25" s="181"/>
      <c r="D25" s="182"/>
      <c r="E25" s="93"/>
      <c r="F25" s="181"/>
      <c r="G25" s="184"/>
      <c r="H25" s="153"/>
      <c r="I25" s="188"/>
      <c r="J25" s="189"/>
      <c r="K25" s="190"/>
      <c r="L25" s="191"/>
      <c r="N25" s="196"/>
      <c r="O25" s="197"/>
    </row>
    <row r="26" spans="2:15" hidden="1" outlineLevel="1" x14ac:dyDescent="0.25">
      <c r="B26" s="152">
        <v>20</v>
      </c>
      <c r="C26" s="181"/>
      <c r="D26" s="182"/>
      <c r="E26" s="93"/>
      <c r="F26" s="181"/>
      <c r="G26" s="184"/>
      <c r="H26" s="153"/>
      <c r="I26" s="188"/>
      <c r="J26" s="189"/>
      <c r="K26" s="190"/>
      <c r="L26" s="191"/>
      <c r="N26" s="196"/>
      <c r="O26" s="197"/>
    </row>
    <row r="27" spans="2:15" hidden="1" outlineLevel="1" x14ac:dyDescent="0.25">
      <c r="B27" s="152">
        <v>21</v>
      </c>
      <c r="C27" s="181"/>
      <c r="D27" s="182"/>
      <c r="E27" s="93"/>
      <c r="F27" s="181"/>
      <c r="G27" s="184"/>
      <c r="H27" s="153"/>
      <c r="I27" s="188"/>
      <c r="J27" s="189"/>
      <c r="K27" s="190"/>
      <c r="L27" s="191"/>
      <c r="N27" s="196"/>
      <c r="O27" s="197"/>
    </row>
    <row r="28" spans="2:15" hidden="1" outlineLevel="1" x14ac:dyDescent="0.25">
      <c r="B28" s="152">
        <v>22</v>
      </c>
      <c r="C28" s="181"/>
      <c r="D28" s="182"/>
      <c r="E28" s="93"/>
      <c r="F28" s="181"/>
      <c r="G28" s="184"/>
      <c r="H28" s="153"/>
      <c r="I28" s="188"/>
      <c r="J28" s="189"/>
      <c r="K28" s="190"/>
      <c r="L28" s="191"/>
      <c r="N28" s="196"/>
      <c r="O28" s="197"/>
    </row>
    <row r="29" spans="2:15" hidden="1" outlineLevel="1" x14ac:dyDescent="0.25">
      <c r="B29" s="152">
        <v>23</v>
      </c>
      <c r="C29" s="181"/>
      <c r="D29" s="182"/>
      <c r="E29" s="93"/>
      <c r="F29" s="181"/>
      <c r="G29" s="184"/>
      <c r="H29" s="153"/>
      <c r="I29" s="188"/>
      <c r="J29" s="189"/>
      <c r="K29" s="190"/>
      <c r="L29" s="191"/>
      <c r="N29" s="196"/>
      <c r="O29" s="197"/>
    </row>
    <row r="30" spans="2:15" hidden="1" outlineLevel="1" x14ac:dyDescent="0.25">
      <c r="B30" s="154">
        <v>24</v>
      </c>
      <c r="C30" s="185"/>
      <c r="D30" s="186"/>
      <c r="E30" s="93"/>
      <c r="F30" s="185"/>
      <c r="G30" s="187"/>
      <c r="H30" s="153"/>
      <c r="I30" s="192"/>
      <c r="J30" s="193"/>
      <c r="K30" s="194"/>
      <c r="L30" s="195"/>
      <c r="N30" s="196"/>
      <c r="O30" s="197"/>
    </row>
    <row r="31" spans="2:15" collapsed="1" x14ac:dyDescent="0.25">
      <c r="B31" s="146"/>
      <c r="C31" s="146"/>
      <c r="D31" s="146"/>
      <c r="E31" s="146"/>
      <c r="F31" s="146"/>
      <c r="G31" s="146"/>
      <c r="H31" s="146"/>
      <c r="I31" s="155"/>
      <c r="J31" s="155"/>
      <c r="K31" s="155"/>
      <c r="L31" s="155"/>
      <c r="N31" s="196"/>
      <c r="O31" s="197"/>
    </row>
    <row r="32" spans="2:15" ht="15" customHeight="1" x14ac:dyDescent="0.25">
      <c r="B32" s="156"/>
      <c r="C32" s="157"/>
      <c r="D32" s="157"/>
      <c r="E32" s="157"/>
      <c r="F32" s="157"/>
      <c r="G32" s="158" t="s">
        <v>61</v>
      </c>
      <c r="H32" s="157"/>
      <c r="I32" s="157"/>
      <c r="J32" s="157"/>
      <c r="K32" s="157"/>
      <c r="L32" s="159"/>
      <c r="N32" s="196"/>
      <c r="O32" s="197"/>
    </row>
    <row r="33" spans="2:17" x14ac:dyDescent="0.25">
      <c r="I33" s="160"/>
      <c r="N33" s="196"/>
      <c r="O33" s="197"/>
    </row>
    <row r="34" spans="2:17" s="161" customFormat="1" ht="15" customHeight="1" x14ac:dyDescent="0.25">
      <c r="B34" s="162" t="s">
        <v>62</v>
      </c>
      <c r="C34" s="163" t="s">
        <v>56</v>
      </c>
      <c r="D34" s="163" t="s">
        <v>14</v>
      </c>
      <c r="E34" s="163" t="s">
        <v>44</v>
      </c>
      <c r="F34" s="164" t="s">
        <v>15</v>
      </c>
      <c r="H34" s="165" t="s">
        <v>45</v>
      </c>
      <c r="I34" s="166" t="s">
        <v>16</v>
      </c>
      <c r="K34" s="165" t="s">
        <v>46</v>
      </c>
      <c r="L34" s="166" t="s">
        <v>16</v>
      </c>
      <c r="N34" s="196"/>
      <c r="O34" s="197"/>
    </row>
    <row r="35" spans="2:17" ht="15" customHeight="1" x14ac:dyDescent="0.25">
      <c r="B35" s="99" t="s">
        <v>10</v>
      </c>
      <c r="C35" s="85">
        <v>280</v>
      </c>
      <c r="D35" s="86">
        <v>100</v>
      </c>
      <c r="E35" s="87">
        <v>49</v>
      </c>
      <c r="F35" s="72">
        <f>IFERROR(IF(LEN(B35)=0,"",(D35-E35)),"")</f>
        <v>51</v>
      </c>
      <c r="H35" s="99" t="s">
        <v>27</v>
      </c>
      <c r="I35" s="83">
        <v>1200</v>
      </c>
      <c r="K35" s="99" t="s">
        <v>25</v>
      </c>
      <c r="L35" s="83">
        <v>25000</v>
      </c>
      <c r="M35" s="7"/>
      <c r="N35" s="196"/>
      <c r="O35" s="197"/>
      <c r="Q35" s="151"/>
    </row>
    <row r="36" spans="2:17" x14ac:dyDescent="0.25">
      <c r="B36" s="100" t="s">
        <v>11</v>
      </c>
      <c r="C36" s="88">
        <v>300</v>
      </c>
      <c r="D36" s="89">
        <v>100</v>
      </c>
      <c r="E36" s="90">
        <v>46.5</v>
      </c>
      <c r="F36" s="73">
        <f t="shared" ref="F36:F40" si="5">IFERROR(IF(LEN(B36)=0,"",(D36-E36)),"")</f>
        <v>53.5</v>
      </c>
      <c r="H36" s="101" t="s">
        <v>29</v>
      </c>
      <c r="I36" s="91">
        <v>71100</v>
      </c>
      <c r="K36" s="100" t="s">
        <v>26</v>
      </c>
      <c r="L36" s="84">
        <v>22000</v>
      </c>
      <c r="M36" s="7"/>
      <c r="N36" s="196"/>
      <c r="O36" s="197"/>
      <c r="Q36" s="151"/>
    </row>
    <row r="37" spans="2:17" x14ac:dyDescent="0.25">
      <c r="B37" s="100" t="s">
        <v>12</v>
      </c>
      <c r="C37" s="88">
        <v>195</v>
      </c>
      <c r="D37" s="89">
        <v>91.8</v>
      </c>
      <c r="E37" s="90">
        <v>27.5</v>
      </c>
      <c r="F37" s="73">
        <f t="shared" si="5"/>
        <v>64.3</v>
      </c>
      <c r="H37" s="101" t="s">
        <v>30</v>
      </c>
      <c r="I37" s="91">
        <v>200</v>
      </c>
      <c r="K37" s="100" t="s">
        <v>55</v>
      </c>
      <c r="L37" s="84">
        <v>1250</v>
      </c>
      <c r="M37" s="7"/>
      <c r="N37" s="196"/>
      <c r="O37" s="197"/>
      <c r="Q37" s="23"/>
    </row>
    <row r="38" spans="2:17" x14ac:dyDescent="0.25">
      <c r="B38" s="100" t="s">
        <v>13</v>
      </c>
      <c r="C38" s="88">
        <v>50</v>
      </c>
      <c r="D38" s="89">
        <v>100</v>
      </c>
      <c r="E38" s="90">
        <v>44</v>
      </c>
      <c r="F38" s="73">
        <f t="shared" si="5"/>
        <v>56</v>
      </c>
      <c r="H38" s="101" t="s">
        <v>31</v>
      </c>
      <c r="I38" s="91">
        <v>2500</v>
      </c>
      <c r="K38" s="100" t="s">
        <v>28</v>
      </c>
      <c r="L38" s="84">
        <v>1250</v>
      </c>
      <c r="M38" s="7"/>
      <c r="N38" s="196"/>
      <c r="O38" s="197"/>
      <c r="Q38" s="23"/>
    </row>
    <row r="39" spans="2:17" x14ac:dyDescent="0.25">
      <c r="B39" s="100"/>
      <c r="C39" s="88"/>
      <c r="D39" s="89"/>
      <c r="E39" s="90"/>
      <c r="F39" s="73" t="str">
        <f t="shared" si="5"/>
        <v/>
      </c>
      <c r="H39" s="101"/>
      <c r="I39" s="91"/>
      <c r="K39" s="100"/>
      <c r="L39" s="84"/>
      <c r="M39" s="7"/>
      <c r="N39" s="196"/>
      <c r="O39" s="197"/>
      <c r="Q39" s="23"/>
    </row>
    <row r="40" spans="2:17" x14ac:dyDescent="0.25">
      <c r="B40" s="100"/>
      <c r="C40" s="88"/>
      <c r="D40" s="89"/>
      <c r="E40" s="90"/>
      <c r="F40" s="73" t="str">
        <f t="shared" si="5"/>
        <v/>
      </c>
      <c r="H40" s="101"/>
      <c r="I40" s="91"/>
      <c r="K40" s="100"/>
      <c r="L40" s="84"/>
      <c r="M40" s="7"/>
      <c r="N40" s="196"/>
      <c r="O40" s="197"/>
      <c r="Q40" s="23"/>
    </row>
    <row r="41" spans="2:17" x14ac:dyDescent="0.25">
      <c r="B41" s="196"/>
      <c r="C41" s="198"/>
      <c r="D41" s="199"/>
      <c r="E41" s="200"/>
      <c r="F41" s="73"/>
      <c r="H41" s="196"/>
      <c r="I41" s="200"/>
      <c r="K41" s="196"/>
      <c r="L41" s="200"/>
      <c r="M41" s="7"/>
      <c r="N41" s="196"/>
      <c r="O41" s="197"/>
      <c r="Q41" s="23"/>
    </row>
    <row r="42" spans="2:17" x14ac:dyDescent="0.25">
      <c r="B42" s="196"/>
      <c r="C42" s="198"/>
      <c r="D42" s="199"/>
      <c r="E42" s="200"/>
      <c r="F42" s="73"/>
      <c r="H42" s="196"/>
      <c r="I42" s="200"/>
      <c r="K42" s="196"/>
      <c r="L42" s="200"/>
      <c r="M42" s="7"/>
      <c r="N42" s="196"/>
      <c r="O42" s="197"/>
      <c r="Q42" s="23"/>
    </row>
    <row r="43" spans="2:17" x14ac:dyDescent="0.25">
      <c r="B43" s="196"/>
      <c r="C43" s="198"/>
      <c r="D43" s="199"/>
      <c r="E43" s="200"/>
      <c r="F43" s="73"/>
      <c r="H43" s="196"/>
      <c r="I43" s="200"/>
      <c r="K43" s="196"/>
      <c r="L43" s="200"/>
      <c r="M43" s="7"/>
      <c r="N43" s="196"/>
      <c r="O43" s="197"/>
      <c r="Q43" s="23"/>
    </row>
    <row r="44" spans="2:17" x14ac:dyDescent="0.25">
      <c r="B44" s="196"/>
      <c r="C44" s="198"/>
      <c r="D44" s="199"/>
      <c r="E44" s="200"/>
      <c r="F44" s="73"/>
      <c r="H44" s="196"/>
      <c r="I44" s="200"/>
      <c r="K44" s="196"/>
      <c r="L44" s="200"/>
      <c r="M44" s="7"/>
      <c r="N44" s="196"/>
      <c r="O44" s="197"/>
      <c r="Q44" s="23"/>
    </row>
    <row r="45" spans="2:17" hidden="1" outlineLevel="1" x14ac:dyDescent="0.25">
      <c r="B45" s="196"/>
      <c r="C45" s="198"/>
      <c r="D45" s="199"/>
      <c r="E45" s="200"/>
      <c r="F45" s="73"/>
      <c r="H45" s="196"/>
      <c r="I45" s="200"/>
      <c r="K45" s="196"/>
      <c r="L45" s="200"/>
      <c r="M45" s="7"/>
      <c r="N45" s="196"/>
      <c r="O45" s="197"/>
      <c r="Q45" s="23"/>
    </row>
    <row r="46" spans="2:17" hidden="1" outlineLevel="1" x14ac:dyDescent="0.25">
      <c r="B46" s="196"/>
      <c r="C46" s="198"/>
      <c r="D46" s="199"/>
      <c r="E46" s="200"/>
      <c r="F46" s="73"/>
      <c r="H46" s="196"/>
      <c r="I46" s="200"/>
      <c r="K46" s="196"/>
      <c r="L46" s="200"/>
      <c r="M46" s="7"/>
      <c r="N46" s="196"/>
      <c r="O46" s="197"/>
      <c r="Q46" s="23"/>
    </row>
    <row r="47" spans="2:17" hidden="1" outlineLevel="1" x14ac:dyDescent="0.25">
      <c r="B47" s="196"/>
      <c r="C47" s="198"/>
      <c r="D47" s="199"/>
      <c r="E47" s="200"/>
      <c r="F47" s="73"/>
      <c r="H47" s="196"/>
      <c r="I47" s="200"/>
      <c r="K47" s="196"/>
      <c r="L47" s="200"/>
      <c r="M47" s="7"/>
      <c r="N47" s="196"/>
      <c r="O47" s="197"/>
      <c r="Q47" s="23"/>
    </row>
    <row r="48" spans="2:17" hidden="1" outlineLevel="1" x14ac:dyDescent="0.25">
      <c r="B48" s="196"/>
      <c r="C48" s="198"/>
      <c r="D48" s="199"/>
      <c r="E48" s="200"/>
      <c r="F48" s="73"/>
      <c r="H48" s="196"/>
      <c r="I48" s="200"/>
      <c r="K48" s="196"/>
      <c r="L48" s="200"/>
      <c r="M48" s="7"/>
      <c r="N48" s="196"/>
      <c r="O48" s="197"/>
      <c r="Q48" s="23"/>
    </row>
    <row r="49" spans="2:18" hidden="1" outlineLevel="1" x14ac:dyDescent="0.25">
      <c r="B49" s="196"/>
      <c r="C49" s="198"/>
      <c r="D49" s="199"/>
      <c r="E49" s="200"/>
      <c r="F49" s="73"/>
      <c r="H49" s="196"/>
      <c r="I49" s="200"/>
      <c r="K49" s="196"/>
      <c r="L49" s="200"/>
      <c r="M49" s="7"/>
      <c r="N49" s="196"/>
      <c r="O49" s="197"/>
      <c r="Q49" s="23"/>
    </row>
    <row r="50" spans="2:18" hidden="1" outlineLevel="1" x14ac:dyDescent="0.25">
      <c r="B50" s="196"/>
      <c r="C50" s="198"/>
      <c r="D50" s="199"/>
      <c r="E50" s="200"/>
      <c r="F50" s="73"/>
      <c r="H50" s="196"/>
      <c r="I50" s="200"/>
      <c r="K50" s="196"/>
      <c r="L50" s="200"/>
      <c r="M50" s="7"/>
      <c r="N50" s="196"/>
      <c r="O50" s="197"/>
      <c r="Q50" s="23"/>
    </row>
    <row r="51" spans="2:18" hidden="1" outlineLevel="1" x14ac:dyDescent="0.25">
      <c r="B51" s="196"/>
      <c r="C51" s="198"/>
      <c r="D51" s="199"/>
      <c r="E51" s="200"/>
      <c r="F51" s="73"/>
      <c r="H51" s="196"/>
      <c r="I51" s="200"/>
      <c r="K51" s="196"/>
      <c r="L51" s="200"/>
      <c r="M51" s="7"/>
      <c r="N51" s="196"/>
      <c r="O51" s="197"/>
      <c r="Q51" s="23"/>
    </row>
    <row r="52" spans="2:18" hidden="1" outlineLevel="1" x14ac:dyDescent="0.25">
      <c r="B52" s="196"/>
      <c r="C52" s="198"/>
      <c r="D52" s="199"/>
      <c r="E52" s="200"/>
      <c r="F52" s="73"/>
      <c r="H52" s="196"/>
      <c r="I52" s="200"/>
      <c r="K52" s="196"/>
      <c r="L52" s="200"/>
      <c r="M52" s="7"/>
      <c r="N52" s="196"/>
      <c r="O52" s="197"/>
      <c r="Q52" s="23"/>
    </row>
    <row r="53" spans="2:18" hidden="1" outlineLevel="1" x14ac:dyDescent="0.25">
      <c r="B53" s="196"/>
      <c r="C53" s="198"/>
      <c r="D53" s="199"/>
      <c r="E53" s="200"/>
      <c r="F53" s="73"/>
      <c r="H53" s="196"/>
      <c r="I53" s="200"/>
      <c r="K53" s="196"/>
      <c r="L53" s="200"/>
      <c r="M53" s="7"/>
      <c r="N53" s="196"/>
      <c r="O53" s="197"/>
      <c r="Q53" s="23"/>
    </row>
    <row r="54" spans="2:18" hidden="1" outlineLevel="1" x14ac:dyDescent="0.25">
      <c r="B54" s="196"/>
      <c r="C54" s="198"/>
      <c r="D54" s="199"/>
      <c r="E54" s="200"/>
      <c r="F54" s="73"/>
      <c r="H54" s="196"/>
      <c r="I54" s="200"/>
      <c r="K54" s="196"/>
      <c r="L54" s="200"/>
      <c r="M54" s="7"/>
      <c r="N54" s="196"/>
      <c r="O54" s="197"/>
      <c r="Q54" s="23"/>
    </row>
    <row r="55" spans="2:18" hidden="1" outlineLevel="1" x14ac:dyDescent="0.25">
      <c r="B55" s="196"/>
      <c r="C55" s="198"/>
      <c r="D55" s="199"/>
      <c r="E55" s="200"/>
      <c r="F55" s="73"/>
      <c r="H55" s="196"/>
      <c r="I55" s="200"/>
      <c r="K55" s="196"/>
      <c r="L55" s="200"/>
      <c r="M55" s="7"/>
      <c r="N55" s="196"/>
      <c r="O55" s="197"/>
      <c r="Q55" s="23"/>
    </row>
    <row r="56" spans="2:18" hidden="1" outlineLevel="1" x14ac:dyDescent="0.25">
      <c r="B56" s="196"/>
      <c r="C56" s="198"/>
      <c r="D56" s="199"/>
      <c r="E56" s="200"/>
      <c r="F56" s="73"/>
      <c r="H56" s="196"/>
      <c r="I56" s="200"/>
      <c r="K56" s="196"/>
      <c r="L56" s="200"/>
      <c r="M56" s="7"/>
      <c r="N56" s="196"/>
      <c r="O56" s="197"/>
      <c r="Q56" s="23"/>
    </row>
    <row r="57" spans="2:18" hidden="1" outlineLevel="1" x14ac:dyDescent="0.25">
      <c r="B57" s="196"/>
      <c r="C57" s="198"/>
      <c r="D57" s="199"/>
      <c r="E57" s="200"/>
      <c r="F57" s="73"/>
      <c r="H57" s="196"/>
      <c r="I57" s="200"/>
      <c r="K57" s="196"/>
      <c r="L57" s="200"/>
      <c r="M57" s="7"/>
      <c r="N57" s="196"/>
      <c r="O57" s="197"/>
      <c r="Q57" s="23"/>
    </row>
    <row r="58" spans="2:18" collapsed="1" x14ac:dyDescent="0.25">
      <c r="B58" s="22"/>
      <c r="C58" s="22"/>
      <c r="D58" s="22"/>
      <c r="E58" s="22"/>
      <c r="F58" s="146"/>
      <c r="H58" s="146"/>
      <c r="I58" s="146"/>
      <c r="K58" s="147"/>
      <c r="L58" s="148"/>
      <c r="M58" s="7"/>
      <c r="N58" s="146"/>
      <c r="O58" s="146"/>
      <c r="P58" s="23"/>
      <c r="Q58" s="23"/>
      <c r="R58" s="23"/>
    </row>
    <row r="59" spans="2:18" x14ac:dyDescent="0.25">
      <c r="B59" s="149" t="s">
        <v>63</v>
      </c>
      <c r="C59" s="102">
        <f>IFERROR(IF(SUM($C$35:$C$57)=0,"",SUM($C$35:$C$57)),"")</f>
        <v>825</v>
      </c>
      <c r="D59" s="149" t="s">
        <v>50</v>
      </c>
      <c r="E59" s="104">
        <f>IFERROR(IF(SUMPRODUCT($C$35:$C$57,D$35:D$57)/SUM($C$35:$C$57)=0,"",SUMPRODUCT($C$35:$C$57,D$35:D$57)/SUM($C$35:$C$57)),"")</f>
        <v>98.061818181818182</v>
      </c>
      <c r="H59" s="150" t="s">
        <v>65</v>
      </c>
      <c r="I59" s="102">
        <f>IFERROR(IF(SUM(I35:I57)=0,"",SUM(I35:I57)),"")</f>
        <v>75000</v>
      </c>
      <c r="K59" s="150" t="s">
        <v>66</v>
      </c>
      <c r="L59" s="103">
        <f>IFERROR(IF(SUM(L35:L57)=0,"",SUM(L35:L57)),"")</f>
        <v>49500</v>
      </c>
      <c r="M59" s="7"/>
      <c r="N59" s="150" t="s">
        <v>67</v>
      </c>
      <c r="O59" s="102">
        <f>IFERROR(IF(SUM(O6:O57)=0,"",SUM(O6:O57)),"")</f>
        <v>271500</v>
      </c>
    </row>
    <row r="60" spans="2:18" x14ac:dyDescent="0.25">
      <c r="M60" s="7"/>
    </row>
    <row r="61" spans="2:18" s="16" customFormat="1" ht="22.9" customHeight="1" x14ac:dyDescent="0.25">
      <c r="B61" s="17"/>
      <c r="C61" s="17"/>
      <c r="D61" s="18"/>
      <c r="E61" s="19"/>
      <c r="F61" s="19"/>
      <c r="G61" s="19"/>
      <c r="H61" s="17"/>
      <c r="I61" s="17"/>
      <c r="J61" s="17"/>
      <c r="K61" s="17"/>
      <c r="L61" s="17"/>
      <c r="M61" s="17"/>
      <c r="N61" s="17"/>
      <c r="O61" s="17"/>
      <c r="P61" s="7"/>
      <c r="Q61" s="7"/>
      <c r="R61" s="7"/>
    </row>
    <row r="66" spans="12:12" x14ac:dyDescent="0.25">
      <c r="L66" s="23"/>
    </row>
  </sheetData>
  <sheetProtection algorithmName="SHA-512" hashValue="i6zYUREbbEEdMbJs5hfqTIdZELaJtBFn0XbkwYROlUX+nqyi6EB/WLqsQZ0WOkbOOfsP7osGugh+2755JzqooQ==" saltValue="Ah2BzyQ6xBtCCAOvDbDPmQ==" spinCount="100000" sheet="1" objects="1" scenarios="1"/>
  <phoneticPr fontId="27" type="noConversion"/>
  <conditionalFormatting sqref="I6:L15">
    <cfRule type="expression" dxfId="14" priority="6">
      <formula>I6&lt;0</formula>
    </cfRule>
  </conditionalFormatting>
  <conditionalFormatting sqref="E6:E30">
    <cfRule type="expression" dxfId="13" priority="5">
      <formula>$E6&lt;0</formula>
    </cfRule>
  </conditionalFormatting>
  <conditionalFormatting sqref="F35:F57">
    <cfRule type="expression" dxfId="12" priority="3">
      <formula>$F35&lt;0</formula>
    </cfRule>
  </conditionalFormatting>
  <conditionalFormatting sqref="I16:L30">
    <cfRule type="expression" dxfId="11" priority="1">
      <formula>I16&lt;0</formula>
    </cfRule>
  </conditionalFormatting>
  <dataValidations count="1">
    <dataValidation type="whole" allowBlank="1" showInputMessage="1" showErrorMessage="1" errorTitle="Error" error="Please enter a numeric value!" sqref="C7:D15 C35:E40 F7:G15 H6 I35:I40 L35:L40 O6:O15" xr:uid="{6B43B99D-234C-45E5-9DFF-3AE22C8D72D4}">
      <formula1>0</formula1>
      <formula2>999999999999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2" orientation="landscape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FAB0-8D3F-4AA5-AA1C-DAB77B34250A}">
  <sheetPr codeName="Sheet6"/>
  <dimension ref="B1:AF16"/>
  <sheetViews>
    <sheetView showGridLines="0" showRowColHeaders="0"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3.7109375" customWidth="1"/>
    <col min="2" max="2" width="13" customWidth="1"/>
    <col min="3" max="13" width="10.85546875" customWidth="1"/>
    <col min="14" max="14" width="3.7109375" customWidth="1"/>
    <col min="15" max="16" width="10.85546875" customWidth="1"/>
    <col min="17" max="17" width="3.7109375" customWidth="1"/>
    <col min="18" max="22" width="10.85546875" customWidth="1"/>
    <col min="23" max="23" width="3.7109375" customWidth="1"/>
    <col min="24" max="26" width="10.85546875" customWidth="1"/>
    <col min="27" max="27" width="3.7109375" customWidth="1"/>
    <col min="28" max="28" width="11.7109375" customWidth="1"/>
    <col min="29" max="29" width="3.7109375" customWidth="1"/>
    <col min="30" max="30" width="23.28515625" style="60" customWidth="1"/>
    <col min="31" max="31" width="21.42578125" style="60" customWidth="1"/>
    <col min="32" max="32" width="14.5703125" style="60" customWidth="1"/>
  </cols>
  <sheetData>
    <row r="1" spans="2:32" s="56" customFormat="1" ht="6.75" customHeight="1" x14ac:dyDescent="0.25"/>
    <row r="2" spans="2:32" s="57" customFormat="1" ht="20.100000000000001" customHeight="1" x14ac:dyDescent="0.25">
      <c r="AD2" s="68"/>
      <c r="AE2" s="68"/>
      <c r="AF2" s="68"/>
    </row>
    <row r="3" spans="2:32" s="58" customFormat="1" ht="24" customHeight="1" x14ac:dyDescent="0.25"/>
    <row r="4" spans="2:32" s="60" customFormat="1" ht="4.9000000000000004" customHeight="1" x14ac:dyDescent="0.25"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2:32" ht="45" x14ac:dyDescent="0.25">
      <c r="B5" s="28" t="s">
        <v>34</v>
      </c>
      <c r="C5" s="27" t="s">
        <v>60</v>
      </c>
      <c r="D5" s="27" t="s">
        <v>51</v>
      </c>
      <c r="E5" s="27" t="s">
        <v>7</v>
      </c>
      <c r="F5" s="27" t="s">
        <v>46</v>
      </c>
      <c r="G5" s="27" t="s">
        <v>45</v>
      </c>
      <c r="H5" s="29" t="s">
        <v>37</v>
      </c>
      <c r="I5" s="27" t="s">
        <v>17</v>
      </c>
      <c r="J5" s="27" t="s">
        <v>8</v>
      </c>
      <c r="K5" s="27" t="s">
        <v>52</v>
      </c>
      <c r="L5" s="27" t="s">
        <v>9</v>
      </c>
      <c r="M5" s="35" t="s">
        <v>33</v>
      </c>
      <c r="O5" s="66" t="s">
        <v>34</v>
      </c>
      <c r="P5" s="66" t="s">
        <v>9</v>
      </c>
      <c r="R5" s="66" t="s">
        <v>34</v>
      </c>
      <c r="S5" s="66" t="s">
        <v>9</v>
      </c>
      <c r="T5" s="66" t="s">
        <v>17</v>
      </c>
      <c r="U5" s="66" t="s">
        <v>46</v>
      </c>
      <c r="V5" s="66" t="s">
        <v>45</v>
      </c>
      <c r="X5" s="66" t="s">
        <v>43</v>
      </c>
      <c r="Y5" s="66" t="s">
        <v>46</v>
      </c>
      <c r="Z5" s="66" t="s">
        <v>45</v>
      </c>
      <c r="AB5" s="66" t="s">
        <v>59</v>
      </c>
      <c r="AD5" s="66" t="s">
        <v>40</v>
      </c>
      <c r="AE5" s="66" t="s">
        <v>42</v>
      </c>
      <c r="AF5" s="66" t="s">
        <v>41</v>
      </c>
    </row>
    <row r="6" spans="2:32" x14ac:dyDescent="0.25">
      <c r="B6" s="143">
        <v>0</v>
      </c>
      <c r="C6" s="120"/>
      <c r="D6" s="120"/>
      <c r="E6" s="118" t="str">
        <f>IFERROR(IF(OR(LEN(C6)=0,LEN(D6)=0),"0",C6*D6),"")</f>
        <v>0</v>
      </c>
      <c r="F6" s="120"/>
      <c r="G6" s="120"/>
      <c r="H6" s="118">
        <f>IFERROR(IF(INDEX(FinancialStatement!$B$5:$L$15,Calc!$B6,MATCH(Calc!H$5,FinancialStatement!$B$5:$L$5,0))&lt;&gt;"",INDEX(FinancialStatement!$B$5:$L$15,Calc!$B6,MATCH(Calc!H$5,FinancialStatement!$B$5:$L$5,0)),""),"")</f>
        <v>311500</v>
      </c>
      <c r="I6" s="118">
        <f>IFERROR(IF(AND(LEN(F6)=0,LEN(G6)=0,LEN(H6)=0),"",F6+G6+H6),"")</f>
        <v>311500</v>
      </c>
      <c r="J6" s="118">
        <f t="shared" ref="J6:J15" si="0">IFERROR(E6-I6,"")</f>
        <v>-311500</v>
      </c>
      <c r="K6" s="118" t="str">
        <f t="shared" ref="K6:K15" si="1">IFERROR(J6/C6,"")</f>
        <v/>
      </c>
      <c r="L6" s="118">
        <f>IFERROR(E6-I6,"")</f>
        <v>-311500</v>
      </c>
      <c r="M6" s="108" t="str">
        <f>IF(LEN(E6)=0,"","Yes")</f>
        <v>Yes</v>
      </c>
      <c r="N6" s="67"/>
      <c r="O6" s="107">
        <f>IFERROR(IF($M6="Yes",$B6,""),"")</f>
        <v>0</v>
      </c>
      <c r="P6" s="122">
        <f>IFERROR(IF($M6="Yes",IF($L6=0,"",$L6),""),"")</f>
        <v>-311500</v>
      </c>
      <c r="Q6" s="67"/>
      <c r="R6" s="107">
        <f>IFERROR(IF($M6="Yes",$B6,""),"")</f>
        <v>0</v>
      </c>
      <c r="S6" s="118">
        <f>IFERROR(IF($M6="Yes",IF($L6=0,"",$L6),""),"")</f>
        <v>-311500</v>
      </c>
      <c r="T6" s="118">
        <f>IFERROR(IF($M6="Yes",IF($I6=0,"",$I6),""),"")</f>
        <v>311500</v>
      </c>
      <c r="U6" s="118" t="str">
        <f>IFERROR(IF($M6="Yes",IF($F6=0,"",$F6),""),"")</f>
        <v/>
      </c>
      <c r="V6" s="122" t="str">
        <f>IFERROR(IF($M6="Yes",IF($G6=0,"",$G6),""),"")</f>
        <v/>
      </c>
      <c r="W6" s="67"/>
      <c r="X6" s="109">
        <f>IFERROR($H$6,"")</f>
        <v>311500</v>
      </c>
      <c r="Y6" s="110">
        <f>IFERROR(SUM($U$6:$U$15),"")</f>
        <v>350000</v>
      </c>
      <c r="Z6" s="111">
        <f>IFERROR(SUM($V$6:$V$15),"")</f>
        <v>525000</v>
      </c>
      <c r="AA6" s="67"/>
      <c r="AB6" s="105">
        <f>MAX(COUNTA($O$6:$O$15)-COUNTBLANK($O$6:$O$15),1)</f>
        <v>8</v>
      </c>
      <c r="AC6" s="67"/>
      <c r="AD6" s="112">
        <f t="shared" ref="AD6:AD15" ca="1" si="2">DATE(YEAR(TODAY()),MONTH(TODAY())+AE6,DAY(TODAY()))</f>
        <v>44977</v>
      </c>
      <c r="AE6" s="113">
        <f t="shared" ref="AE6:AE15" si="3">ROW(AE6)-ROW($AE$6)</f>
        <v>0</v>
      </c>
      <c r="AF6" s="114">
        <f>MAX(COUNTA($O$6:$O$15)-COUNTBLANK($O$6:$O$15),1)</f>
        <v>8</v>
      </c>
    </row>
    <row r="7" spans="2:32" x14ac:dyDescent="0.25">
      <c r="B7" s="144">
        <v>1</v>
      </c>
      <c r="C7" s="118">
        <f>IFERROR(IF(INDEX(FinancialStatement!$B$5:$L$15,Calc!$B7+2,MATCH(Calc!C$5,FinancialStatement!$B$5:$L$5,0))&lt;&gt;"",INDEX(FinancialStatement!$B$5:$L$15,Calc!$B7+2,MATCH(Calc!C$5,FinancialStatement!$B$5:$L$5,0)),""),"")</f>
        <v>1750</v>
      </c>
      <c r="D7" s="118">
        <f>IFERROR(IF(INDEX(FinancialStatement!$B$5:$L$15,Calc!$B7+2,MATCH(Calc!D$5,FinancialStatement!$B$5:$L$5,0))&lt;&gt;"",INDEX(FinancialStatement!$B$5:$L$15,Calc!$B7+2,MATCH(Calc!D$5,FinancialStatement!$B$5:$L$5,0)),""),"")</f>
        <v>100</v>
      </c>
      <c r="E7" s="118">
        <f>IFERROR(IF(INDEX(FinancialStatement!$B$5:$L$15,Calc!$B7+2,MATCH(Calc!E$5,FinancialStatement!$B$5:$L$5,0))&lt;&gt;"",INDEX(FinancialStatement!$B$5:$L$15,Calc!$B7+2,MATCH(Calc!E$5,FinancialStatement!$B$5:$L$5,0)),""),"")</f>
        <v>175000</v>
      </c>
      <c r="F7" s="118">
        <f>IFERROR(IF(INDEX(FinancialStatement!$B$5:$L$15,Calc!$B7+2,MATCH(Calc!F$5,FinancialStatement!$B$5:$L$5,0))&lt;&gt;"",INDEX(FinancialStatement!$B$5:$L$15,Calc!$B7+2,MATCH(Calc!F$5,FinancialStatement!$B$5:$L$5,0)),""),"")</f>
        <v>50000</v>
      </c>
      <c r="G7" s="118">
        <f>IFERROR(IF(INDEX(FinancialStatement!$B$5:$L$15,Calc!$B7+2,MATCH(Calc!G$5,FinancialStatement!$B$5:$L$5,0))&lt;&gt;"",INDEX(FinancialStatement!$B$5:$L$15,Calc!$B7+2,MATCH(Calc!G$5,FinancialStatement!$B$5:$L$5,0)),""),"")</f>
        <v>75000</v>
      </c>
      <c r="H7" s="120"/>
      <c r="I7" s="118">
        <f>IFERROR(IF(AND(LEN(F7)=0,LEN(G7)=0,LEN(H7)=0),IF(LEN(E7)=0,"",0),F7+G7+H7),"")</f>
        <v>125000</v>
      </c>
      <c r="J7" s="118">
        <f t="shared" si="0"/>
        <v>50000</v>
      </c>
      <c r="K7" s="118">
        <f t="shared" si="1"/>
        <v>28.571428571428573</v>
      </c>
      <c r="L7" s="118">
        <f>IFERROR(L6+J7,"")</f>
        <v>-261500</v>
      </c>
      <c r="M7" s="108" t="str">
        <f>IF(LEN(E7)=0,"","Yes")</f>
        <v>Yes</v>
      </c>
      <c r="N7" s="67"/>
      <c r="O7" s="107">
        <f t="shared" ref="O7:O15" si="4">IFERROR(IF($M7="Yes",$B7,""),"")</f>
        <v>1</v>
      </c>
      <c r="P7" s="122">
        <f t="shared" ref="P7:P15" si="5">IFERROR(IF($M7="Yes",IF($L7=0,"",$L7),""),"")</f>
        <v>-261500</v>
      </c>
      <c r="Q7" s="67"/>
      <c r="R7" s="107">
        <f t="shared" ref="R7:R15" si="6">IFERROR(IF($M7="Yes",$B7,""),"")</f>
        <v>1</v>
      </c>
      <c r="S7" s="118">
        <f t="shared" ref="S7:S15" si="7">IFERROR(IF($M7="Yes",IF($L7=0,"",$L7),""),"")</f>
        <v>-261500</v>
      </c>
      <c r="T7" s="118">
        <f t="shared" ref="T7:T15" si="8">IFERROR(IF($M7="Yes",IF($I7=0,"",$I7),""),"")</f>
        <v>125000</v>
      </c>
      <c r="U7" s="118">
        <f t="shared" ref="U7:U15" si="9">IFERROR(IF($M7="Yes",IF($F7=0,"",$F7),""),"")</f>
        <v>50000</v>
      </c>
      <c r="V7" s="122">
        <f t="shared" ref="V7:V15" si="10">IFERROR(IF($M7="Yes",IF($G7=0,"",$G7),""),"")</f>
        <v>75000</v>
      </c>
      <c r="W7" s="67"/>
      <c r="X7" s="67"/>
      <c r="Y7" s="67"/>
      <c r="Z7" s="67"/>
      <c r="AA7" s="67"/>
      <c r="AB7" s="106">
        <f>MAX(COUNTA($X$5:$Z$5)-COUNTBLANK($X$5:$Z$5),1)</f>
        <v>3</v>
      </c>
      <c r="AC7" s="67"/>
      <c r="AD7" s="112">
        <f t="shared" ca="1" si="2"/>
        <v>45005</v>
      </c>
      <c r="AE7" s="113">
        <f t="shared" si="3"/>
        <v>1</v>
      </c>
      <c r="AF7" s="115"/>
    </row>
    <row r="8" spans="2:32" x14ac:dyDescent="0.25">
      <c r="B8" s="144">
        <v>2</v>
      </c>
      <c r="C8" s="118">
        <f>IFERROR(IF(INDEX(FinancialStatement!$B$5:$L$15,Calc!$B8+2,MATCH(Calc!C$5,FinancialStatement!$B$5:$L$5,0))&lt;&gt;"",INDEX(FinancialStatement!$B$5:$L$15,Calc!$B8+2,MATCH(Calc!C$5,FinancialStatement!$B$5:$L$5,0)),""),"")</f>
        <v>1750</v>
      </c>
      <c r="D8" s="118">
        <f>IFERROR(IF(INDEX(FinancialStatement!$B$5:$L$15,Calc!$B8+2,MATCH(Calc!D$5,FinancialStatement!$B$5:$L$5,0))&lt;&gt;"",INDEX(FinancialStatement!$B$5:$L$15,Calc!$B8+2,MATCH(Calc!D$5,FinancialStatement!$B$5:$L$5,0)),""),"")</f>
        <v>100</v>
      </c>
      <c r="E8" s="118">
        <f>IFERROR(IF(INDEX(FinancialStatement!$B$5:$L$15,Calc!$B8+2,MATCH(Calc!E$5,FinancialStatement!$B$5:$L$5,0))&lt;&gt;"",INDEX(FinancialStatement!$B$5:$L$15,Calc!$B8+2,MATCH(Calc!E$5,FinancialStatement!$B$5:$L$5,0)),""),"")</f>
        <v>175000</v>
      </c>
      <c r="F8" s="118">
        <f>IFERROR(IF(INDEX(FinancialStatement!$B$5:$L$15,Calc!$B8+2,MATCH(Calc!F$5,FinancialStatement!$B$5:$L$5,0))&lt;&gt;"",INDEX(FinancialStatement!$B$5:$L$15,Calc!$B8+2,MATCH(Calc!F$5,FinancialStatement!$B$5:$L$5,0)),""),"")</f>
        <v>50000</v>
      </c>
      <c r="G8" s="118">
        <f>IFERROR(IF(INDEX(FinancialStatement!$B$5:$L$15,Calc!$B8+2,MATCH(Calc!G$5,FinancialStatement!$B$5:$L$5,0))&lt;&gt;"",INDEX(FinancialStatement!$B$5:$L$15,Calc!$B8+2,MATCH(Calc!G$5,FinancialStatement!$B$5:$L$5,0)),""),"")</f>
        <v>75000</v>
      </c>
      <c r="H8" s="120"/>
      <c r="I8" s="118">
        <f t="shared" ref="I8:I15" si="11">IFERROR(IF(AND(LEN(F8)=0,LEN(G8)=0,LEN(H8)=0),IF(LEN(E8)=0,"",0),F8+G8+H8),"")</f>
        <v>125000</v>
      </c>
      <c r="J8" s="118">
        <f t="shared" si="0"/>
        <v>50000</v>
      </c>
      <c r="K8" s="118">
        <f t="shared" si="1"/>
        <v>28.571428571428573</v>
      </c>
      <c r="L8" s="118">
        <f>IFERROR(L7+J8,"")</f>
        <v>-211500</v>
      </c>
      <c r="M8" s="108" t="str">
        <f t="shared" ref="M8:M15" si="12">IF(LEN(E8)=0,"","Yes")</f>
        <v>Yes</v>
      </c>
      <c r="N8" s="67"/>
      <c r="O8" s="107">
        <f t="shared" si="4"/>
        <v>2</v>
      </c>
      <c r="P8" s="122">
        <f t="shared" si="5"/>
        <v>-211500</v>
      </c>
      <c r="Q8" s="67"/>
      <c r="R8" s="107">
        <f t="shared" si="6"/>
        <v>2</v>
      </c>
      <c r="S8" s="118">
        <f t="shared" si="7"/>
        <v>-211500</v>
      </c>
      <c r="T8" s="118">
        <f t="shared" si="8"/>
        <v>125000</v>
      </c>
      <c r="U8" s="118">
        <f t="shared" si="9"/>
        <v>50000</v>
      </c>
      <c r="V8" s="122">
        <f t="shared" si="10"/>
        <v>75000</v>
      </c>
      <c r="W8" s="67"/>
      <c r="Y8" s="67"/>
      <c r="Z8" s="67"/>
      <c r="AA8" s="67"/>
      <c r="AB8" s="67"/>
      <c r="AC8" s="67"/>
      <c r="AD8" s="112">
        <f t="shared" ca="1" si="2"/>
        <v>45036</v>
      </c>
      <c r="AE8" s="113">
        <f t="shared" si="3"/>
        <v>2</v>
      </c>
      <c r="AF8" s="115"/>
    </row>
    <row r="9" spans="2:32" x14ac:dyDescent="0.25">
      <c r="B9" s="144">
        <v>3</v>
      </c>
      <c r="C9" s="118">
        <f>IFERROR(IF(INDEX(FinancialStatement!$B$5:$L$15,Calc!$B9+2,MATCH(Calc!C$5,FinancialStatement!$B$5:$L$5,0))&lt;&gt;"",INDEX(FinancialStatement!$B$5:$L$15,Calc!$B9+2,MATCH(Calc!C$5,FinancialStatement!$B$5:$L$5,0)),""),"")</f>
        <v>1750</v>
      </c>
      <c r="D9" s="118">
        <f>IFERROR(IF(INDEX(FinancialStatement!$B$5:$L$15,Calc!$B9+2,MATCH(Calc!D$5,FinancialStatement!$B$5:$L$5,0))&lt;&gt;"",INDEX(FinancialStatement!$B$5:$L$15,Calc!$B9+2,MATCH(Calc!D$5,FinancialStatement!$B$5:$L$5,0)),""),"")</f>
        <v>100</v>
      </c>
      <c r="E9" s="118">
        <f>IFERROR(IF(INDEX(FinancialStatement!$B$5:$L$15,Calc!$B9+2,MATCH(Calc!E$5,FinancialStatement!$B$5:$L$5,0))&lt;&gt;"",INDEX(FinancialStatement!$B$5:$L$15,Calc!$B9+2,MATCH(Calc!E$5,FinancialStatement!$B$5:$L$5,0)),""),"")</f>
        <v>175000</v>
      </c>
      <c r="F9" s="118">
        <f>IFERROR(IF(INDEX(FinancialStatement!$B$5:$L$15,Calc!$B9+2,MATCH(Calc!F$5,FinancialStatement!$B$5:$L$5,0))&lt;&gt;"",INDEX(FinancialStatement!$B$5:$L$15,Calc!$B9+2,MATCH(Calc!F$5,FinancialStatement!$B$5:$L$5,0)),""),"")</f>
        <v>50000</v>
      </c>
      <c r="G9" s="118">
        <f>IFERROR(IF(INDEX(FinancialStatement!$B$5:$L$15,Calc!$B9+2,MATCH(Calc!G$5,FinancialStatement!$B$5:$L$5,0))&lt;&gt;"",INDEX(FinancialStatement!$B$5:$L$15,Calc!$B9+2,MATCH(Calc!G$5,FinancialStatement!$B$5:$L$5,0)),""),"")</f>
        <v>75000</v>
      </c>
      <c r="H9" s="120"/>
      <c r="I9" s="118">
        <f t="shared" si="11"/>
        <v>125000</v>
      </c>
      <c r="J9" s="118">
        <f t="shared" si="0"/>
        <v>50000</v>
      </c>
      <c r="K9" s="118">
        <f t="shared" si="1"/>
        <v>28.571428571428573</v>
      </c>
      <c r="L9" s="118">
        <f t="shared" ref="L9:L15" si="13">IFERROR(L8+J9,"")</f>
        <v>-161500</v>
      </c>
      <c r="M9" s="108" t="str">
        <f t="shared" si="12"/>
        <v>Yes</v>
      </c>
      <c r="N9" s="67"/>
      <c r="O9" s="107">
        <f t="shared" si="4"/>
        <v>3</v>
      </c>
      <c r="P9" s="122">
        <f t="shared" si="5"/>
        <v>-161500</v>
      </c>
      <c r="Q9" s="67"/>
      <c r="R9" s="107">
        <f t="shared" si="6"/>
        <v>3</v>
      </c>
      <c r="S9" s="118">
        <f t="shared" si="7"/>
        <v>-161500</v>
      </c>
      <c r="T9" s="118">
        <f t="shared" si="8"/>
        <v>125000</v>
      </c>
      <c r="U9" s="118">
        <f t="shared" si="9"/>
        <v>50000</v>
      </c>
      <c r="V9" s="122">
        <f t="shared" si="10"/>
        <v>75000</v>
      </c>
      <c r="W9" s="67"/>
      <c r="Y9" s="67"/>
      <c r="Z9" s="67"/>
      <c r="AA9" s="67"/>
      <c r="AB9" s="67"/>
      <c r="AC9" s="67"/>
      <c r="AD9" s="112">
        <f t="shared" ca="1" si="2"/>
        <v>45066</v>
      </c>
      <c r="AE9" s="113">
        <f t="shared" si="3"/>
        <v>3</v>
      </c>
      <c r="AF9" s="115"/>
    </row>
    <row r="10" spans="2:32" x14ac:dyDescent="0.25">
      <c r="B10" s="144">
        <v>4</v>
      </c>
      <c r="C10" s="118">
        <f>IFERROR(IF(INDEX(FinancialStatement!$B$5:$L$15,Calc!$B10+2,MATCH(Calc!C$5,FinancialStatement!$B$5:$L$5,0))&lt;&gt;"",INDEX(FinancialStatement!$B$5:$L$15,Calc!$B10+2,MATCH(Calc!C$5,FinancialStatement!$B$5:$L$5,0)),""),"")</f>
        <v>1750</v>
      </c>
      <c r="D10" s="118">
        <f>IFERROR(IF(INDEX(FinancialStatement!$B$5:$L$15,Calc!$B10+2,MATCH(Calc!D$5,FinancialStatement!$B$5:$L$5,0))&lt;&gt;"",INDEX(FinancialStatement!$B$5:$L$15,Calc!$B10+2,MATCH(Calc!D$5,FinancialStatement!$B$5:$L$5,0)),""),"")</f>
        <v>100</v>
      </c>
      <c r="E10" s="118">
        <f>IFERROR(IF(INDEX(FinancialStatement!$B$5:$L$15,Calc!$B10+2,MATCH(Calc!E$5,FinancialStatement!$B$5:$L$5,0))&lt;&gt;"",INDEX(FinancialStatement!$B$5:$L$15,Calc!$B10+2,MATCH(Calc!E$5,FinancialStatement!$B$5:$L$5,0)),""),"")</f>
        <v>175000</v>
      </c>
      <c r="F10" s="118">
        <f>IFERROR(IF(INDEX(FinancialStatement!$B$5:$L$15,Calc!$B10+2,MATCH(Calc!F$5,FinancialStatement!$B$5:$L$5,0))&lt;&gt;"",INDEX(FinancialStatement!$B$5:$L$15,Calc!$B10+2,MATCH(Calc!F$5,FinancialStatement!$B$5:$L$5,0)),""),"")</f>
        <v>50000</v>
      </c>
      <c r="G10" s="118">
        <f>IFERROR(IF(INDEX(FinancialStatement!$B$5:$L$15,Calc!$B10+2,MATCH(Calc!G$5,FinancialStatement!$B$5:$L$5,0))&lt;&gt;"",INDEX(FinancialStatement!$B$5:$L$15,Calc!$B10+2,MATCH(Calc!G$5,FinancialStatement!$B$5:$L$5,0)),""),"")</f>
        <v>75000</v>
      </c>
      <c r="H10" s="120"/>
      <c r="I10" s="118">
        <f t="shared" si="11"/>
        <v>125000</v>
      </c>
      <c r="J10" s="118">
        <f t="shared" si="0"/>
        <v>50000</v>
      </c>
      <c r="K10" s="118">
        <f t="shared" si="1"/>
        <v>28.571428571428573</v>
      </c>
      <c r="L10" s="118">
        <f t="shared" si="13"/>
        <v>-111500</v>
      </c>
      <c r="M10" s="108" t="str">
        <f t="shared" si="12"/>
        <v>Yes</v>
      </c>
      <c r="N10" s="67"/>
      <c r="O10" s="107">
        <f t="shared" si="4"/>
        <v>4</v>
      </c>
      <c r="P10" s="122">
        <f t="shared" si="5"/>
        <v>-111500</v>
      </c>
      <c r="Q10" s="67"/>
      <c r="R10" s="107">
        <f t="shared" si="6"/>
        <v>4</v>
      </c>
      <c r="S10" s="118">
        <f t="shared" si="7"/>
        <v>-111500</v>
      </c>
      <c r="T10" s="118">
        <f t="shared" si="8"/>
        <v>125000</v>
      </c>
      <c r="U10" s="118">
        <f t="shared" si="9"/>
        <v>50000</v>
      </c>
      <c r="V10" s="122">
        <f t="shared" si="10"/>
        <v>75000</v>
      </c>
      <c r="W10" s="67"/>
      <c r="Y10" s="67"/>
      <c r="Z10" s="67"/>
      <c r="AA10" s="67"/>
      <c r="AB10" s="67"/>
      <c r="AC10" s="67"/>
      <c r="AD10" s="112">
        <f t="shared" ca="1" si="2"/>
        <v>45097</v>
      </c>
      <c r="AE10" s="113">
        <f t="shared" si="3"/>
        <v>4</v>
      </c>
      <c r="AF10" s="115"/>
    </row>
    <row r="11" spans="2:32" x14ac:dyDescent="0.25">
      <c r="B11" s="144">
        <v>5</v>
      </c>
      <c r="C11" s="118">
        <f>IFERROR(IF(INDEX(FinancialStatement!$B$5:$L$15,Calc!$B11+2,MATCH(Calc!C$5,FinancialStatement!$B$5:$L$5,0))&lt;&gt;"",INDEX(FinancialStatement!$B$5:$L$15,Calc!$B11+2,MATCH(Calc!C$5,FinancialStatement!$B$5:$L$5,0)),""),"")</f>
        <v>1750</v>
      </c>
      <c r="D11" s="118">
        <f>IFERROR(IF(INDEX(FinancialStatement!$B$5:$L$15,Calc!$B11+2,MATCH(Calc!D$5,FinancialStatement!$B$5:$L$5,0))&lt;&gt;"",INDEX(FinancialStatement!$B$5:$L$15,Calc!$B11+2,MATCH(Calc!D$5,FinancialStatement!$B$5:$L$5,0)),""),"")</f>
        <v>100</v>
      </c>
      <c r="E11" s="118">
        <f>IFERROR(IF(INDEX(FinancialStatement!$B$5:$L$15,Calc!$B11+2,MATCH(Calc!E$5,FinancialStatement!$B$5:$L$5,0))&lt;&gt;"",INDEX(FinancialStatement!$B$5:$L$15,Calc!$B11+2,MATCH(Calc!E$5,FinancialStatement!$B$5:$L$5,0)),""),"")</f>
        <v>175000</v>
      </c>
      <c r="F11" s="118">
        <f>IFERROR(IF(INDEX(FinancialStatement!$B$5:$L$15,Calc!$B11+2,MATCH(Calc!F$5,FinancialStatement!$B$5:$L$5,0))&lt;&gt;"",INDEX(FinancialStatement!$B$5:$L$15,Calc!$B11+2,MATCH(Calc!F$5,FinancialStatement!$B$5:$L$5,0)),""),"")</f>
        <v>50000</v>
      </c>
      <c r="G11" s="118">
        <f>IFERROR(IF(INDEX(FinancialStatement!$B$5:$L$15,Calc!$B11+2,MATCH(Calc!G$5,FinancialStatement!$B$5:$L$5,0))&lt;&gt;"",INDEX(FinancialStatement!$B$5:$L$15,Calc!$B11+2,MATCH(Calc!G$5,FinancialStatement!$B$5:$L$5,0)),""),"")</f>
        <v>75000</v>
      </c>
      <c r="H11" s="120"/>
      <c r="I11" s="118">
        <f t="shared" si="11"/>
        <v>125000</v>
      </c>
      <c r="J11" s="118">
        <f t="shared" si="0"/>
        <v>50000</v>
      </c>
      <c r="K11" s="118">
        <f t="shared" si="1"/>
        <v>28.571428571428573</v>
      </c>
      <c r="L11" s="118">
        <f t="shared" si="13"/>
        <v>-61500</v>
      </c>
      <c r="M11" s="108" t="str">
        <f t="shared" si="12"/>
        <v>Yes</v>
      </c>
      <c r="N11" s="67"/>
      <c r="O11" s="107">
        <f t="shared" si="4"/>
        <v>5</v>
      </c>
      <c r="P11" s="122">
        <f t="shared" si="5"/>
        <v>-61500</v>
      </c>
      <c r="Q11" s="67"/>
      <c r="R11" s="107">
        <f t="shared" si="6"/>
        <v>5</v>
      </c>
      <c r="S11" s="118">
        <f t="shared" si="7"/>
        <v>-61500</v>
      </c>
      <c r="T11" s="118">
        <f t="shared" si="8"/>
        <v>125000</v>
      </c>
      <c r="U11" s="118">
        <f t="shared" si="9"/>
        <v>50000</v>
      </c>
      <c r="V11" s="122">
        <f t="shared" si="10"/>
        <v>75000</v>
      </c>
      <c r="W11" s="67"/>
      <c r="X11" s="67"/>
      <c r="Y11" s="67"/>
      <c r="Z11" s="67"/>
      <c r="AA11" s="67"/>
      <c r="AB11" s="67"/>
      <c r="AC11" s="67"/>
      <c r="AD11" s="112">
        <f t="shared" ca="1" si="2"/>
        <v>45127</v>
      </c>
      <c r="AE11" s="113">
        <f t="shared" si="3"/>
        <v>5</v>
      </c>
      <c r="AF11" s="115"/>
    </row>
    <row r="12" spans="2:32" x14ac:dyDescent="0.25">
      <c r="B12" s="144">
        <v>6</v>
      </c>
      <c r="C12" s="118">
        <f>IFERROR(IF(INDEX(FinancialStatement!$B$5:$L$15,Calc!$B12+2,MATCH(Calc!C$5,FinancialStatement!$B$5:$L$5,0))&lt;&gt;"",INDEX(FinancialStatement!$B$5:$L$15,Calc!$B12+2,MATCH(Calc!C$5,FinancialStatement!$B$5:$L$5,0)),""),"")</f>
        <v>1750</v>
      </c>
      <c r="D12" s="118">
        <f>IFERROR(IF(INDEX(FinancialStatement!$B$5:$L$15,Calc!$B12+2,MATCH(Calc!D$5,FinancialStatement!$B$5:$L$5,0))&lt;&gt;"",INDEX(FinancialStatement!$B$5:$L$15,Calc!$B12+2,MATCH(Calc!D$5,FinancialStatement!$B$5:$L$5,0)),""),"")</f>
        <v>100</v>
      </c>
      <c r="E12" s="118">
        <f>IFERROR(IF(INDEX(FinancialStatement!$B$5:$L$15,Calc!$B12+2,MATCH(Calc!E$5,FinancialStatement!$B$5:$L$5,0))&lt;&gt;"",INDEX(FinancialStatement!$B$5:$L$15,Calc!$B12+2,MATCH(Calc!E$5,FinancialStatement!$B$5:$L$5,0)),""),"")</f>
        <v>175000</v>
      </c>
      <c r="F12" s="118">
        <f>IFERROR(IF(INDEX(FinancialStatement!$B$5:$L$15,Calc!$B12+2,MATCH(Calc!F$5,FinancialStatement!$B$5:$L$5,0))&lt;&gt;"",INDEX(FinancialStatement!$B$5:$L$15,Calc!$B12+2,MATCH(Calc!F$5,FinancialStatement!$B$5:$L$5,0)),""),"")</f>
        <v>50000</v>
      </c>
      <c r="G12" s="118">
        <f>IFERROR(IF(INDEX(FinancialStatement!$B$5:$L$15,Calc!$B12+2,MATCH(Calc!G$5,FinancialStatement!$B$5:$L$5,0))&lt;&gt;"",INDEX(FinancialStatement!$B$5:$L$15,Calc!$B12+2,MATCH(Calc!G$5,FinancialStatement!$B$5:$L$5,0)),""),"")</f>
        <v>75000</v>
      </c>
      <c r="H12" s="120"/>
      <c r="I12" s="118">
        <f t="shared" si="11"/>
        <v>125000</v>
      </c>
      <c r="J12" s="118">
        <f t="shared" si="0"/>
        <v>50000</v>
      </c>
      <c r="K12" s="118">
        <f t="shared" si="1"/>
        <v>28.571428571428573</v>
      </c>
      <c r="L12" s="118">
        <f t="shared" si="13"/>
        <v>-11500</v>
      </c>
      <c r="M12" s="108" t="str">
        <f t="shared" si="12"/>
        <v>Yes</v>
      </c>
      <c r="N12" s="67"/>
      <c r="O12" s="107">
        <f t="shared" si="4"/>
        <v>6</v>
      </c>
      <c r="P12" s="122">
        <f t="shared" si="5"/>
        <v>-11500</v>
      </c>
      <c r="Q12" s="67"/>
      <c r="R12" s="107">
        <f t="shared" si="6"/>
        <v>6</v>
      </c>
      <c r="S12" s="118">
        <f t="shared" si="7"/>
        <v>-11500</v>
      </c>
      <c r="T12" s="118">
        <f t="shared" si="8"/>
        <v>125000</v>
      </c>
      <c r="U12" s="118">
        <f t="shared" si="9"/>
        <v>50000</v>
      </c>
      <c r="V12" s="122">
        <f t="shared" si="10"/>
        <v>75000</v>
      </c>
      <c r="W12" s="67"/>
      <c r="X12" s="67"/>
      <c r="Y12" s="67"/>
      <c r="Z12" s="67"/>
      <c r="AA12" s="67"/>
      <c r="AB12" s="67"/>
      <c r="AC12" s="67"/>
      <c r="AD12" s="112">
        <f t="shared" ca="1" si="2"/>
        <v>45158</v>
      </c>
      <c r="AE12" s="113">
        <f t="shared" si="3"/>
        <v>6</v>
      </c>
      <c r="AF12" s="115"/>
    </row>
    <row r="13" spans="2:32" x14ac:dyDescent="0.25">
      <c r="B13" s="144">
        <v>7</v>
      </c>
      <c r="C13" s="118">
        <f>IFERROR(IF(INDEX(FinancialStatement!$B$5:$L$15,Calc!$B13+2,MATCH(Calc!C$5,FinancialStatement!$B$5:$L$5,0))&lt;&gt;"",INDEX(FinancialStatement!$B$5:$L$15,Calc!$B13+2,MATCH(Calc!C$5,FinancialStatement!$B$5:$L$5,0)),""),"")</f>
        <v>1750</v>
      </c>
      <c r="D13" s="118">
        <f>IFERROR(IF(INDEX(FinancialStatement!$B$5:$L$15,Calc!$B13+2,MATCH(Calc!D$5,FinancialStatement!$B$5:$L$5,0))&lt;&gt;"",INDEX(FinancialStatement!$B$5:$L$15,Calc!$B13+2,MATCH(Calc!D$5,FinancialStatement!$B$5:$L$5,0)),""),"")</f>
        <v>100</v>
      </c>
      <c r="E13" s="118">
        <f>IFERROR(IF(INDEX(FinancialStatement!$B$5:$L$15,Calc!$B13+2,MATCH(Calc!E$5,FinancialStatement!$B$5:$L$5,0))&lt;&gt;"",INDEX(FinancialStatement!$B$5:$L$15,Calc!$B13+2,MATCH(Calc!E$5,FinancialStatement!$B$5:$L$5,0)),""),"")</f>
        <v>175000</v>
      </c>
      <c r="F13" s="118">
        <f>IFERROR(IF(INDEX(FinancialStatement!$B$5:$L$15,Calc!$B13+2,MATCH(Calc!F$5,FinancialStatement!$B$5:$L$5,0))&lt;&gt;"",INDEX(FinancialStatement!$B$5:$L$15,Calc!$B13+2,MATCH(Calc!F$5,FinancialStatement!$B$5:$L$5,0)),""),"")</f>
        <v>50000</v>
      </c>
      <c r="G13" s="118">
        <f>IFERROR(IF(INDEX(FinancialStatement!$B$5:$L$15,Calc!$B13+2,MATCH(Calc!G$5,FinancialStatement!$B$5:$L$5,0))&lt;&gt;"",INDEX(FinancialStatement!$B$5:$L$15,Calc!$B13+2,MATCH(Calc!G$5,FinancialStatement!$B$5:$L$5,0)),""),"")</f>
        <v>75000</v>
      </c>
      <c r="H13" s="120"/>
      <c r="I13" s="118">
        <f t="shared" si="11"/>
        <v>125000</v>
      </c>
      <c r="J13" s="118">
        <f t="shared" si="0"/>
        <v>50000</v>
      </c>
      <c r="K13" s="118">
        <f t="shared" si="1"/>
        <v>28.571428571428573</v>
      </c>
      <c r="L13" s="118">
        <f t="shared" si="13"/>
        <v>38500</v>
      </c>
      <c r="M13" s="108" t="str">
        <f t="shared" si="12"/>
        <v>Yes</v>
      </c>
      <c r="N13" s="67"/>
      <c r="O13" s="107">
        <f t="shared" si="4"/>
        <v>7</v>
      </c>
      <c r="P13" s="122">
        <f t="shared" si="5"/>
        <v>38500</v>
      </c>
      <c r="Q13" s="67"/>
      <c r="R13" s="107">
        <f t="shared" si="6"/>
        <v>7</v>
      </c>
      <c r="S13" s="118">
        <f t="shared" si="7"/>
        <v>38500</v>
      </c>
      <c r="T13" s="118">
        <f t="shared" si="8"/>
        <v>125000</v>
      </c>
      <c r="U13" s="118">
        <f t="shared" si="9"/>
        <v>50000</v>
      </c>
      <c r="V13" s="122">
        <f t="shared" si="10"/>
        <v>75000</v>
      </c>
      <c r="W13" s="67"/>
      <c r="X13" s="67"/>
      <c r="Y13" s="67"/>
      <c r="Z13" s="67"/>
      <c r="AA13" s="67"/>
      <c r="AB13" s="67"/>
      <c r="AC13" s="67"/>
      <c r="AD13" s="112">
        <f t="shared" ca="1" si="2"/>
        <v>45189</v>
      </c>
      <c r="AE13" s="113">
        <f t="shared" si="3"/>
        <v>7</v>
      </c>
      <c r="AF13" s="115"/>
    </row>
    <row r="14" spans="2:32" x14ac:dyDescent="0.25">
      <c r="B14" s="144">
        <v>8</v>
      </c>
      <c r="C14" s="118" t="str">
        <f>IFERROR(IF(INDEX(FinancialStatement!$B$5:$L$15,Calc!$B14+2,MATCH(Calc!C$5,FinancialStatement!$B$5:$L$5,0))&lt;&gt;"",INDEX(FinancialStatement!$B$5:$L$15,Calc!$B14+2,MATCH(Calc!C$5,FinancialStatement!$B$5:$L$5,0)),""),"")</f>
        <v/>
      </c>
      <c r="D14" s="118" t="str">
        <f>IFERROR(IF(INDEX(FinancialStatement!$B$5:$L$15,Calc!$B14+2,MATCH(Calc!D$5,FinancialStatement!$B$5:$L$5,0))&lt;&gt;"",INDEX(FinancialStatement!$B$5:$L$15,Calc!$B14+2,MATCH(Calc!D$5,FinancialStatement!$B$5:$L$5,0)),""),"")</f>
        <v/>
      </c>
      <c r="E14" s="118" t="str">
        <f>IFERROR(IF(INDEX(FinancialStatement!$B$5:$L$15,Calc!$B14+2,MATCH(Calc!E$5,FinancialStatement!$B$5:$L$5,0))&lt;&gt;"",INDEX(FinancialStatement!$B$5:$L$15,Calc!$B14+2,MATCH(Calc!E$5,FinancialStatement!$B$5:$L$5,0)),""),"")</f>
        <v/>
      </c>
      <c r="F14" s="118" t="str">
        <f>IFERROR(IF(INDEX(FinancialStatement!$B$5:$L$15,Calc!$B14+2,MATCH(Calc!F$5,FinancialStatement!$B$5:$L$5,0))&lt;&gt;"",INDEX(FinancialStatement!$B$5:$L$15,Calc!$B14+2,MATCH(Calc!F$5,FinancialStatement!$B$5:$L$5,0)),""),"")</f>
        <v/>
      </c>
      <c r="G14" s="118" t="str">
        <f>IFERROR(IF(INDEX(FinancialStatement!$B$5:$L$15,Calc!$B14+2,MATCH(Calc!G$5,FinancialStatement!$B$5:$L$5,0))&lt;&gt;"",INDEX(FinancialStatement!$B$5:$L$15,Calc!$B14+2,MATCH(Calc!G$5,FinancialStatement!$B$5:$L$5,0)),""),"")</f>
        <v/>
      </c>
      <c r="H14" s="120"/>
      <c r="I14" s="118" t="str">
        <f t="shared" si="11"/>
        <v/>
      </c>
      <c r="J14" s="118" t="str">
        <f t="shared" si="0"/>
        <v/>
      </c>
      <c r="K14" s="118" t="str">
        <f t="shared" si="1"/>
        <v/>
      </c>
      <c r="L14" s="118" t="str">
        <f t="shared" si="13"/>
        <v/>
      </c>
      <c r="M14" s="108" t="str">
        <f>IF(LEN(E14)=0,"","Yes")</f>
        <v/>
      </c>
      <c r="N14" s="67"/>
      <c r="O14" s="107" t="str">
        <f>IFERROR(IF($M14="Yes",$B14,""),"")</f>
        <v/>
      </c>
      <c r="P14" s="122" t="str">
        <f t="shared" si="5"/>
        <v/>
      </c>
      <c r="Q14" s="67"/>
      <c r="R14" s="107" t="str">
        <f t="shared" si="6"/>
        <v/>
      </c>
      <c r="S14" s="118" t="str">
        <f t="shared" si="7"/>
        <v/>
      </c>
      <c r="T14" s="118" t="str">
        <f t="shared" si="8"/>
        <v/>
      </c>
      <c r="U14" s="118" t="str">
        <f t="shared" si="9"/>
        <v/>
      </c>
      <c r="V14" s="122" t="str">
        <f t="shared" si="10"/>
        <v/>
      </c>
      <c r="W14" s="67"/>
      <c r="X14" s="67"/>
      <c r="Y14" s="67"/>
      <c r="Z14" s="67"/>
      <c r="AA14" s="67"/>
      <c r="AB14" s="67"/>
      <c r="AC14" s="67"/>
      <c r="AD14" s="112">
        <f t="shared" ca="1" si="2"/>
        <v>45219</v>
      </c>
      <c r="AE14" s="113">
        <f t="shared" si="3"/>
        <v>8</v>
      </c>
      <c r="AF14" s="115"/>
    </row>
    <row r="15" spans="2:32" x14ac:dyDescent="0.25">
      <c r="B15" s="145">
        <v>9</v>
      </c>
      <c r="C15" s="119" t="str">
        <f>IFERROR(IF(INDEX(FinancialStatement!$B$5:$L$15,Calc!$B15+2,MATCH(Calc!C$5,FinancialStatement!$B$5:$L$5,0))&lt;&gt;"",INDEX(FinancialStatement!$B$5:$L$15,Calc!$B15+2,MATCH(Calc!C$5,FinancialStatement!$B$5:$L$5,0)),""),"")</f>
        <v/>
      </c>
      <c r="D15" s="119" t="str">
        <f>IFERROR(IF(INDEX(FinancialStatement!$B$5:$L$15,Calc!$B15+2,MATCH(Calc!D$5,FinancialStatement!$B$5:$L$5,0))&lt;&gt;"",INDEX(FinancialStatement!$B$5:$L$15,Calc!$B15+2,MATCH(Calc!D$5,FinancialStatement!$B$5:$L$5,0)),""),"")</f>
        <v/>
      </c>
      <c r="E15" s="119" t="str">
        <f>IFERROR(IF(INDEX(FinancialStatement!$B$5:$L$15,Calc!$B15+2,MATCH(Calc!E$5,FinancialStatement!$B$5:$L$5,0))&lt;&gt;"",INDEX(FinancialStatement!$B$5:$L$15,Calc!$B15+2,MATCH(Calc!E$5,FinancialStatement!$B$5:$L$5,0)),""),"")</f>
        <v/>
      </c>
      <c r="F15" s="119" t="str">
        <f>IFERROR(IF(INDEX(FinancialStatement!$B$5:$L$15,Calc!$B15+2,MATCH(Calc!F$5,FinancialStatement!$B$5:$L$5,0))&lt;&gt;"",INDEX(FinancialStatement!$B$5:$L$15,Calc!$B15+2,MATCH(Calc!F$5,FinancialStatement!$B$5:$L$5,0)),""),"")</f>
        <v/>
      </c>
      <c r="G15" s="119" t="str">
        <f>IFERROR(IF(INDEX(FinancialStatement!$B$5:$L$15,Calc!$B15+2,MATCH(Calc!G$5,FinancialStatement!$B$5:$L$5,0))&lt;&gt;"",INDEX(FinancialStatement!$B$5:$L$15,Calc!$B15+2,MATCH(Calc!G$5,FinancialStatement!$B$5:$L$5,0)),""),"")</f>
        <v/>
      </c>
      <c r="H15" s="121"/>
      <c r="I15" s="119" t="str">
        <f t="shared" si="11"/>
        <v/>
      </c>
      <c r="J15" s="119" t="str">
        <f t="shared" si="0"/>
        <v/>
      </c>
      <c r="K15" s="119" t="str">
        <f t="shared" si="1"/>
        <v/>
      </c>
      <c r="L15" s="119" t="str">
        <f t="shared" si="13"/>
        <v/>
      </c>
      <c r="M15" s="111" t="str">
        <f t="shared" si="12"/>
        <v/>
      </c>
      <c r="N15" s="67"/>
      <c r="O15" s="109" t="str">
        <f t="shared" si="4"/>
        <v/>
      </c>
      <c r="P15" s="123" t="str">
        <f t="shared" si="5"/>
        <v/>
      </c>
      <c r="Q15" s="67"/>
      <c r="R15" s="109" t="str">
        <f t="shared" si="6"/>
        <v/>
      </c>
      <c r="S15" s="119" t="str">
        <f t="shared" si="7"/>
        <v/>
      </c>
      <c r="T15" s="119" t="str">
        <f t="shared" si="8"/>
        <v/>
      </c>
      <c r="U15" s="119" t="str">
        <f t="shared" si="9"/>
        <v/>
      </c>
      <c r="V15" s="123" t="str">
        <f t="shared" si="10"/>
        <v/>
      </c>
      <c r="W15" s="67"/>
      <c r="X15" s="67"/>
      <c r="Y15" s="67"/>
      <c r="Z15" s="67"/>
      <c r="AA15" s="67"/>
      <c r="AB15" s="67"/>
      <c r="AC15" s="67"/>
      <c r="AD15" s="116">
        <f t="shared" ca="1" si="2"/>
        <v>45250</v>
      </c>
      <c r="AE15" s="117">
        <f t="shared" si="3"/>
        <v>9</v>
      </c>
      <c r="AF15" s="180"/>
    </row>
    <row r="16" spans="2:32" x14ac:dyDescent="0.25"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9"/>
      <c r="AE16" s="69"/>
      <c r="AF16" s="70"/>
    </row>
  </sheetData>
  <pageMargins left="0.7" right="0.7" top="0.75" bottom="0.75" header="0.3" footer="0.3"/>
  <pageSetup paperSize="9" orientation="portrait" r:id="rId1"/>
  <customProperties>
    <customPr name="AblebitsBackupSheet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Dashboard</vt:lpstr>
      <vt:lpstr>FinancialStatement</vt:lpstr>
      <vt:lpstr>Calc</vt:lpstr>
      <vt:lpstr>ToU</vt:lpstr>
      <vt:lpstr>datesStart</vt:lpstr>
      <vt:lpstr>investment</vt:lpstr>
      <vt:lpstr>periodsCount</vt:lpstr>
      <vt:lpstr>periodStart</vt:lpstr>
      <vt:lpstr>Dashboard!Print_Area</vt:lpstr>
      <vt:lpstr>FinancialStatement!Print_Area</vt:lpstr>
      <vt:lpstr>ToU!Print_Area</vt:lpstr>
      <vt:lpstr>profitStart</vt:lpstr>
      <vt:lpstr>revenuesStart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2023-02-14T11:53:56Z</cp:lastPrinted>
  <dcterms:created xsi:type="dcterms:W3CDTF">2018-11-13T14:01:04Z</dcterms:created>
  <dcterms:modified xsi:type="dcterms:W3CDTF">2023-02-20T08:23:29Z</dcterms:modified>
  <dc:title>Break Even Analysis V6 Template</dc:title>
  <dc:subject>Break Even Analysis V6</dc:subject>
  <dc:description>Break Even Analysis V6 template by Master Productivity Kit — masterproductivitykit.com</dc:description>
  <cp:keywords>Master Productivity Kit, Excel template, Google Sheets template</cp:keywords>
  <cp:category>Business Template</cp:category>
</cp:coreProperties>
</file>